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736" activeTab="14"/>
  </bookViews>
  <sheets>
    <sheet name="基础设定" sheetId="1" r:id="rId1"/>
    <sheet name="基础属性ID" sheetId="12" r:id="rId2"/>
    <sheet name="升级" sheetId="2" r:id="rId3"/>
    <sheet name="职业基础属性" sheetId="3" r:id="rId4"/>
    <sheet name="装备设定" sheetId="5" r:id="rId5"/>
    <sheet name="装备强化" sheetId="11" r:id="rId6"/>
    <sheet name="装备额外附加" sheetId="13" r:id="rId7"/>
    <sheet name="地图设定（风云）" sheetId="6" state="hidden" r:id="rId8"/>
    <sheet name="地图（暗黑）" sheetId="7" r:id="rId9"/>
    <sheet name="掉落设定" sheetId="14" r:id="rId10"/>
    <sheet name="角色基础" sheetId="8" r:id="rId11"/>
    <sheet name="技能设定" sheetId="4" r:id="rId12"/>
    <sheet name="怪物" sheetId="15" r:id="rId13"/>
    <sheet name="怪物类型" sheetId="9" r:id="rId14"/>
    <sheet name="任务" sheetId="10" r:id="rId15"/>
  </sheets>
  <definedNames>
    <definedName name="_xlnm._FilterDatabase" localSheetId="4" hidden="1">装备设定!$S$1:$W$203</definedName>
    <definedName name="_xlnm._FilterDatabase" localSheetId="5" hidden="1">装备强化!$M$1:$T$84</definedName>
    <definedName name="_xlnm._FilterDatabase" localSheetId="6" hidden="1">装备额外附加!$B$1:$I$1656</definedName>
  </definedNames>
  <calcPr calcId="144525"/>
</workbook>
</file>

<file path=xl/sharedStrings.xml><?xml version="1.0" encoding="utf-8"?>
<sst xmlns="http://schemas.openxmlformats.org/spreadsheetml/2006/main" count="7519" uniqueCount="1211">
  <si>
    <t>道具资源定价</t>
  </si>
  <si>
    <t>1RMB</t>
  </si>
  <si>
    <t>元宝</t>
  </si>
  <si>
    <t>经验</t>
  </si>
  <si>
    <t>等级*10000</t>
  </si>
  <si>
    <t>金币</t>
  </si>
  <si>
    <t>等级*1000</t>
  </si>
  <si>
    <t>属性价值与战力</t>
  </si>
  <si>
    <t>基础属性</t>
  </si>
  <si>
    <t>战力系数</t>
  </si>
  <si>
    <t>生命</t>
  </si>
  <si>
    <t>数值</t>
  </si>
  <si>
    <t>法力</t>
  </si>
  <si>
    <t>物理攻击</t>
  </si>
  <si>
    <t>魔法攻击</t>
  </si>
  <si>
    <t>道术攻击</t>
  </si>
  <si>
    <t>对应所有防御</t>
  </si>
  <si>
    <t>防御</t>
  </si>
  <si>
    <t>攻速</t>
  </si>
  <si>
    <t>幸运</t>
  </si>
  <si>
    <t>高级属性</t>
  </si>
  <si>
    <t>暴击几率</t>
  </si>
  <si>
    <t>百分比</t>
  </si>
  <si>
    <t>暴击伤害比例</t>
  </si>
  <si>
    <t>固定伤害</t>
  </si>
  <si>
    <t>固定减伤</t>
  </si>
  <si>
    <t>伤害增加</t>
  </si>
  <si>
    <t>伤害减免</t>
  </si>
  <si>
    <t>生命吸取</t>
  </si>
  <si>
    <t>法力吸取</t>
  </si>
  <si>
    <t>装备掉率</t>
  </si>
  <si>
    <t>极品掉率</t>
  </si>
  <si>
    <t>生命增幅</t>
  </si>
  <si>
    <t>法力增幅</t>
  </si>
  <si>
    <t>计算流程与伤害计算公式</t>
  </si>
  <si>
    <t>基础伤害计算</t>
  </si>
  <si>
    <t>PVE</t>
  </si>
  <si>
    <t>基础伤害数值 = max【（技能系数 *  攻击方攻击力  + 技能基础伤害 - 防御方防御值）* max【（1 + 攻击方伤害增加 - 防御方伤害减免），0】 ，0】 + max【攻击方固定增伤 - 防御方固定减伤，0】</t>
  </si>
  <si>
    <t>PVP</t>
  </si>
  <si>
    <t>基础伤害数值 = PVE计算的基础伤害 * 0.2</t>
  </si>
  <si>
    <t>实际伤害为 = 【基础伤害 *0.8，基础伤害* 1.2】</t>
  </si>
  <si>
    <t>实际伤害在一定范围内浮动</t>
  </si>
  <si>
    <t>幸运判断</t>
  </si>
  <si>
    <t>幸运几率 = 1 /（10 - min（幸运值，9））</t>
  </si>
  <si>
    <t>幸运判定成功，则实际伤害 = 1.2 * 基础伤害。即幸运伤害为实际上限</t>
  </si>
  <si>
    <t>暴击判断</t>
  </si>
  <si>
    <t>暴击伤害= 基础伤害 *（ 1.5 + 暴击伤害比例）</t>
  </si>
  <si>
    <t>生命吸取判断</t>
  </si>
  <si>
    <t>如果攻击方身上有生命吸取属性，则在造成直接伤害时进行生命吸取，dot伤害不造成生命吸取</t>
  </si>
  <si>
    <t>生命吸取不可暴击</t>
  </si>
  <si>
    <t>法力吸取判断</t>
  </si>
  <si>
    <t>如果攻击方身上有法力吸取属性，则在造成直接伤害时进行法力吸取，dot伤害不造成法力吸取</t>
  </si>
  <si>
    <t>法力吸取不可暴击</t>
  </si>
  <si>
    <t>经验获取</t>
  </si>
  <si>
    <t>角色等级为playerlvl，怪物等级为monsterlvl</t>
  </si>
  <si>
    <t>如果playerlvl&gt;=monsterlvl</t>
  </si>
  <si>
    <t>获得经验 = 怪物基础经验 * （ 1 + （playerlvl - monsterlvl ）/ 10）</t>
  </si>
  <si>
    <t>else</t>
  </si>
  <si>
    <t>获得经验 = max【怪物基础经验 * （ 1 - （monsterlvl - playerlvl）/10），0】</t>
  </si>
  <si>
    <t>怪物属性生成规则</t>
  </si>
  <si>
    <t>1，根据地图信息读取怪物等级范围以及可产生的怪物ID（map表）</t>
  </si>
  <si>
    <t>2，从1中随机得到的怪物等级，从monsterbase表中取对应等级怪物的基础属性，包含基础经验，金钱，基础属性</t>
  </si>
  <si>
    <t>3，从1随机得到的怪物ID，从monstertype中取对应的名字，攻击类型，属性修正</t>
  </si>
  <si>
    <t>4，从MonsterQuality中随机生产怪物品质以及对应的品质修正</t>
  </si>
  <si>
    <t>5，怪物实际最终属性</t>
  </si>
  <si>
    <t>生命 = 基础属性 * 类型修正 * 品质修正</t>
  </si>
  <si>
    <t>攻击 = 基础攻击 * 类型修正 * 品质修正</t>
  </si>
  <si>
    <t>包含3种攻击</t>
  </si>
  <si>
    <t>防御 = 基础防御 + 类型修正 + 品质修正</t>
  </si>
  <si>
    <t>掉落金钱 = 基础金钱 * 品质修正</t>
  </si>
  <si>
    <t>掉落经验 = 基础经验 * 品质修正</t>
  </si>
  <si>
    <t>属性</t>
  </si>
  <si>
    <t>属性ID</t>
  </si>
  <si>
    <t>类型</t>
  </si>
  <si>
    <t>生命值</t>
  </si>
  <si>
    <t>法力值</t>
  </si>
  <si>
    <t>爆击伤害</t>
  </si>
  <si>
    <t>等级</t>
  </si>
  <si>
    <t>怪物基础经验</t>
  </si>
  <si>
    <t>金钱小</t>
  </si>
  <si>
    <t>金钱大</t>
  </si>
  <si>
    <t>参数1/M</t>
  </si>
  <si>
    <t>参数2</t>
  </si>
  <si>
    <t>预计时间/s</t>
  </si>
  <si>
    <t>总时间</t>
  </si>
  <si>
    <t>/d</t>
  </si>
  <si>
    <t>节奏/s</t>
  </si>
  <si>
    <t>击杀时间</t>
  </si>
  <si>
    <t>挂机经验</t>
  </si>
  <si>
    <t>挂机金币</t>
  </si>
  <si>
    <t>攻/s</t>
  </si>
  <si>
    <t>职业</t>
  </si>
  <si>
    <t>战斗力</t>
  </si>
  <si>
    <t>战士</t>
  </si>
  <si>
    <t>法师</t>
  </si>
  <si>
    <t>道士</t>
  </si>
  <si>
    <t>基准</t>
  </si>
  <si>
    <t>1--</t>
  </si>
  <si>
    <t>2--10</t>
  </si>
  <si>
    <t>11--20</t>
  </si>
  <si>
    <t>21--30</t>
  </si>
  <si>
    <t>31--40</t>
  </si>
  <si>
    <t>41--50</t>
  </si>
  <si>
    <t>51--60</t>
  </si>
  <si>
    <t>61--70</t>
  </si>
  <si>
    <t>71--80</t>
  </si>
  <si>
    <t>攻击</t>
  </si>
  <si>
    <t>攻击\防守</t>
  </si>
  <si>
    <t>装备属性包含3部分</t>
  </si>
  <si>
    <t>ID</t>
  </si>
  <si>
    <t>等级段</t>
  </si>
  <si>
    <t>部位</t>
  </si>
  <si>
    <t>部位ID</t>
  </si>
  <si>
    <t>需求等级</t>
  </si>
  <si>
    <t>填写回收价格</t>
  </si>
  <si>
    <t>基础价格</t>
  </si>
  <si>
    <t>白</t>
  </si>
  <si>
    <t>绿</t>
  </si>
  <si>
    <t>蓝</t>
  </si>
  <si>
    <t>紫</t>
  </si>
  <si>
    <t>橙</t>
  </si>
  <si>
    <t>红</t>
  </si>
  <si>
    <t>填写回收精华</t>
  </si>
  <si>
    <t>基础精华</t>
  </si>
  <si>
    <t>填写打造精华</t>
  </si>
  <si>
    <t>生命填写</t>
  </si>
  <si>
    <t>攻击填写</t>
  </si>
  <si>
    <t>防御填写</t>
  </si>
  <si>
    <t>生命ID</t>
  </si>
  <si>
    <t>攻击ID</t>
  </si>
  <si>
    <t>防御ID</t>
  </si>
  <si>
    <t>填写属性ID</t>
  </si>
  <si>
    <t>填写属性值</t>
  </si>
  <si>
    <t>基础附加max</t>
  </si>
  <si>
    <t>白极品</t>
  </si>
  <si>
    <t>绿极品值</t>
  </si>
  <si>
    <t>蓝极品值</t>
  </si>
  <si>
    <t>紫极品值</t>
  </si>
  <si>
    <t>橙极品值</t>
  </si>
  <si>
    <t>红极品值</t>
  </si>
  <si>
    <t>基础属性附加规则</t>
  </si>
  <si>
    <t>随机附加属性规则</t>
  </si>
  <si>
    <t>级品质1</t>
  </si>
  <si>
    <t>级品质2</t>
  </si>
  <si>
    <t>级品质3</t>
  </si>
  <si>
    <t>级品质4</t>
  </si>
  <si>
    <t>级品质5</t>
  </si>
  <si>
    <t>级品质6</t>
  </si>
  <si>
    <t>基础属性 ：每个部位附带的基础属性</t>
  </si>
  <si>
    <t>铁剑</t>
  </si>
  <si>
    <t>10级通用武器</t>
  </si>
  <si>
    <t>基础附加 ：在一定总值里随机出来附加到基础属性上的（可与基础属性不同条目）</t>
  </si>
  <si>
    <t>布头盔</t>
  </si>
  <si>
    <t>10级通用头盔</t>
  </si>
  <si>
    <t>附加属性 ：根据品质额外在一定范围里随机的属性</t>
  </si>
  <si>
    <t>布衣服</t>
  </si>
  <si>
    <t>10级通用衣服</t>
  </si>
  <si>
    <t>布腰带</t>
  </si>
  <si>
    <t>10级通用腰带</t>
  </si>
  <si>
    <t>布鞋</t>
  </si>
  <si>
    <t>10级通用鞋子</t>
  </si>
  <si>
    <t>青铜剑</t>
  </si>
  <si>
    <t>20级通用武器</t>
  </si>
  <si>
    <t>基础属性（基准）</t>
  </si>
  <si>
    <t>青铜头盔</t>
  </si>
  <si>
    <t>20级通用头盔</t>
  </si>
  <si>
    <t>青铜盔甲</t>
  </si>
  <si>
    <t>20级通用衣服</t>
  </si>
  <si>
    <t>品质修正（基础）</t>
  </si>
  <si>
    <t>价格修正</t>
  </si>
  <si>
    <t>青铜腰带</t>
  </si>
  <si>
    <t>20级通用腰带</t>
  </si>
  <si>
    <t>青铜鞋</t>
  </si>
  <si>
    <t>20级通用鞋子</t>
  </si>
  <si>
    <t>角斗士短剑</t>
  </si>
  <si>
    <t>30级通用武器</t>
  </si>
  <si>
    <t>角斗士头盔</t>
  </si>
  <si>
    <t>30级通用头盔</t>
  </si>
  <si>
    <t>角斗士衣服</t>
  </si>
  <si>
    <t>30级通用衣服</t>
  </si>
  <si>
    <t>角斗士腰带</t>
  </si>
  <si>
    <t>30级通用腰带</t>
  </si>
  <si>
    <t>角斗士短靴</t>
  </si>
  <si>
    <t>30级通用鞋子</t>
  </si>
  <si>
    <t>精致冠军剑</t>
  </si>
  <si>
    <t>40级通用武器</t>
  </si>
  <si>
    <t>部位修正（基础）</t>
  </si>
  <si>
    <t>不同部位的基础属性分配比例</t>
  </si>
  <si>
    <t>勇气头盔</t>
  </si>
  <si>
    <t>40级通用头盔</t>
  </si>
  <si>
    <t>勇气胸甲</t>
  </si>
  <si>
    <t>40级通用衣服</t>
  </si>
  <si>
    <t>勇气腰带</t>
  </si>
  <si>
    <t>40级通用腰带</t>
  </si>
  <si>
    <t>价格部位</t>
  </si>
  <si>
    <t>极品值修正</t>
  </si>
  <si>
    <t>勇气短靴</t>
  </si>
  <si>
    <t>40级通用鞋子</t>
  </si>
  <si>
    <t>武器</t>
  </si>
  <si>
    <t>通用</t>
  </si>
  <si>
    <t>征服者之剑</t>
  </si>
  <si>
    <t>50级通用武器</t>
  </si>
  <si>
    <t>头盔</t>
  </si>
  <si>
    <t>护甲</t>
  </si>
  <si>
    <t>征服者头盔</t>
  </si>
  <si>
    <t>50级通用头盔</t>
  </si>
  <si>
    <t>衣服</t>
  </si>
  <si>
    <t>征服者护甲</t>
  </si>
  <si>
    <t>50级通用衣服</t>
  </si>
  <si>
    <t>腰带</t>
  </si>
  <si>
    <t>征服者腰带</t>
  </si>
  <si>
    <t>50级通用腰带</t>
  </si>
  <si>
    <t>鞋子</t>
  </si>
  <si>
    <t>征服者短靴</t>
  </si>
  <si>
    <t>50级通用鞋子</t>
  </si>
  <si>
    <t>项链</t>
  </si>
  <si>
    <t>骑士之剑</t>
  </si>
  <si>
    <t>60级通用武器</t>
  </si>
  <si>
    <t>手镯</t>
  </si>
  <si>
    <t>骑士头盔</t>
  </si>
  <si>
    <t>60级通用头盔</t>
  </si>
  <si>
    <t>戒指</t>
  </si>
  <si>
    <t>骑士盔甲</t>
  </si>
  <si>
    <t>60级通用衣服</t>
  </si>
  <si>
    <t>骑士腰带</t>
  </si>
  <si>
    <t>60级通用腰带</t>
  </si>
  <si>
    <t>装备等级修正（基础）</t>
  </si>
  <si>
    <t>不同等级的装备的属性比例</t>
  </si>
  <si>
    <t>骑士长靴</t>
  </si>
  <si>
    <t>60级通用鞋子</t>
  </si>
  <si>
    <t>君王之剑</t>
  </si>
  <si>
    <t>70级通用武器</t>
  </si>
  <si>
    <t>极品值max</t>
  </si>
  <si>
    <t>君王升灵头冠</t>
  </si>
  <si>
    <t>70级通用头盔</t>
  </si>
  <si>
    <t>1--10</t>
  </si>
  <si>
    <t>君王升灵盔甲</t>
  </si>
  <si>
    <t>70级通用衣服</t>
  </si>
  <si>
    <t>君王升灵腰带</t>
  </si>
  <si>
    <t>70级通用腰带</t>
  </si>
  <si>
    <t>君王升灵短靴</t>
  </si>
  <si>
    <t>70级通用鞋子</t>
  </si>
  <si>
    <t>海啸之刃</t>
  </si>
  <si>
    <t>80级通用武器</t>
  </si>
  <si>
    <t>甲壳面甲</t>
  </si>
  <si>
    <t>80级通用头盔</t>
  </si>
  <si>
    <t>阿凯尼的荣耀</t>
  </si>
  <si>
    <t>80级通用衣服</t>
  </si>
  <si>
    <t>统御者腰带</t>
  </si>
  <si>
    <t>80级通用腰带</t>
  </si>
  <si>
    <t>统御者短靴</t>
  </si>
  <si>
    <t>80级通用鞋子</t>
  </si>
  <si>
    <t>青铜项链</t>
  </si>
  <si>
    <t>10级战士项链</t>
  </si>
  <si>
    <t>青铜手镯</t>
  </si>
  <si>
    <t>10级战士手镯</t>
  </si>
  <si>
    <t>额外附加极品值</t>
  </si>
  <si>
    <t>不同等级下的装备额外基础附加（这部分是在总值里随机）</t>
  </si>
  <si>
    <t>青铜指环</t>
  </si>
  <si>
    <t>10级战士戒指</t>
  </si>
  <si>
    <t>月光护符</t>
  </si>
  <si>
    <t>10级法师项链</t>
  </si>
  <si>
    <t>品质修正</t>
  </si>
  <si>
    <t>斯考特的手镯</t>
  </si>
  <si>
    <t>10级法师手镯</t>
  </si>
  <si>
    <t>参数</t>
  </si>
  <si>
    <t>额外附加对应</t>
  </si>
  <si>
    <t>碧空之歌</t>
  </si>
  <si>
    <t>10级法师戒指</t>
  </si>
  <si>
    <t>明眼护符</t>
  </si>
  <si>
    <t>10级道士项链</t>
  </si>
  <si>
    <t>颅骨手镯</t>
  </si>
  <si>
    <t>10级道士手镯</t>
  </si>
  <si>
    <t>骷髅指环</t>
  </si>
  <si>
    <t>10级道士戒指</t>
  </si>
  <si>
    <t>雕饰项链</t>
  </si>
  <si>
    <t>20级战士项链</t>
  </si>
  <si>
    <t>克己</t>
  </si>
  <si>
    <t>20级战士手镯</t>
  </si>
  <si>
    <t>力量指环</t>
  </si>
  <si>
    <t>20级战士戒指</t>
  </si>
  <si>
    <t>蓝色水晶</t>
  </si>
  <si>
    <t>20级法师项链</t>
  </si>
  <si>
    <t>明性</t>
  </si>
  <si>
    <t>20级法师手镯</t>
  </si>
  <si>
    <t>真相之戒</t>
  </si>
  <si>
    <t>20级法师戒指</t>
  </si>
  <si>
    <t>阴魂不散</t>
  </si>
  <si>
    <t>20级道士项链</t>
  </si>
  <si>
    <t>附加极品值几率</t>
  </si>
  <si>
    <t>守心</t>
  </si>
  <si>
    <t>20级道士手镯</t>
  </si>
  <si>
    <t>机械指环</t>
  </si>
  <si>
    <t>20级道士戒指</t>
  </si>
  <si>
    <t>情缘</t>
  </si>
  <si>
    <t>30级战士项链</t>
  </si>
  <si>
    <t>不破之钢</t>
  </si>
  <si>
    <t>30级战士手镯</t>
  </si>
  <si>
    <t>英豪之愿</t>
  </si>
  <si>
    <t>30级战士戒指</t>
  </si>
  <si>
    <t>精致法典</t>
  </si>
  <si>
    <t>30级法师项链</t>
  </si>
  <si>
    <t>德拉诺的训导</t>
  </si>
  <si>
    <t>30级法师手镯</t>
  </si>
  <si>
    <t>空虚之戒</t>
  </si>
  <si>
    <t>30级法师戒指</t>
  </si>
  <si>
    <t>灵魂圣契</t>
  </si>
  <si>
    <t>30级道士项链</t>
  </si>
  <si>
    <t>附加额外属性出现</t>
  </si>
  <si>
    <t>灵魂守卫</t>
  </si>
  <si>
    <t>30级道士手镯</t>
  </si>
  <si>
    <t>1001,1002,1003,1004,1005,1006</t>
  </si>
  <si>
    <t>贪婪之戒</t>
  </si>
  <si>
    <t>30级道士戒指</t>
  </si>
  <si>
    <t>2001,2002,2003,2004,2005,2006</t>
  </si>
  <si>
    <t>狂雷</t>
  </si>
  <si>
    <t>40级战士项链</t>
  </si>
  <si>
    <t>3001,3002,3003,3004,3005,3006</t>
  </si>
  <si>
    <t>君王敌世之物</t>
  </si>
  <si>
    <t>40级战士手镯</t>
  </si>
  <si>
    <t>4001,4002,4003,4004,4005,4006</t>
  </si>
  <si>
    <t>罗盘玫瑰</t>
  </si>
  <si>
    <t>40级战士戒指</t>
  </si>
  <si>
    <t>放大镜</t>
  </si>
  <si>
    <t>40级法师项链</t>
  </si>
  <si>
    <t>空洞的凝视</t>
  </si>
  <si>
    <t>40级法师手镯</t>
  </si>
  <si>
    <t>额外附加属性条目</t>
  </si>
  <si>
    <t>正义的审判</t>
  </si>
  <si>
    <t>40级法师戒指</t>
  </si>
  <si>
    <t>永痕之晶</t>
  </si>
  <si>
    <t>40级道士项链</t>
  </si>
  <si>
    <t>精致的颅骨</t>
  </si>
  <si>
    <t>40级道士手镯</t>
  </si>
  <si>
    <t>破碎的盟约</t>
  </si>
  <si>
    <t>40级道士戒指</t>
  </si>
  <si>
    <t>十字章</t>
  </si>
  <si>
    <t>50级战士项链</t>
  </si>
  <si>
    <t>象牙塔</t>
  </si>
  <si>
    <t>50级战士手镯</t>
  </si>
  <si>
    <t>破碎誓言</t>
  </si>
  <si>
    <t>50级战士戒指</t>
  </si>
  <si>
    <t>圣灯</t>
  </si>
  <si>
    <t>50级法师项链</t>
  </si>
  <si>
    <t>风暴之语</t>
  </si>
  <si>
    <t>50级法师手镯</t>
  </si>
  <si>
    <t>克劳德的谎言</t>
  </si>
  <si>
    <t>50级法师戒指</t>
  </si>
  <si>
    <t>轮回之力</t>
  </si>
  <si>
    <t>50级道士项链</t>
  </si>
  <si>
    <t>奴隶的镣铐</t>
  </si>
  <si>
    <t>50级道士手镯</t>
  </si>
  <si>
    <t>怪物品质</t>
  </si>
  <si>
    <t>白装</t>
  </si>
  <si>
    <t>绿装</t>
  </si>
  <si>
    <t>蓝装</t>
  </si>
  <si>
    <t>紫装</t>
  </si>
  <si>
    <t>橙装</t>
  </si>
  <si>
    <t>红装</t>
  </si>
  <si>
    <t>永痕的誓言</t>
  </si>
  <si>
    <t>50级道士戒指</t>
  </si>
  <si>
    <t>旅者之誓</t>
  </si>
  <si>
    <t>60级战士项链</t>
  </si>
  <si>
    <t>铁玫瑰</t>
  </si>
  <si>
    <t>60级战士手镯</t>
  </si>
  <si>
    <t>正义之师</t>
  </si>
  <si>
    <t>60级战士戒指</t>
  </si>
  <si>
    <t>万花筒</t>
  </si>
  <si>
    <t>60级法师项链</t>
  </si>
  <si>
    <t>纯净之魂</t>
  </si>
  <si>
    <t>60级法师手镯</t>
  </si>
  <si>
    <t>巨魔人之指</t>
  </si>
  <si>
    <t>60级法师戒指</t>
  </si>
  <si>
    <t>卡姿兰之眼</t>
  </si>
  <si>
    <t>60级道士项链</t>
  </si>
  <si>
    <t>圣者之遗骸</t>
  </si>
  <si>
    <t>60级道士手镯</t>
  </si>
  <si>
    <t>悔恨大厅之戒</t>
  </si>
  <si>
    <t>60级道士戒指</t>
  </si>
  <si>
    <t>地狱火护符</t>
  </si>
  <si>
    <t>70级战士项链</t>
  </si>
  <si>
    <t>响骨</t>
  </si>
  <si>
    <t>70级战士手镯</t>
  </si>
  <si>
    <t>永恒盟约</t>
  </si>
  <si>
    <t>70级战士戒指</t>
  </si>
  <si>
    <t>卡兰的智慧</t>
  </si>
  <si>
    <t>70级法师项链</t>
  </si>
  <si>
    <t>失时</t>
  </si>
  <si>
    <t>70级法师手镯</t>
  </si>
  <si>
    <t>黑曜石之戒</t>
  </si>
  <si>
    <t>70级法师戒指</t>
  </si>
  <si>
    <t>妄念</t>
  </si>
  <si>
    <t>70级道士项链</t>
  </si>
  <si>
    <t>蔑视</t>
  </si>
  <si>
    <t>70级道士手镯</t>
  </si>
  <si>
    <t>小魔人之指</t>
  </si>
  <si>
    <t>70级道士戒指</t>
  </si>
  <si>
    <t>兵要护符</t>
  </si>
  <si>
    <t>80级战士项链</t>
  </si>
  <si>
    <t>永痕追捕</t>
  </si>
  <si>
    <t>80级战士手镯</t>
  </si>
  <si>
    <t>神目指环</t>
  </si>
  <si>
    <t>80级战士戒指</t>
  </si>
  <si>
    <t>时光流韵</t>
  </si>
  <si>
    <t>80级法师项链</t>
  </si>
  <si>
    <t>维尔根之触</t>
  </si>
  <si>
    <t>80级法师手镯</t>
  </si>
  <si>
    <t>空灵密语</t>
  </si>
  <si>
    <t>80级法师戒指</t>
  </si>
  <si>
    <t>仙人之佑</t>
  </si>
  <si>
    <t>80级道士项链</t>
  </si>
  <si>
    <t>观死</t>
  </si>
  <si>
    <t>80级道士手镯</t>
  </si>
  <si>
    <t>命运的守护</t>
  </si>
  <si>
    <t>80级道士戒指</t>
  </si>
  <si>
    <t>锋刃长剑</t>
  </si>
  <si>
    <t>30级战士武器</t>
  </si>
  <si>
    <t>暮光面甲</t>
  </si>
  <si>
    <t>30级战士头盔</t>
  </si>
  <si>
    <t>暮光战甲</t>
  </si>
  <si>
    <t>30级战士衣服</t>
  </si>
  <si>
    <t>暮光腰带</t>
  </si>
  <si>
    <t>30级战士腰带</t>
  </si>
  <si>
    <t>暮光长靴</t>
  </si>
  <si>
    <t>30级战士鞋子</t>
  </si>
  <si>
    <t>上古之刃</t>
  </si>
  <si>
    <t>40级战士武器</t>
  </si>
  <si>
    <t>统御头盔</t>
  </si>
  <si>
    <t>40级战士头盔</t>
  </si>
  <si>
    <t>统御战甲</t>
  </si>
  <si>
    <t>40级战士衣服</t>
  </si>
  <si>
    <t>统御腰带</t>
  </si>
  <si>
    <t>40级战士腰带</t>
  </si>
  <si>
    <t>统御长靴</t>
  </si>
  <si>
    <t>40级战士鞋子</t>
  </si>
  <si>
    <t>末日使者</t>
  </si>
  <si>
    <t>50级战士武器</t>
  </si>
  <si>
    <t>摄政仁君之盔</t>
  </si>
  <si>
    <t>50级战士头盔</t>
  </si>
  <si>
    <t>摄政仁君之铠</t>
  </si>
  <si>
    <t>50级战士衣服</t>
  </si>
  <si>
    <t>摄政仁君之握</t>
  </si>
  <si>
    <t>50级战士腰带</t>
  </si>
  <si>
    <t>摄政仁君之足</t>
  </si>
  <si>
    <t>50级战士鞋子</t>
  </si>
  <si>
    <t>断空</t>
  </si>
  <si>
    <t>60级战士武器</t>
  </si>
  <si>
    <t>钢铁之心</t>
  </si>
  <si>
    <t>60级战士头盔</t>
  </si>
  <si>
    <t>黑荆棘战袍</t>
  </si>
  <si>
    <t>60级战士衣服</t>
  </si>
  <si>
    <t>刻痕腰带</t>
  </si>
  <si>
    <t>60级战士腰带</t>
  </si>
  <si>
    <t>黑荆棘之靴</t>
  </si>
  <si>
    <t>60级战士鞋子</t>
  </si>
  <si>
    <t>恶魔之舌</t>
  </si>
  <si>
    <t>70级战士武器</t>
  </si>
  <si>
    <t>泰瑞尔的洞察</t>
  </si>
  <si>
    <t>70级战士头盔</t>
  </si>
  <si>
    <t>泰瑞尔之力</t>
  </si>
  <si>
    <t>70级战士衣服</t>
  </si>
  <si>
    <t>泰瑞尔的长腰带</t>
  </si>
  <si>
    <t>70级战士腰带</t>
  </si>
  <si>
    <t>泰瑞尔旅鞋</t>
  </si>
  <si>
    <t>70级战士鞋子</t>
  </si>
  <si>
    <t>不朽之王的胜利</t>
  </si>
  <si>
    <t>80级战士武器</t>
  </si>
  <si>
    <t>不朽之王的威仪</t>
  </si>
  <si>
    <t>80级战士头盔</t>
  </si>
  <si>
    <t>不朽之王的统御</t>
  </si>
  <si>
    <t>80级战士衣服</t>
  </si>
  <si>
    <t>不朽之王的绑腰</t>
  </si>
  <si>
    <t>80级战士腰带</t>
  </si>
  <si>
    <t>不朽之王的步履</t>
  </si>
  <si>
    <t>80级战士鞋子</t>
  </si>
  <si>
    <t>命运碎片</t>
  </si>
  <si>
    <t>30级法师武器</t>
  </si>
  <si>
    <t>智慧面甲</t>
  </si>
  <si>
    <t>30级法师头盔</t>
  </si>
  <si>
    <t>智慧法袍</t>
  </si>
  <si>
    <t>30级法师衣服</t>
  </si>
  <si>
    <t>智慧腰带</t>
  </si>
  <si>
    <t>30级法师腰带</t>
  </si>
  <si>
    <t>智慧长靴</t>
  </si>
  <si>
    <t>30级法师鞋子</t>
  </si>
  <si>
    <t>沃尔的屠魔法杖</t>
  </si>
  <si>
    <t>40级法师武器</t>
  </si>
  <si>
    <t>沃尔的风暴之眼</t>
  </si>
  <si>
    <t>40级法师头盔</t>
  </si>
  <si>
    <t>沃尔的死亡长袍</t>
  </si>
  <si>
    <t>40级法师衣服</t>
  </si>
  <si>
    <t>沃尔的丝质腰带</t>
  </si>
  <si>
    <t>40级法师腰带</t>
  </si>
  <si>
    <t>沃尔的迅捷之靴</t>
  </si>
  <si>
    <t>40级法师鞋子</t>
  </si>
  <si>
    <t>蛇妖之牙</t>
  </si>
  <si>
    <t>50级法师武器</t>
  </si>
  <si>
    <t>维尔的惊人气场</t>
  </si>
  <si>
    <t>50级法师头盔</t>
  </si>
  <si>
    <t>维尔的傲慢长袍</t>
  </si>
  <si>
    <t>50级法师衣服</t>
  </si>
  <si>
    <t>维尔的的精美腰带</t>
  </si>
  <si>
    <t>50级法师腰带</t>
  </si>
  <si>
    <t>维尔的昂扬之态</t>
  </si>
  <si>
    <t>50级法师鞋子</t>
  </si>
  <si>
    <t>不稳节杖</t>
  </si>
  <si>
    <t>60级法师武器</t>
  </si>
  <si>
    <t>大法师的凝视</t>
  </si>
  <si>
    <t>60级法师头盔</t>
  </si>
  <si>
    <t>大法师的回响</t>
  </si>
  <si>
    <t>60级法师衣服</t>
  </si>
  <si>
    <t>大法师的回忆</t>
  </si>
  <si>
    <t>60级法师腰带</t>
  </si>
  <si>
    <t>大法师的血足</t>
  </si>
  <si>
    <t>60级法师鞋子</t>
  </si>
  <si>
    <t>星火</t>
  </si>
  <si>
    <t>70级法师武器</t>
  </si>
  <si>
    <t>贤者之巅</t>
  </si>
  <si>
    <t>70级法师头盔</t>
  </si>
  <si>
    <t>贤者之途</t>
  </si>
  <si>
    <t>70级法师衣服</t>
  </si>
  <si>
    <t>贤者腰带</t>
  </si>
  <si>
    <t>70级法师腰带</t>
  </si>
  <si>
    <t>贤者之履</t>
  </si>
  <si>
    <t>70级法师鞋子</t>
  </si>
  <si>
    <t>斯洛拉克的疯狂</t>
  </si>
  <si>
    <t>80级法师武器</t>
  </si>
  <si>
    <t>不死鸟之冠</t>
  </si>
  <si>
    <t>80级法师头盔</t>
  </si>
  <si>
    <t>不死鸟之胸</t>
  </si>
  <si>
    <t>80级法师衣服</t>
  </si>
  <si>
    <t>不死鸟之腹</t>
  </si>
  <si>
    <t>80级法师腰带</t>
  </si>
  <si>
    <t>不死鸟之足</t>
  </si>
  <si>
    <t>80级法师鞋子</t>
  </si>
  <si>
    <t>鬼符</t>
  </si>
  <si>
    <t>30级道士武器</t>
  </si>
  <si>
    <t>罗兰之面</t>
  </si>
  <si>
    <t>30级道士头盔</t>
  </si>
  <si>
    <t>罗兰之胸</t>
  </si>
  <si>
    <t>30级道士衣服</t>
  </si>
  <si>
    <t>罗兰之覆</t>
  </si>
  <si>
    <t>30级道士腰带</t>
  </si>
  <si>
    <t>罗兰之步</t>
  </si>
  <si>
    <t>30级道士鞋子</t>
  </si>
  <si>
    <t>深渊魔物</t>
  </si>
  <si>
    <t>40级道士武器</t>
  </si>
  <si>
    <t>大地之眼</t>
  </si>
  <si>
    <t>40级道士头盔</t>
  </si>
  <si>
    <t>大地之基</t>
  </si>
  <si>
    <t>40级道士衣服</t>
  </si>
  <si>
    <t>大地之灵</t>
  </si>
  <si>
    <t>40级道士腰带</t>
  </si>
  <si>
    <t>大地之缚</t>
  </si>
  <si>
    <t>40级道士鞋子</t>
  </si>
  <si>
    <t>悲伤仪容</t>
  </si>
  <si>
    <t>50级道士武器</t>
  </si>
  <si>
    <t>唤魔师的法冠</t>
  </si>
  <si>
    <t>50级道士头盔</t>
  </si>
  <si>
    <t>唤魔师的长袍</t>
  </si>
  <si>
    <t>50级道士衣服</t>
  </si>
  <si>
    <t>唤魔师的重任</t>
  </si>
  <si>
    <t>50级道士腰带</t>
  </si>
  <si>
    <t>唤魔师的镣铐</t>
  </si>
  <si>
    <t>50级道士鞋子</t>
  </si>
  <si>
    <t>折磨者</t>
  </si>
  <si>
    <t>60级道士武器</t>
  </si>
  <si>
    <t>灼天之面</t>
  </si>
  <si>
    <t>60级道士头盔</t>
  </si>
  <si>
    <t>舞蛇鳞甲</t>
  </si>
  <si>
    <t>60级道士衣服</t>
  </si>
  <si>
    <t>颠倒罪人之腰带</t>
  </si>
  <si>
    <t>60级道士腰带</t>
  </si>
  <si>
    <t>八魔之靴</t>
  </si>
  <si>
    <t>60级道士鞋子</t>
  </si>
  <si>
    <t>夺魂者</t>
  </si>
  <si>
    <t>70级道士武器</t>
  </si>
  <si>
    <t>玉魂师的智慧</t>
  </si>
  <si>
    <t>70级道士头盔</t>
  </si>
  <si>
    <t>玉魂师的怜悯</t>
  </si>
  <si>
    <t>70级道士衣服</t>
  </si>
  <si>
    <t>玉魂师的喜悦</t>
  </si>
  <si>
    <t>70级道士腰带</t>
  </si>
  <si>
    <t>玉魂师的迅捷</t>
  </si>
  <si>
    <t>70级道士鞋子</t>
  </si>
  <si>
    <t>先知之手</t>
  </si>
  <si>
    <t>80级道士武器</t>
  </si>
  <si>
    <t>死亡先知兜帽</t>
  </si>
  <si>
    <t>80级道士头盔</t>
  </si>
  <si>
    <t>死亡先知长袍</t>
  </si>
  <si>
    <t>80级道士衣服</t>
  </si>
  <si>
    <t>死亡先知的腰带</t>
  </si>
  <si>
    <t>80级道士腰带</t>
  </si>
  <si>
    <t>死亡先知的足履</t>
  </si>
  <si>
    <t>80级道士鞋子</t>
  </si>
  <si>
    <t>强化等级</t>
  </si>
  <si>
    <t>单次金币</t>
  </si>
  <si>
    <t>成功率</t>
  </si>
  <si>
    <t>10级通用戒指</t>
  </si>
  <si>
    <t>20级通用戒指</t>
  </si>
  <si>
    <t>30级通用戒指</t>
  </si>
  <si>
    <t>40级通用戒指</t>
  </si>
  <si>
    <t>50级通用戒指</t>
  </si>
  <si>
    <t>60级通用戒指</t>
  </si>
  <si>
    <t>手镯1</t>
  </si>
  <si>
    <t>70级通用戒指</t>
  </si>
  <si>
    <t>手镯2</t>
  </si>
  <si>
    <t>80级通用戒指</t>
  </si>
  <si>
    <t>戒指1</t>
  </si>
  <si>
    <t>10级通用手镯</t>
  </si>
  <si>
    <t>戒指2</t>
  </si>
  <si>
    <t>20级通用手镯</t>
  </si>
  <si>
    <t>30级通用手镯</t>
  </si>
  <si>
    <t>40级通用手镯</t>
  </si>
  <si>
    <t>50级通用手镯</t>
  </si>
  <si>
    <t>单次强化</t>
  </si>
  <si>
    <t>60级通用手镯</t>
  </si>
  <si>
    <t>70级通用手镯</t>
  </si>
  <si>
    <t>80级通用手镯</t>
  </si>
  <si>
    <t>10级通用项链</t>
  </si>
  <si>
    <t>20级通用项链</t>
  </si>
  <si>
    <t>30级通用项链</t>
  </si>
  <si>
    <t>40级通用项链</t>
  </si>
  <si>
    <t>50级通用项链</t>
  </si>
  <si>
    <t>60级通用项链</t>
  </si>
  <si>
    <t>70级通用项链</t>
  </si>
  <si>
    <t>80级通用项链</t>
  </si>
  <si>
    <t>品质</t>
  </si>
  <si>
    <t>权重</t>
  </si>
  <si>
    <t>min</t>
  </si>
  <si>
    <t>max</t>
  </si>
  <si>
    <t>白色暂时按绿色算</t>
  </si>
  <si>
    <t>品质枚举</t>
  </si>
  <si>
    <t>中华阁3</t>
  </si>
  <si>
    <t>侠王陵3层</t>
  </si>
  <si>
    <t>中华阁2</t>
  </si>
  <si>
    <t>侠王陵2层</t>
  </si>
  <si>
    <t>中华阁1</t>
  </si>
  <si>
    <t>后陵2层</t>
  </si>
  <si>
    <t>侠王陵1层</t>
  </si>
  <si>
    <t>天下会</t>
  </si>
  <si>
    <t>黑山寨</t>
  </si>
  <si>
    <t>黑山寨洞穴1</t>
  </si>
  <si>
    <t>黑山寨洞穴2</t>
  </si>
  <si>
    <t>黑山寨洞穴3</t>
  </si>
  <si>
    <t>后陵1层</t>
  </si>
  <si>
    <t>侠王府</t>
  </si>
  <si>
    <t>天荫城</t>
  </si>
  <si>
    <t>慕名镇北</t>
  </si>
  <si>
    <t>乾坤庄</t>
  </si>
  <si>
    <t>乾坤庄外</t>
  </si>
  <si>
    <t>凤溪村</t>
  </si>
  <si>
    <t>乐山洞穴</t>
  </si>
  <si>
    <t>凌云窟</t>
  </si>
  <si>
    <t>乐山大佛</t>
  </si>
  <si>
    <t>剑池</t>
  </si>
  <si>
    <t>拜剑山庄</t>
  </si>
  <si>
    <t>不夜舫</t>
  </si>
  <si>
    <t>慕名镇西</t>
  </si>
  <si>
    <t>慕名镇</t>
  </si>
  <si>
    <t>慕名镇东</t>
  </si>
  <si>
    <t>落马坡</t>
  </si>
  <si>
    <t>凤溪村外</t>
  </si>
  <si>
    <t>无名居</t>
  </si>
  <si>
    <t>剑宗</t>
  </si>
  <si>
    <t>慕名镇南</t>
  </si>
  <si>
    <t>连城寨</t>
  </si>
  <si>
    <t>弥隐寺</t>
  </si>
  <si>
    <t>霍家村外</t>
  </si>
  <si>
    <t>千劫狱1</t>
  </si>
  <si>
    <t>霍家村</t>
  </si>
  <si>
    <t>千劫狱2</t>
  </si>
  <si>
    <t>千劫狱3</t>
  </si>
  <si>
    <t>千劫狱4</t>
  </si>
  <si>
    <t>千劫狱5</t>
  </si>
  <si>
    <t>普通难度</t>
  </si>
  <si>
    <t>噩梦难度</t>
  </si>
  <si>
    <t>第一幕</t>
  </si>
  <si>
    <t>1--30级</t>
  </si>
  <si>
    <t>30--45级</t>
  </si>
  <si>
    <t>安达利尔</t>
  </si>
  <si>
    <t>第二幕</t>
  </si>
  <si>
    <t>30--50级</t>
  </si>
  <si>
    <t>42--60级</t>
  </si>
  <si>
    <t>迪亚波罗</t>
  </si>
  <si>
    <t>第三幕</t>
  </si>
  <si>
    <t>50--60级</t>
  </si>
  <si>
    <t>50--75级</t>
  </si>
  <si>
    <t>墨菲斯托</t>
  </si>
  <si>
    <t>第四幕</t>
  </si>
  <si>
    <t>60--70级</t>
  </si>
  <si>
    <t>60--80级</t>
  </si>
  <si>
    <t>衣卒尔</t>
  </si>
  <si>
    <t>第五幕</t>
  </si>
  <si>
    <t>70--80级</t>
  </si>
  <si>
    <t>75--85级</t>
  </si>
  <si>
    <t>巴尔</t>
  </si>
  <si>
    <t>督瑞尔</t>
  </si>
  <si>
    <t>莉莉丝</t>
  </si>
  <si>
    <r>
      <rPr>
        <sz val="9"/>
        <color rgb="FFFF0000"/>
        <rFont val="微软雅黑"/>
        <charset val="134"/>
      </rPr>
      <t xml:space="preserve">邪恶洞窟3（8-10） </t>
    </r>
    <r>
      <rPr>
        <b/>
        <sz val="9"/>
        <color theme="1"/>
        <rFont val="微软雅黑"/>
        <charset val="134"/>
      </rPr>
      <t>黑恶鬼</t>
    </r>
  </si>
  <si>
    <r>
      <rPr>
        <sz val="9"/>
        <color theme="5" tint="0.399975585192419"/>
        <rFont val="微软雅黑"/>
        <charset val="134"/>
      </rPr>
      <t xml:space="preserve">死亡神殿3（33-36） </t>
    </r>
    <r>
      <rPr>
        <b/>
        <sz val="9"/>
        <color theme="1"/>
        <rFont val="微软雅黑"/>
        <charset val="134"/>
      </rPr>
      <t>疯狂血腥女巫</t>
    </r>
  </si>
  <si>
    <t>|</t>
  </si>
  <si>
    <t>邪恶洞窟2（5-8</t>
  </si>
  <si>
    <t>死亡神殿2（32-35</t>
  </si>
  <si>
    <r>
      <rPr>
        <sz val="9"/>
        <color theme="5" tint="0.399975585192419"/>
        <rFont val="微软雅黑"/>
        <charset val="134"/>
      </rPr>
      <t xml:space="preserve">沙漠地窖2（37--39  </t>
    </r>
    <r>
      <rPr>
        <b/>
        <sz val="9"/>
        <color theme="1"/>
        <rFont val="微软雅黑"/>
        <charset val="134"/>
      </rPr>
      <t>爆开的甲虫</t>
    </r>
  </si>
  <si>
    <t>邪恶洞窟1（4-6</t>
  </si>
  <si>
    <t>死亡神殿1（31-34</t>
  </si>
  <si>
    <t>沙漠地窖1（36--38</t>
  </si>
  <si>
    <r>
      <rPr>
        <sz val="9"/>
        <color rgb="FFFF0000"/>
        <rFont val="微软雅黑"/>
        <charset val="134"/>
      </rPr>
      <t xml:space="preserve">24--26）地下墓穴3 </t>
    </r>
    <r>
      <rPr>
        <b/>
        <sz val="9"/>
        <color theme="1"/>
        <rFont val="微软雅黑"/>
        <charset val="134"/>
      </rPr>
      <t>女伯爵</t>
    </r>
  </si>
  <si>
    <r>
      <rPr>
        <sz val="9"/>
        <color rgb="FFFF0000"/>
        <rFont val="微软雅黑"/>
        <charset val="134"/>
      </rPr>
      <t>埋骨之地（12--15）</t>
    </r>
    <r>
      <rPr>
        <b/>
        <sz val="9"/>
        <color theme="1"/>
        <rFont val="微软雅黑"/>
        <charset val="134"/>
      </rPr>
      <t>血鸟</t>
    </r>
  </si>
  <si>
    <t>献血荒地（3-4</t>
  </si>
  <si>
    <t>干燥高地（30-32</t>
  </si>
  <si>
    <t>——</t>
  </si>
  <si>
    <r>
      <rPr>
        <sz val="9"/>
        <color theme="5" tint="0.399975585192419"/>
        <rFont val="微软雅黑"/>
        <charset val="134"/>
      </rPr>
      <t xml:space="preserve">远古绿洲（35--36  </t>
    </r>
    <r>
      <rPr>
        <b/>
        <sz val="9"/>
        <color theme="1"/>
        <rFont val="微软雅黑"/>
        <charset val="134"/>
      </rPr>
      <t>黑暗长老</t>
    </r>
  </si>
  <si>
    <t>群蛇峡谷（36--38</t>
  </si>
  <si>
    <t>腹蛇神殿1（37--39</t>
  </si>
  <si>
    <r>
      <rPr>
        <sz val="9"/>
        <color theme="5" tint="0.399975585192419"/>
        <rFont val="微软雅黑"/>
        <charset val="134"/>
      </rPr>
      <t xml:space="preserve">腹蛇神殿2（38--40  </t>
    </r>
    <r>
      <rPr>
        <b/>
        <sz val="9"/>
        <color theme="1"/>
        <rFont val="微软雅黑"/>
        <charset val="134"/>
      </rPr>
      <t>牙皮</t>
    </r>
  </si>
  <si>
    <t>22--24）地下墓穴2</t>
  </si>
  <si>
    <t>冰冷之原（10-11</t>
  </si>
  <si>
    <t>1罗格营地（城市）</t>
  </si>
  <si>
    <t>废墟走道（30--30）</t>
  </si>
  <si>
    <t>2鲁高因（主城）</t>
  </si>
  <si>
    <t>女眷住所（40--42</t>
  </si>
  <si>
    <t>皇宫监牢1（44-46</t>
  </si>
  <si>
    <t>皇宫监牢2（46--48</t>
  </si>
  <si>
    <r>
      <rPr>
        <sz val="9"/>
        <color theme="5" tint="0.399975585192419"/>
        <rFont val="微软雅黑"/>
        <charset val="134"/>
      </rPr>
      <t xml:space="preserve">皇宫监牢3（47--49 </t>
    </r>
    <r>
      <rPr>
        <b/>
        <sz val="9"/>
        <color theme="1"/>
        <rFont val="微软雅黑"/>
        <charset val="134"/>
      </rPr>
      <t>火之眼</t>
    </r>
  </si>
  <si>
    <t xml:space="preserve">神秘避难所（48--50） </t>
  </si>
  <si>
    <t>尼拉塞克</t>
  </si>
  <si>
    <t>20--22）地下墓穴1</t>
  </si>
  <si>
    <t>石块旷野（14-17</t>
  </si>
  <si>
    <t>破碎走廊（1-2级）</t>
  </si>
  <si>
    <t>悲泣荒原（45--48</t>
  </si>
  <si>
    <t>达克法恩</t>
  </si>
  <si>
    <t>瓦特之厅（78-80</t>
  </si>
  <si>
    <r>
      <rPr>
        <sz val="9"/>
        <color theme="1"/>
        <rFont val="微软雅黑"/>
        <charset val="134"/>
      </rPr>
      <t>毁灭王座（80）</t>
    </r>
    <r>
      <rPr>
        <sz val="9"/>
        <color rgb="FFFFC000"/>
        <rFont val="微软雅黑"/>
        <charset val="134"/>
      </rPr>
      <t xml:space="preserve"> </t>
    </r>
    <r>
      <rPr>
        <b/>
        <sz val="9"/>
        <color rgb="FFFFC000"/>
        <rFont val="微软雅黑"/>
        <charset val="134"/>
      </rPr>
      <t>血腥的巴特科</t>
    </r>
  </si>
  <si>
    <t>堕落天使</t>
  </si>
  <si>
    <t>18--20）黑暗森林</t>
  </si>
  <si>
    <t>地底通道（17--20</t>
  </si>
  <si>
    <t>庇护所（新手村）</t>
  </si>
  <si>
    <t>湿地（48--50</t>
  </si>
  <si>
    <t>北部高地（58-60</t>
  </si>
  <si>
    <t>4群魔堡垒（城市</t>
  </si>
  <si>
    <t>绝望平原（60-61</t>
  </si>
  <si>
    <r>
      <rPr>
        <sz val="9"/>
        <color theme="8" tint="0.399975585192419"/>
        <rFont val="微软雅黑"/>
        <charset val="134"/>
      </rPr>
      <t xml:space="preserve">神罚之城（62-63 </t>
    </r>
    <r>
      <rPr>
        <sz val="9"/>
        <color theme="1"/>
        <rFont val="微软雅黑"/>
        <charset val="134"/>
      </rPr>
      <t>灵魂传播者</t>
    </r>
  </si>
  <si>
    <t>隐秘通道（68-70</t>
  </si>
  <si>
    <t>5哈洛加斯</t>
  </si>
  <si>
    <r>
      <rPr>
        <sz val="9"/>
        <color theme="1"/>
        <rFont val="微软雅黑"/>
        <charset val="134"/>
      </rPr>
      <t xml:space="preserve">血腥丘陵(70-71  </t>
    </r>
    <r>
      <rPr>
        <b/>
        <sz val="9"/>
        <color theme="1"/>
        <rFont val="微软雅黑"/>
        <charset val="134"/>
      </rPr>
      <t>督军山克</t>
    </r>
  </si>
  <si>
    <t>痛苦之厅（76-78</t>
  </si>
  <si>
    <t>世界之石3（78-79</t>
  </si>
  <si>
    <t>26--28）泰摩高地</t>
  </si>
  <si>
    <r>
      <rPr>
        <sz val="9"/>
        <color rgb="FF92D050"/>
        <rFont val="微软雅黑"/>
        <charset val="134"/>
      </rPr>
      <t>库拉斯特上层（56-58</t>
    </r>
    <r>
      <rPr>
        <b/>
        <sz val="9"/>
        <color rgb="FF92D050"/>
        <rFont val="微软雅黑"/>
        <charset val="134"/>
      </rPr>
      <t xml:space="preserve"> </t>
    </r>
    <r>
      <rPr>
        <b/>
        <sz val="9"/>
        <color theme="1"/>
        <rFont val="微软雅黑"/>
        <charset val="134"/>
      </rPr>
      <t>火焰之指吉列布</t>
    </r>
  </si>
  <si>
    <t>3库拉斯特海港（城市</t>
  </si>
  <si>
    <r>
      <rPr>
        <sz val="9"/>
        <color rgb="FF92D050"/>
        <rFont val="微软雅黑"/>
        <charset val="134"/>
      </rPr>
      <t xml:space="preserve">蜘蛛森林（50-51 </t>
    </r>
    <r>
      <rPr>
        <b/>
        <sz val="9"/>
        <rFont val="微软雅黑"/>
        <charset val="134"/>
      </rPr>
      <t>火花之拳布瑞姆</t>
    </r>
  </si>
  <si>
    <t>剥皮湿地（50--52</t>
  </si>
  <si>
    <t>火焰之河（63-64</t>
  </si>
  <si>
    <r>
      <rPr>
        <sz val="9"/>
        <color theme="1"/>
        <rFont val="微软雅黑"/>
        <charset val="134"/>
      </rPr>
      <t xml:space="preserve">冰冻高地(72-73 </t>
    </r>
    <r>
      <rPr>
        <b/>
        <sz val="9"/>
        <color theme="1"/>
        <rFont val="微软雅黑"/>
        <charset val="134"/>
      </rPr>
      <t xml:space="preserve">  </t>
    </r>
  </si>
  <si>
    <t>悲痛之厅（74-76</t>
  </si>
  <si>
    <t>世界之石2（77-78</t>
  </si>
  <si>
    <r>
      <rPr>
        <sz val="9"/>
        <color rgb="FFFF0000"/>
        <rFont val="微软雅黑"/>
        <charset val="134"/>
      </rPr>
      <t xml:space="preserve">28--30）军营  </t>
    </r>
    <r>
      <rPr>
        <b/>
        <sz val="9"/>
        <color theme="1"/>
        <rFont val="微软雅黑"/>
        <charset val="134"/>
      </rPr>
      <t>屠夫</t>
    </r>
  </si>
  <si>
    <t>库拉斯特商场（55-56</t>
  </si>
  <si>
    <t>库拉斯特下层（55-56</t>
  </si>
  <si>
    <t>残破神殿（58-59</t>
  </si>
  <si>
    <t>剥皮地窖1（51--53</t>
  </si>
  <si>
    <r>
      <rPr>
        <sz val="9"/>
        <color theme="8" tint="0.399975585192419"/>
        <rFont val="微软雅黑"/>
        <charset val="134"/>
      </rPr>
      <t xml:space="preserve">地狱熔炉1（64-66    </t>
    </r>
    <r>
      <rPr>
        <b/>
        <sz val="9"/>
        <color theme="8" tint="0.399975585192419"/>
        <rFont val="微软雅黑"/>
        <charset val="134"/>
      </rPr>
      <t>熔炉使者</t>
    </r>
  </si>
  <si>
    <t>亚瑞特高原(73-74</t>
  </si>
  <si>
    <r>
      <rPr>
        <sz val="9"/>
        <color theme="1"/>
        <rFont val="微软雅黑"/>
        <charset val="134"/>
      </rPr>
      <t xml:space="preserve">尼拉塞克神殿（73-74 </t>
    </r>
    <r>
      <rPr>
        <b/>
        <sz val="9"/>
        <color theme="1"/>
        <rFont val="微软雅黑"/>
        <charset val="134"/>
      </rPr>
      <t>暴躁外皮</t>
    </r>
  </si>
  <si>
    <t>世界之石1（76-77</t>
  </si>
  <si>
    <t>邪恶之手伊斯梅尔</t>
  </si>
  <si>
    <t xml:space="preserve">下水道1（56-58 </t>
  </si>
  <si>
    <t>憎恨囚牢（59-60） 龙首马弗</t>
  </si>
  <si>
    <t>剥皮地窖2（52-54</t>
  </si>
  <si>
    <t>地狱熔炉2（65-67</t>
  </si>
  <si>
    <t>冰河路径（74-75</t>
  </si>
  <si>
    <t>冰冷苔原（75-76</t>
  </si>
  <si>
    <t>高原巅峰（75-76</t>
  </si>
  <si>
    <t>不洁的凡塔</t>
  </si>
  <si>
    <t>空虚使者韦恩</t>
  </si>
  <si>
    <t>塔里克</t>
  </si>
  <si>
    <t>下水道2（57-59</t>
  </si>
  <si>
    <r>
      <rPr>
        <sz val="9"/>
        <color rgb="FF92D050"/>
        <rFont val="微软雅黑"/>
        <charset val="134"/>
      </rPr>
      <t xml:space="preserve">剥皮地窖3（53-55  </t>
    </r>
    <r>
      <rPr>
        <b/>
        <sz val="9"/>
        <color theme="1"/>
        <rFont val="微软雅黑"/>
        <charset val="134"/>
      </rPr>
      <t>龙首马弗</t>
    </r>
  </si>
  <si>
    <t>地狱熔炉3（66-68</t>
  </si>
  <si>
    <t xml:space="preserve">冰之囚笼（75-75  巫妖领主 </t>
  </si>
  <si>
    <r>
      <rPr>
        <sz val="9"/>
        <color rgb="FF92D050"/>
        <rFont val="微软雅黑"/>
        <charset val="134"/>
      </rPr>
      <t xml:space="preserve">下水道3（59-60 </t>
    </r>
    <r>
      <rPr>
        <b/>
        <sz val="9"/>
        <color theme="1"/>
        <rFont val="微软雅黑"/>
        <charset val="134"/>
      </rPr>
      <t>冰拳托克</t>
    </r>
  </si>
  <si>
    <t xml:space="preserve">混沌避难所（68-70） </t>
  </si>
  <si>
    <t>封印领主</t>
  </si>
  <si>
    <t>古代无魂之卡 塔拉夏古墓</t>
  </si>
  <si>
    <t>战场之子莎莉娜 残破神殿</t>
  </si>
  <si>
    <t>粉碎者</t>
  </si>
  <si>
    <t>物件类型（1道具2组包）</t>
  </si>
  <si>
    <t>掉落ID</t>
  </si>
  <si>
    <t>掉落几率</t>
  </si>
  <si>
    <t>101001</t>
  </si>
  <si>
    <t>10级通用装备</t>
  </si>
  <si>
    <t>101002</t>
  </si>
  <si>
    <t>101003</t>
  </si>
  <si>
    <t>101004</t>
  </si>
  <si>
    <t>101005</t>
  </si>
  <si>
    <t>102001</t>
  </si>
  <si>
    <t>20级通用装备</t>
  </si>
  <si>
    <t>102002</t>
  </si>
  <si>
    <t>102003</t>
  </si>
  <si>
    <t>102004</t>
  </si>
  <si>
    <t>102005</t>
  </si>
  <si>
    <t>103001</t>
  </si>
  <si>
    <t>30级通用装备</t>
  </si>
  <si>
    <t>103002</t>
  </si>
  <si>
    <t>103003</t>
  </si>
  <si>
    <t>103004</t>
  </si>
  <si>
    <t>103005</t>
  </si>
  <si>
    <t>104001</t>
  </si>
  <si>
    <t>40级通用装备</t>
  </si>
  <si>
    <t>104002</t>
  </si>
  <si>
    <t>104003</t>
  </si>
  <si>
    <t>104004</t>
  </si>
  <si>
    <t>104005</t>
  </si>
  <si>
    <t>105001</t>
  </si>
  <si>
    <t>50级通用装备</t>
  </si>
  <si>
    <t>105002</t>
  </si>
  <si>
    <t>105003</t>
  </si>
  <si>
    <t>105004</t>
  </si>
  <si>
    <t>105005</t>
  </si>
  <si>
    <t>106001</t>
  </si>
  <si>
    <t>60级通用装备</t>
  </si>
  <si>
    <t>106002</t>
  </si>
  <si>
    <t>106003</t>
  </si>
  <si>
    <t>106004</t>
  </si>
  <si>
    <t>106005</t>
  </si>
  <si>
    <t>107001</t>
  </si>
  <si>
    <t>70级通用装备</t>
  </si>
  <si>
    <t>107002</t>
  </si>
  <si>
    <t>107003</t>
  </si>
  <si>
    <t>107004</t>
  </si>
  <si>
    <t>107005</t>
  </si>
  <si>
    <t>108001</t>
  </si>
  <si>
    <t>80级通用装备</t>
  </si>
  <si>
    <t>108002</t>
  </si>
  <si>
    <t>108003</t>
  </si>
  <si>
    <t>108004</t>
  </si>
  <si>
    <t>108005</t>
  </si>
  <si>
    <t>101018</t>
  </si>
  <si>
    <t>10级首饰</t>
  </si>
  <si>
    <t>101016</t>
  </si>
  <si>
    <t>101017</t>
  </si>
  <si>
    <t>101028</t>
  </si>
  <si>
    <t>101026</t>
  </si>
  <si>
    <t>101027</t>
  </si>
  <si>
    <t>101038</t>
  </si>
  <si>
    <t>101036</t>
  </si>
  <si>
    <t>101037</t>
  </si>
  <si>
    <t>102018</t>
  </si>
  <si>
    <t>20级首饰</t>
  </si>
  <si>
    <t>102016</t>
  </si>
  <si>
    <t>102017</t>
  </si>
  <si>
    <t>102028</t>
  </si>
  <si>
    <t>102026</t>
  </si>
  <si>
    <t>102027</t>
  </si>
  <si>
    <t>102038</t>
  </si>
  <si>
    <t>102036</t>
  </si>
  <si>
    <t>102037</t>
  </si>
  <si>
    <t>103018</t>
  </si>
  <si>
    <t>30级首饰</t>
  </si>
  <si>
    <t>103016</t>
  </si>
  <si>
    <t>103017</t>
  </si>
  <si>
    <t>103028</t>
  </si>
  <si>
    <t>103026</t>
  </si>
  <si>
    <t>103027</t>
  </si>
  <si>
    <t>103038</t>
  </si>
  <si>
    <t>103036</t>
  </si>
  <si>
    <t>103037</t>
  </si>
  <si>
    <t>104018</t>
  </si>
  <si>
    <t>40级首饰</t>
  </si>
  <si>
    <t>104016</t>
  </si>
  <si>
    <t>104017</t>
  </si>
  <si>
    <t>104028</t>
  </si>
  <si>
    <t>104026</t>
  </si>
  <si>
    <t>104027</t>
  </si>
  <si>
    <t>104038</t>
  </si>
  <si>
    <t>104036</t>
  </si>
  <si>
    <t>104037</t>
  </si>
  <si>
    <t>105018</t>
  </si>
  <si>
    <t>50级首饰</t>
  </si>
  <si>
    <t>105016</t>
  </si>
  <si>
    <t>105017</t>
  </si>
  <si>
    <t>105028</t>
  </si>
  <si>
    <t>105026</t>
  </si>
  <si>
    <t>105027</t>
  </si>
  <si>
    <t>105038</t>
  </si>
  <si>
    <t>105036</t>
  </si>
  <si>
    <t>105037</t>
  </si>
  <si>
    <t>106018</t>
  </si>
  <si>
    <t>60级首饰</t>
  </si>
  <si>
    <t>106016</t>
  </si>
  <si>
    <t>106017</t>
  </si>
  <si>
    <t>106028</t>
  </si>
  <si>
    <t>106026</t>
  </si>
  <si>
    <t>106027</t>
  </si>
  <si>
    <t>106038</t>
  </si>
  <si>
    <t>106036</t>
  </si>
  <si>
    <t>106037</t>
  </si>
  <si>
    <t>107018</t>
  </si>
  <si>
    <t>70级首饰</t>
  </si>
  <si>
    <t>107016</t>
  </si>
  <si>
    <t>107017</t>
  </si>
  <si>
    <t>107028</t>
  </si>
  <si>
    <t>107026</t>
  </si>
  <si>
    <t>107027</t>
  </si>
  <si>
    <t>107038</t>
  </si>
  <si>
    <t>107036</t>
  </si>
  <si>
    <t>107037</t>
  </si>
  <si>
    <t>108018</t>
  </si>
  <si>
    <t>80级首饰</t>
  </si>
  <si>
    <t>108016</t>
  </si>
  <si>
    <t>108017</t>
  </si>
  <si>
    <t>108028</t>
  </si>
  <si>
    <t>108026</t>
  </si>
  <si>
    <t>108027</t>
  </si>
  <si>
    <t>108038</t>
  </si>
  <si>
    <t>108036</t>
  </si>
  <si>
    <t>108037</t>
  </si>
  <si>
    <t>103011</t>
  </si>
  <si>
    <t>30级战士护甲</t>
  </si>
  <si>
    <t>103012</t>
  </si>
  <si>
    <t>103013</t>
  </si>
  <si>
    <t>103014</t>
  </si>
  <si>
    <t>103015</t>
  </si>
  <si>
    <t>104011</t>
  </si>
  <si>
    <t>40级战士护甲</t>
  </si>
  <si>
    <t>104012</t>
  </si>
  <si>
    <t>104013</t>
  </si>
  <si>
    <t>104014</t>
  </si>
  <si>
    <t>104015</t>
  </si>
  <si>
    <t>105011</t>
  </si>
  <si>
    <t>50级战士护甲</t>
  </si>
  <si>
    <t>105012</t>
  </si>
  <si>
    <t>105013</t>
  </si>
  <si>
    <t>105014</t>
  </si>
  <si>
    <t>105015</t>
  </si>
  <si>
    <t>106011</t>
  </si>
  <si>
    <t>60级战士护甲</t>
  </si>
  <si>
    <t>106012</t>
  </si>
  <si>
    <t>106013</t>
  </si>
  <si>
    <t>106014</t>
  </si>
  <si>
    <t>106015</t>
  </si>
  <si>
    <t>107011</t>
  </si>
  <si>
    <t>70级战士护甲</t>
  </si>
  <si>
    <t>107012</t>
  </si>
  <si>
    <t>107013</t>
  </si>
  <si>
    <t>107014</t>
  </si>
  <si>
    <t>107015</t>
  </si>
  <si>
    <t>108011</t>
  </si>
  <si>
    <t>80级战士护甲</t>
  </si>
  <si>
    <t>108012</t>
  </si>
  <si>
    <t>108013</t>
  </si>
  <si>
    <t>108014</t>
  </si>
  <si>
    <t>108015</t>
  </si>
  <si>
    <t>103021</t>
  </si>
  <si>
    <t>30级法师护甲</t>
  </si>
  <si>
    <t>103022</t>
  </si>
  <si>
    <t>103023</t>
  </si>
  <si>
    <t>103024</t>
  </si>
  <si>
    <t>103025</t>
  </si>
  <si>
    <t>104021</t>
  </si>
  <si>
    <t>40级法师护甲</t>
  </si>
  <si>
    <t>104022</t>
  </si>
  <si>
    <t>104023</t>
  </si>
  <si>
    <t>104024</t>
  </si>
  <si>
    <t>104025</t>
  </si>
  <si>
    <t>105021</t>
  </si>
  <si>
    <t>50级法师护甲</t>
  </si>
  <si>
    <t>105022</t>
  </si>
  <si>
    <t>105023</t>
  </si>
  <si>
    <t>105024</t>
  </si>
  <si>
    <t>105025</t>
  </si>
  <si>
    <t>106021</t>
  </si>
  <si>
    <t>60级法师护甲</t>
  </si>
  <si>
    <t>106022</t>
  </si>
  <si>
    <t>106023</t>
  </si>
  <si>
    <t>106024</t>
  </si>
  <si>
    <t>106025</t>
  </si>
  <si>
    <t>107021</t>
  </si>
  <si>
    <t>70级法师护甲</t>
  </si>
  <si>
    <t>107022</t>
  </si>
  <si>
    <t>107023</t>
  </si>
  <si>
    <t>107024</t>
  </si>
  <si>
    <t>107025</t>
  </si>
  <si>
    <t>108021</t>
  </si>
  <si>
    <t>80级法师护甲</t>
  </si>
  <si>
    <t>108022</t>
  </si>
  <si>
    <t>108023</t>
  </si>
  <si>
    <t>108024</t>
  </si>
  <si>
    <t>108025</t>
  </si>
  <si>
    <t>103031</t>
  </si>
  <si>
    <t>30级道士护甲</t>
  </si>
  <si>
    <t>103032</t>
  </si>
  <si>
    <t>103033</t>
  </si>
  <si>
    <t>103034</t>
  </si>
  <si>
    <t>103035</t>
  </si>
  <si>
    <t>104031</t>
  </si>
  <si>
    <t>40级道士护甲</t>
  </si>
  <si>
    <t>104032</t>
  </si>
  <si>
    <t>104033</t>
  </si>
  <si>
    <t>104034</t>
  </si>
  <si>
    <t>104035</t>
  </si>
  <si>
    <t>105031</t>
  </si>
  <si>
    <t>50级道士护甲</t>
  </si>
  <si>
    <t>105032</t>
  </si>
  <si>
    <t>105033</t>
  </si>
  <si>
    <t>105034</t>
  </si>
  <si>
    <t>105035</t>
  </si>
  <si>
    <t>106031</t>
  </si>
  <si>
    <t>60级道士护甲</t>
  </si>
  <si>
    <t>106032</t>
  </si>
  <si>
    <t>106033</t>
  </si>
  <si>
    <t>106034</t>
  </si>
  <si>
    <t>106035</t>
  </si>
  <si>
    <t>107031</t>
  </si>
  <si>
    <t>70级道士护甲</t>
  </si>
  <si>
    <t>107032</t>
  </si>
  <si>
    <t>107033</t>
  </si>
  <si>
    <t>107034</t>
  </si>
  <si>
    <t>107035</t>
  </si>
  <si>
    <t>108031</t>
  </si>
  <si>
    <t>80级道士护甲</t>
  </si>
  <si>
    <t>108032</t>
  </si>
  <si>
    <t>108033</t>
  </si>
  <si>
    <t>108034</t>
  </si>
  <si>
    <t>108035</t>
  </si>
  <si>
    <t>30级战士</t>
  </si>
  <si>
    <t>40级战士</t>
  </si>
  <si>
    <t>50级战士</t>
  </si>
  <si>
    <t>60级战士</t>
  </si>
  <si>
    <t>70级战士</t>
  </si>
  <si>
    <t>80级战士</t>
  </si>
  <si>
    <t>30级法师</t>
  </si>
  <si>
    <t>40级法师</t>
  </si>
  <si>
    <t>50级法师</t>
  </si>
  <si>
    <t>60级法师</t>
  </si>
  <si>
    <t>70级法师</t>
  </si>
  <si>
    <t>80级法师</t>
  </si>
  <si>
    <t>30级道士</t>
  </si>
  <si>
    <t>40级道士</t>
  </si>
  <si>
    <t>50级道士</t>
  </si>
  <si>
    <t>60级道士</t>
  </si>
  <si>
    <t>70级道士</t>
  </si>
  <si>
    <t>80级道士</t>
  </si>
  <si>
    <t>10级装备（总）</t>
  </si>
  <si>
    <t>20级装备（总）</t>
  </si>
  <si>
    <t>30级装备（总）</t>
  </si>
  <si>
    <t>40级装备（总）</t>
  </si>
  <si>
    <t>50级装备（总）</t>
  </si>
  <si>
    <t>60级装备（总）</t>
  </si>
  <si>
    <t>70级装备（总）</t>
  </si>
  <si>
    <t>80级装备（总）</t>
  </si>
  <si>
    <t>重击</t>
  </si>
  <si>
    <t>火球术</t>
  </si>
  <si>
    <t>灵魂邪火</t>
  </si>
  <si>
    <t>挥击</t>
  </si>
  <si>
    <t>雷电术</t>
  </si>
  <si>
    <t>生命虹吸</t>
  </si>
  <si>
    <t>旋风斩</t>
  </si>
  <si>
    <t>火墙</t>
  </si>
  <si>
    <t>剧毒新星</t>
  </si>
  <si>
    <t>狂乱</t>
  </si>
  <si>
    <t>召唤水元素</t>
  </si>
  <si>
    <t>骷髅复生</t>
  </si>
  <si>
    <t>战争狂嗥</t>
  </si>
  <si>
    <t>元素支配</t>
  </si>
  <si>
    <t>精魂魄身</t>
  </si>
  <si>
    <t>铁布衫</t>
  </si>
  <si>
    <t>能量护盾</t>
  </si>
  <si>
    <t>王者领域</t>
  </si>
  <si>
    <t>跳跃重斩</t>
  </si>
  <si>
    <t>寒冰风暴</t>
  </si>
  <si>
    <t>白骨装甲</t>
  </si>
  <si>
    <t>初级生命药水</t>
  </si>
  <si>
    <t>初级法力药水</t>
  </si>
  <si>
    <t>回复药剂</t>
  </si>
  <si>
    <t>中级生命药水</t>
  </si>
  <si>
    <t>中级法力药水</t>
  </si>
  <si>
    <t>高级生命药水</t>
  </si>
  <si>
    <t>高级法力药水</t>
  </si>
  <si>
    <t>特级生命药水</t>
  </si>
  <si>
    <t>特级法力药水</t>
  </si>
  <si>
    <t>洗练石</t>
  </si>
  <si>
    <t>技能残卷</t>
  </si>
  <si>
    <t>技能丹</t>
  </si>
  <si>
    <t>基础等级属性</t>
  </si>
  <si>
    <t>全身强化</t>
  </si>
  <si>
    <t>装备基础</t>
  </si>
  <si>
    <t>装备极品值</t>
  </si>
  <si>
    <t>装备随机附加</t>
  </si>
  <si>
    <t>基础伤害</t>
  </si>
  <si>
    <t>攻击次数</t>
  </si>
  <si>
    <t>技能系数</t>
  </si>
  <si>
    <t>基础生命</t>
  </si>
  <si>
    <t>基础攻击</t>
  </si>
  <si>
    <t>基础防御</t>
  </si>
  <si>
    <t>全身强化等级</t>
  </si>
  <si>
    <t>强化生命</t>
  </si>
  <si>
    <t>强化攻击</t>
  </si>
  <si>
    <t>强化防御</t>
  </si>
  <si>
    <t>暗黑技能</t>
  </si>
  <si>
    <t>传奇技能</t>
  </si>
  <si>
    <t>普通剑术</t>
  </si>
  <si>
    <t>主动</t>
  </si>
  <si>
    <t>对单个目标造成物理伤害，同时几率附带一个减防debuff持续2秒</t>
  </si>
  <si>
    <t>强力打击增加造成的伤害并击退敌人</t>
  </si>
  <si>
    <t>刺杀剑术</t>
  </si>
  <si>
    <t>对单个目标造成物理伤害，同时对周围单个敌人造成50%伤害</t>
  </si>
  <si>
    <t>击晕</t>
  </si>
  <si>
    <t>成功的攻击将使人晕眩</t>
  </si>
  <si>
    <t>半月弯刀</t>
  </si>
  <si>
    <t>对周围最多3个目标造成物理伤害，且附加一个持续3秒的流血DOT</t>
  </si>
  <si>
    <t>跳跃攻击</t>
  </si>
  <si>
    <t>攻杀剑术</t>
  </si>
  <si>
    <t>被动</t>
  </si>
  <si>
    <t>提高攻击力，且攻击时几率造成额外伤害</t>
  </si>
  <si>
    <t>双手挥击</t>
  </si>
  <si>
    <t>击中两个敌人或者攻击一个敌人两次</t>
  </si>
  <si>
    <t>狮子吼</t>
  </si>
  <si>
    <t>对周围最多5个敌人造成伤害，几率附带眩晕效果</t>
  </si>
  <si>
    <t>专心</t>
  </si>
  <si>
    <t>提高攻击以及防御等级</t>
  </si>
  <si>
    <t>护体真气</t>
  </si>
  <si>
    <t>提高自身生命值与防御值</t>
  </si>
  <si>
    <t>烈火剑法</t>
  </si>
  <si>
    <t>对单个目标造成大量的物理伤害，目标生命值低于30%时伤害额外提高</t>
  </si>
  <si>
    <t>对单个目标造成魔法伤害</t>
  </si>
  <si>
    <t>闪电</t>
  </si>
  <si>
    <t>对单个目标造成魔法伤害，几率附带昏迷</t>
  </si>
  <si>
    <t>对周围最多4个目标直接造成魔法伤害，且5秒内造成持续的魔法伤害</t>
  </si>
  <si>
    <t>诱惑之光</t>
  </si>
  <si>
    <t>召唤一个怪物为自己i作战，怪物属性受到自身属性影响</t>
  </si>
  <si>
    <t>法术精通</t>
  </si>
  <si>
    <t>魔法攻击提高，且攻击时有几率造成额外伤害</t>
  </si>
  <si>
    <t>魔法盾</t>
  </si>
  <si>
    <t>开启之后吸收一定伤害，最多相当于自身魔法攻击力的x%</t>
  </si>
  <si>
    <t>冰风暴</t>
  </si>
  <si>
    <t>冰咆哮</t>
  </si>
  <si>
    <t>对最多N个目标造成大量魔法伤害，同时降低目标攻速，持续3秒</t>
  </si>
  <si>
    <t>术士（术法攻击）</t>
  </si>
  <si>
    <t>灵魂火符</t>
  </si>
  <si>
    <t>对单个目标造成道术伤害</t>
  </si>
  <si>
    <t>虹吸</t>
  </si>
  <si>
    <t>治疗术</t>
  </si>
  <si>
    <t>恢复自身生命值，同时添加一个持续回血的HOT</t>
  </si>
  <si>
    <t>施毒术</t>
  </si>
  <si>
    <t>对周围最多4个目标下毒，立即造成伤害，同时持续掉血</t>
  </si>
  <si>
    <t>召唤骷髅</t>
  </si>
  <si>
    <t>召唤骷髅为自己作战，后续可召唤多个骷髅</t>
  </si>
  <si>
    <t>精神力战法</t>
  </si>
  <si>
    <t>提高自身道术攻击与防御值</t>
  </si>
  <si>
    <t>隐身术</t>
  </si>
  <si>
    <t>受到伤害时，有几率使自己本次受到的伤害降低</t>
  </si>
  <si>
    <t>无极真气</t>
  </si>
  <si>
    <t>使用后30秒内提高自身防御与攻击力，且攻击时附带生命吸取</t>
  </si>
  <si>
    <t>BOSS</t>
  </si>
  <si>
    <t>计算用生命</t>
  </si>
  <si>
    <t>计算用攻击</t>
  </si>
  <si>
    <t>计算用防御</t>
  </si>
  <si>
    <t>伤害比例</t>
  </si>
  <si>
    <t>白色</t>
  </si>
  <si>
    <t>绿色</t>
  </si>
  <si>
    <t>蓝色</t>
  </si>
  <si>
    <t>紫色</t>
  </si>
  <si>
    <t>沉沦魔</t>
  </si>
  <si>
    <t>拉卡尼休</t>
  </si>
  <si>
    <t>沉沦巫师</t>
  </si>
  <si>
    <t>牙皮</t>
  </si>
  <si>
    <t>骷髅战士</t>
  </si>
  <si>
    <t>古巫医印都</t>
  </si>
  <si>
    <t>骷髅弓箭手</t>
  </si>
  <si>
    <t>灵魂传播者</t>
  </si>
  <si>
    <t>骷髅法师</t>
  </si>
  <si>
    <t>雪鹰</t>
  </si>
  <si>
    <t>巨大蜘蛛</t>
  </si>
  <si>
    <t>吸血鬼</t>
  </si>
  <si>
    <t>跳跃者</t>
  </si>
  <si>
    <t>圣甲虫</t>
  </si>
  <si>
    <t>沙虫</t>
  </si>
  <si>
    <t>秃鹰</t>
  </si>
  <si>
    <t>剑齿猫</t>
  </si>
  <si>
    <t>木乃伊</t>
  </si>
  <si>
    <t>巨型木乃伊</t>
  </si>
  <si>
    <t>利爪辐射</t>
  </si>
  <si>
    <t>蝙蝠</t>
  </si>
  <si>
    <t>小矮人巫师</t>
  </si>
  <si>
    <t>巨大蚊子</t>
  </si>
  <si>
    <t>刺木魔</t>
  </si>
  <si>
    <t>白骨矮人</t>
  </si>
  <si>
    <t>议会成员</t>
  </si>
  <si>
    <t>萨卡兰姆狂战士</t>
  </si>
  <si>
    <t>撒卡兰姆巫师</t>
  </si>
  <si>
    <t>巨大恶魔</t>
  </si>
  <si>
    <t>尖指法师</t>
  </si>
  <si>
    <t>遗忘其实</t>
  </si>
  <si>
    <t>邪恶虫母</t>
  </si>
  <si>
    <t>反刍者</t>
  </si>
  <si>
    <t>巴尔的仆从</t>
  </si>
  <si>
    <t>女妖</t>
  </si>
  <si>
    <t>冥河随充</t>
  </si>
  <si>
    <t>痛苦蠕虫</t>
  </si>
  <si>
    <t>毁灭仆从</t>
  </si>
  <si>
    <t>序号</t>
  </si>
  <si>
    <t>数值，防御为1/5,血量为10倍</t>
  </si>
  <si>
    <t>强化数值-固定-单部件</t>
  </si>
  <si>
    <t>武器/衣服</t>
  </si>
  <si>
    <t>项链,头盔,戒指,手镯,腰带,鞋子</t>
  </si>
  <si>
    <t>怪数值，普通攻击10下</t>
  </si>
  <si>
    <t>满级最终属性</t>
  </si>
  <si>
    <t>基础数值和强化数值一致，武器衣服为3倍，等级为10倍数的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</si>
</sst>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  <numFmt numFmtId="177" formatCode="0.0%"/>
  </numFmts>
  <fonts count="38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b/>
      <sz val="10"/>
      <color rgb="FFFF0000"/>
      <name val="微软雅黑"/>
      <charset val="134"/>
    </font>
    <font>
      <sz val="9"/>
      <color theme="1" tint="0.499984740745262"/>
      <name val="微软雅黑"/>
      <charset val="134"/>
    </font>
    <font>
      <sz val="9"/>
      <color rgb="FF92D050"/>
      <name val="微软雅黑"/>
      <charset val="134"/>
    </font>
    <font>
      <sz val="9"/>
      <color theme="5" tint="0.399975585192419"/>
      <name val="微软雅黑"/>
      <charset val="134"/>
    </font>
    <font>
      <b/>
      <sz val="10"/>
      <color theme="5" tint="0.399975585192419"/>
      <name val="微软雅黑"/>
      <charset val="134"/>
    </font>
    <font>
      <sz val="9"/>
      <color theme="8" tint="0.399975585192419"/>
      <name val="微软雅黑"/>
      <charset val="134"/>
    </font>
    <font>
      <b/>
      <sz val="10"/>
      <color theme="8" tint="0.399975585192419"/>
      <name val="微软雅黑"/>
      <charset val="134"/>
    </font>
    <font>
      <b/>
      <sz val="10"/>
      <color rgb="FF92D050"/>
      <name val="微软雅黑"/>
      <charset val="134"/>
    </font>
    <font>
      <b/>
      <sz val="9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color rgb="FFFFC000"/>
      <name val="微软雅黑"/>
      <charset val="134"/>
    </font>
    <font>
      <b/>
      <sz val="9"/>
      <color rgb="FFFFC000"/>
      <name val="微软雅黑"/>
      <charset val="134"/>
    </font>
    <font>
      <b/>
      <sz val="9"/>
      <color rgb="FF92D050"/>
      <name val="微软雅黑"/>
      <charset val="134"/>
    </font>
    <font>
      <b/>
      <sz val="9"/>
      <name val="微软雅黑"/>
      <charset val="134"/>
    </font>
    <font>
      <b/>
      <sz val="9"/>
      <color theme="8" tint="0.399975585192419"/>
      <name val="微软雅黑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E4C8E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25" borderId="19" applyNumberFormat="0" applyAlignment="0" applyProtection="0">
      <alignment vertical="center"/>
    </xf>
    <xf numFmtId="0" fontId="27" fillId="25" borderId="15" applyNumberFormat="0" applyAlignment="0" applyProtection="0">
      <alignment vertical="center"/>
    </xf>
    <xf numFmtId="0" fontId="28" fillId="26" borderId="20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0" borderId="0" xfId="0" applyFont="1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/>
    <xf numFmtId="0" fontId="8" fillId="5" borderId="1" xfId="0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7" fillId="5" borderId="0" xfId="0" applyFont="1" applyFill="1" applyAlignment="1">
      <alignment horizontal="left"/>
    </xf>
    <xf numFmtId="0" fontId="3" fillId="6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13" fillId="5" borderId="1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7" borderId="0" xfId="0" applyFont="1" applyFill="1"/>
    <xf numFmtId="0" fontId="1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0" borderId="2" xfId="0" applyFont="1" applyBorder="1"/>
    <xf numFmtId="0" fontId="2" fillId="10" borderId="2" xfId="0" applyFont="1" applyFill="1" applyBorder="1" applyAlignment="1">
      <alignment horizontal="center"/>
    </xf>
    <xf numFmtId="0" fontId="12" fillId="0" borderId="2" xfId="0" applyFont="1" applyBorder="1"/>
    <xf numFmtId="0" fontId="2" fillId="10" borderId="2" xfId="0" applyFont="1" applyFill="1" applyBorder="1"/>
    <xf numFmtId="0" fontId="2" fillId="0" borderId="0" xfId="0" applyFont="1" applyBorder="1"/>
    <xf numFmtId="0" fontId="2" fillId="10" borderId="0" xfId="0" applyFont="1" applyFill="1" applyBorder="1"/>
    <xf numFmtId="0" fontId="12" fillId="0" borderId="0" xfId="0" applyFont="1"/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/>
    <xf numFmtId="0" fontId="2" fillId="10" borderId="7" xfId="0" applyFont="1" applyFill="1" applyBorder="1"/>
    <xf numFmtId="0" fontId="2" fillId="9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0" xfId="0" applyNumberFormat="1" applyFont="1"/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4" borderId="2" xfId="0" applyFont="1" applyFill="1" applyBorder="1"/>
    <xf numFmtId="0" fontId="2" fillId="15" borderId="2" xfId="0" applyFont="1" applyFill="1" applyBorder="1"/>
    <xf numFmtId="9" fontId="2" fillId="0" borderId="0" xfId="0" applyNumberFormat="1" applyFont="1"/>
    <xf numFmtId="177" fontId="2" fillId="0" borderId="0" xfId="0" applyNumberFormat="1" applyFont="1"/>
    <xf numFmtId="0" fontId="2" fillId="16" borderId="2" xfId="0" applyFont="1" applyFill="1" applyBorder="1"/>
    <xf numFmtId="0" fontId="2" fillId="14" borderId="9" xfId="0" applyFont="1" applyFill="1" applyBorder="1"/>
    <xf numFmtId="0" fontId="2" fillId="14" borderId="10" xfId="0" applyFont="1" applyFill="1" applyBorder="1"/>
    <xf numFmtId="0" fontId="2" fillId="14" borderId="11" xfId="0" applyFont="1" applyFill="1" applyBorder="1"/>
    <xf numFmtId="0" fontId="2" fillId="14" borderId="6" xfId="0" applyFont="1" applyFill="1" applyBorder="1"/>
    <xf numFmtId="0" fontId="2" fillId="14" borderId="0" xfId="0" applyFont="1" applyFill="1" applyBorder="1"/>
    <xf numFmtId="0" fontId="2" fillId="14" borderId="7" xfId="0" applyFont="1" applyFill="1" applyBorder="1"/>
    <xf numFmtId="0" fontId="2" fillId="14" borderId="12" xfId="0" applyFont="1" applyFill="1" applyBorder="1"/>
    <xf numFmtId="0" fontId="2" fillId="14" borderId="13" xfId="0" applyFont="1" applyFill="1" applyBorder="1"/>
    <xf numFmtId="0" fontId="2" fillId="14" borderId="14" xfId="0" applyFont="1" applyFill="1" applyBorder="1"/>
    <xf numFmtId="0" fontId="2" fillId="7" borderId="0" xfId="0" applyFont="1" applyFill="1" applyAlignment="1">
      <alignment horizontal="center"/>
    </xf>
    <xf numFmtId="0" fontId="2" fillId="14" borderId="0" xfId="0" applyFont="1" applyFill="1"/>
    <xf numFmtId="0" fontId="2" fillId="0" borderId="0" xfId="0" applyFont="1" applyFill="1" applyBorder="1"/>
    <xf numFmtId="0" fontId="2" fillId="2" borderId="0" xfId="0" applyFont="1" applyFill="1" applyBorder="1"/>
    <xf numFmtId="0" fontId="2" fillId="0" borderId="0" xfId="0" applyFont="1" applyFill="1"/>
    <xf numFmtId="0" fontId="12" fillId="0" borderId="0" xfId="0" applyFont="1" applyFill="1"/>
    <xf numFmtId="0" fontId="3" fillId="0" borderId="0" xfId="0" applyFont="1" applyFill="1"/>
    <xf numFmtId="3" fontId="2" fillId="0" borderId="0" xfId="0" applyNumberFormat="1" applyFont="1" quotePrefix="1"/>
    <xf numFmtId="0" fontId="2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C8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28575</xdr:colOff>
      <xdr:row>3</xdr:row>
      <xdr:rowOff>171450</xdr:rowOff>
    </xdr:from>
    <xdr:to>
      <xdr:col>21</xdr:col>
      <xdr:colOff>228146</xdr:colOff>
      <xdr:row>11</xdr:row>
      <xdr:rowOff>18888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020550" y="714375"/>
          <a:ext cx="3628390" cy="1294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d.163.com/db/cn/49516/equipment/sloraks-madness-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9"/>
  <sheetViews>
    <sheetView workbookViewId="0">
      <selection activeCell="D11" sqref="D11"/>
    </sheetView>
  </sheetViews>
  <sheetFormatPr defaultColWidth="9" defaultRowHeight="14.25" outlineLevelCol="6"/>
  <cols>
    <col min="1" max="16384" width="9" style="78"/>
  </cols>
  <sheetData>
    <row r="1" spans="1:1">
      <c r="A1" s="78" t="s">
        <v>0</v>
      </c>
    </row>
    <row r="2" spans="3:3">
      <c r="C2" s="78" t="s">
        <v>1</v>
      </c>
    </row>
    <row r="3" spans="2:3">
      <c r="B3" s="78" t="s">
        <v>2</v>
      </c>
      <c r="C3" s="78">
        <v>10</v>
      </c>
    </row>
    <row r="4" spans="2:3">
      <c r="B4" s="78" t="s">
        <v>3</v>
      </c>
      <c r="C4" s="78" t="s">
        <v>4</v>
      </c>
    </row>
    <row r="5" spans="2:3">
      <c r="B5" s="78" t="s">
        <v>5</v>
      </c>
      <c r="C5" s="78" t="s">
        <v>6</v>
      </c>
    </row>
    <row r="7" spans="1:1">
      <c r="A7" s="78" t="s">
        <v>7</v>
      </c>
    </row>
    <row r="8" spans="1:4">
      <c r="A8" s="79" t="s">
        <v>8</v>
      </c>
      <c r="D8" s="78" t="s">
        <v>9</v>
      </c>
    </row>
    <row r="9" spans="2:6">
      <c r="B9" s="78" t="s">
        <v>10</v>
      </c>
      <c r="C9" s="78" t="s">
        <v>11</v>
      </c>
      <c r="D9" s="78">
        <v>2</v>
      </c>
      <c r="F9" s="78">
        <v>10</v>
      </c>
    </row>
    <row r="10" spans="2:6">
      <c r="B10" s="78" t="s">
        <v>12</v>
      </c>
      <c r="C10" s="78" t="s">
        <v>11</v>
      </c>
      <c r="D10" s="78">
        <v>1</v>
      </c>
      <c r="F10" s="78">
        <v>2</v>
      </c>
    </row>
    <row r="11" spans="2:6">
      <c r="B11" s="78" t="s">
        <v>13</v>
      </c>
      <c r="C11" s="78" t="s">
        <v>11</v>
      </c>
      <c r="D11" s="78">
        <v>10</v>
      </c>
      <c r="F11" s="78">
        <v>1</v>
      </c>
    </row>
    <row r="12" spans="2:4">
      <c r="B12" s="78" t="s">
        <v>14</v>
      </c>
      <c r="C12" s="78" t="s">
        <v>11</v>
      </c>
      <c r="D12" s="78">
        <v>10</v>
      </c>
    </row>
    <row r="13" spans="2:4">
      <c r="B13" s="78" t="s">
        <v>15</v>
      </c>
      <c r="C13" s="78" t="s">
        <v>11</v>
      </c>
      <c r="D13" s="78">
        <v>10</v>
      </c>
    </row>
    <row r="14" spans="1:4">
      <c r="A14" s="78" t="s">
        <v>16</v>
      </c>
      <c r="B14" s="78" t="s">
        <v>17</v>
      </c>
      <c r="C14" s="78" t="s">
        <v>11</v>
      </c>
      <c r="D14" s="78">
        <v>10</v>
      </c>
    </row>
    <row r="15" spans="2:4">
      <c r="B15" s="78" t="s">
        <v>18</v>
      </c>
      <c r="C15" s="78" t="s">
        <v>11</v>
      </c>
      <c r="D15" s="78">
        <v>50</v>
      </c>
    </row>
    <row r="16" spans="2:4">
      <c r="B16" s="78" t="s">
        <v>19</v>
      </c>
      <c r="C16" s="78" t="s">
        <v>11</v>
      </c>
      <c r="D16" s="78">
        <v>100</v>
      </c>
    </row>
    <row r="17" spans="1:1">
      <c r="A17" s="79" t="s">
        <v>20</v>
      </c>
    </row>
    <row r="18" spans="2:3">
      <c r="B18" s="78" t="s">
        <v>21</v>
      </c>
      <c r="C18" s="78" t="s">
        <v>22</v>
      </c>
    </row>
    <row r="19" spans="2:3">
      <c r="B19" s="78" t="s">
        <v>23</v>
      </c>
      <c r="C19" s="78" t="s">
        <v>22</v>
      </c>
    </row>
    <row r="20" spans="2:3">
      <c r="B20" s="78" t="s">
        <v>24</v>
      </c>
      <c r="C20" s="78" t="s">
        <v>11</v>
      </c>
    </row>
    <row r="21" spans="2:3">
      <c r="B21" s="78" t="s">
        <v>25</v>
      </c>
      <c r="C21" s="78" t="s">
        <v>11</v>
      </c>
    </row>
    <row r="22" spans="2:3">
      <c r="B22" s="78" t="s">
        <v>26</v>
      </c>
      <c r="C22" s="78" t="s">
        <v>22</v>
      </c>
    </row>
    <row r="23" spans="2:3">
      <c r="B23" s="78" t="s">
        <v>27</v>
      </c>
      <c r="C23" s="78" t="s">
        <v>22</v>
      </c>
    </row>
    <row r="24" spans="2:3">
      <c r="B24" s="78" t="s">
        <v>28</v>
      </c>
      <c r="C24" s="78" t="s">
        <v>11</v>
      </c>
    </row>
    <row r="25" spans="2:3">
      <c r="B25" s="78" t="s">
        <v>29</v>
      </c>
      <c r="C25" s="78" t="s">
        <v>11</v>
      </c>
    </row>
    <row r="26" spans="2:3">
      <c r="B26" s="78" t="s">
        <v>30</v>
      </c>
      <c r="C26" s="78" t="s">
        <v>22</v>
      </c>
    </row>
    <row r="27" spans="2:3">
      <c r="B27" s="78" t="s">
        <v>31</v>
      </c>
      <c r="C27" s="78" t="s">
        <v>22</v>
      </c>
    </row>
    <row r="28" spans="2:3">
      <c r="B28" s="78" t="s">
        <v>32</v>
      </c>
      <c r="C28" s="78" t="s">
        <v>22</v>
      </c>
    </row>
    <row r="29" spans="2:3">
      <c r="B29" s="78" t="s">
        <v>33</v>
      </c>
      <c r="C29" s="78" t="s">
        <v>22</v>
      </c>
    </row>
    <row r="32" spans="1:1">
      <c r="A32" s="78" t="s">
        <v>34</v>
      </c>
    </row>
    <row r="33" spans="1:2">
      <c r="A33" s="78">
        <v>1</v>
      </c>
      <c r="B33" s="78" t="s">
        <v>35</v>
      </c>
    </row>
    <row r="34" spans="2:2">
      <c r="B34" s="78" t="s">
        <v>36</v>
      </c>
    </row>
    <row r="35" spans="3:3">
      <c r="C35" s="80" t="s">
        <v>37</v>
      </c>
    </row>
    <row r="36" spans="2:2">
      <c r="B36" s="78" t="s">
        <v>38</v>
      </c>
    </row>
    <row r="37" spans="3:3">
      <c r="C37" s="80" t="s">
        <v>39</v>
      </c>
    </row>
    <row r="39" spans="2:2">
      <c r="B39" s="78" t="s">
        <v>40</v>
      </c>
    </row>
    <row r="40" spans="3:3">
      <c r="C40" s="78" t="s">
        <v>41</v>
      </c>
    </row>
    <row r="41" spans="1:2">
      <c r="A41" s="78">
        <v>2</v>
      </c>
      <c r="B41" s="78" t="s">
        <v>42</v>
      </c>
    </row>
    <row r="42" spans="3:3">
      <c r="C42" s="78" t="s">
        <v>43</v>
      </c>
    </row>
    <row r="44" spans="3:3">
      <c r="C44" s="78" t="s">
        <v>44</v>
      </c>
    </row>
    <row r="46" spans="1:2">
      <c r="A46" s="78">
        <v>3</v>
      </c>
      <c r="B46" s="78" t="s">
        <v>45</v>
      </c>
    </row>
    <row r="47" spans="3:3">
      <c r="C47" s="78" t="s">
        <v>46</v>
      </c>
    </row>
    <row r="49" spans="1:2">
      <c r="A49" s="78">
        <v>4</v>
      </c>
      <c r="B49" s="78" t="s">
        <v>47</v>
      </c>
    </row>
    <row r="50" spans="3:3">
      <c r="C50" s="78" t="s">
        <v>48</v>
      </c>
    </row>
    <row r="51" spans="3:3">
      <c r="C51" s="78" t="s">
        <v>49</v>
      </c>
    </row>
    <row r="53" spans="1:2">
      <c r="A53" s="78">
        <v>5</v>
      </c>
      <c r="B53" s="78" t="s">
        <v>50</v>
      </c>
    </row>
    <row r="54" spans="3:3">
      <c r="C54" s="78" t="s">
        <v>51</v>
      </c>
    </row>
    <row r="55" spans="3:3">
      <c r="C55" s="78" t="s">
        <v>52</v>
      </c>
    </row>
    <row r="58" spans="1:1">
      <c r="A58" s="78" t="s">
        <v>53</v>
      </c>
    </row>
    <row r="59" spans="2:2">
      <c r="B59" s="78" t="s">
        <v>54</v>
      </c>
    </row>
    <row r="60" spans="2:2">
      <c r="B60" s="78" t="s">
        <v>55</v>
      </c>
    </row>
    <row r="61" spans="3:3">
      <c r="C61" s="78" t="s">
        <v>56</v>
      </c>
    </row>
    <row r="63" spans="2:2">
      <c r="B63" s="78" t="s">
        <v>57</v>
      </c>
    </row>
    <row r="64" spans="3:3">
      <c r="C64" s="78" t="s">
        <v>58</v>
      </c>
    </row>
    <row r="67" spans="1:1">
      <c r="A67" s="78" t="s">
        <v>59</v>
      </c>
    </row>
    <row r="69" spans="2:2">
      <c r="B69" s="78" t="s">
        <v>60</v>
      </c>
    </row>
    <row r="70" spans="2:2">
      <c r="B70" s="78" t="s">
        <v>61</v>
      </c>
    </row>
    <row r="71" spans="2:2">
      <c r="B71" s="78" t="s">
        <v>62</v>
      </c>
    </row>
    <row r="72" spans="2:2">
      <c r="B72" s="78" t="s">
        <v>63</v>
      </c>
    </row>
    <row r="73" spans="2:2">
      <c r="B73" s="78" t="s">
        <v>64</v>
      </c>
    </row>
    <row r="74" spans="3:3">
      <c r="C74" s="78" t="s">
        <v>65</v>
      </c>
    </row>
    <row r="75" spans="3:7">
      <c r="C75" s="78" t="s">
        <v>66</v>
      </c>
      <c r="G75" s="78" t="s">
        <v>67</v>
      </c>
    </row>
    <row r="76" spans="3:3">
      <c r="C76" s="78" t="s">
        <v>68</v>
      </c>
    </row>
    <row r="78" spans="3:3">
      <c r="C78" s="78" t="s">
        <v>69</v>
      </c>
    </row>
    <row r="79" spans="3:3">
      <c r="C79" s="78" t="s">
        <v>70</v>
      </c>
    </row>
  </sheetData>
  <pageMargins left="0.7" right="0.7" top="0.75" bottom="0.75" header="0.3" footer="0.3"/>
  <pageSetup paperSize="9" orientation="portrait" horizontalDpi="360" verticalDpi="36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9"/>
  <sheetViews>
    <sheetView workbookViewId="0">
      <pane ySplit="1" topLeftCell="A474" activePane="bottomLeft" state="frozen"/>
      <selection/>
      <selection pane="bottomLeft" activeCell="K497" sqref="K485 K489 K493 K497"/>
    </sheetView>
  </sheetViews>
  <sheetFormatPr defaultColWidth="9" defaultRowHeight="14.25"/>
  <cols>
    <col min="1" max="1" width="9" style="4"/>
    <col min="2" max="2" width="10.875" style="4" customWidth="1"/>
    <col min="3" max="3" width="9" style="4"/>
    <col min="4" max="4" width="11.625" style="4" customWidth="1"/>
    <col min="5" max="8" width="9" style="4"/>
    <col min="9" max="9" width="16" style="4" customWidth="1"/>
    <col min="10" max="10" width="10.875" style="4" customWidth="1"/>
    <col min="11" max="16384" width="9" style="4"/>
  </cols>
  <sheetData>
    <row r="1" spans="4:8">
      <c r="D1" s="4" t="s">
        <v>788</v>
      </c>
      <c r="E1" s="4" t="s">
        <v>789</v>
      </c>
      <c r="F1" s="4" t="s">
        <v>790</v>
      </c>
      <c r="G1" s="4" t="s">
        <v>629</v>
      </c>
      <c r="H1" s="4" t="s">
        <v>630</v>
      </c>
    </row>
    <row r="2" spans="2:11">
      <c r="B2" s="4" t="s">
        <v>150</v>
      </c>
      <c r="C2" s="4" t="s">
        <v>791</v>
      </c>
      <c r="D2" s="4">
        <v>1</v>
      </c>
      <c r="E2" s="4" t="str">
        <f>C2</f>
        <v>101001</v>
      </c>
      <c r="F2" s="4">
        <v>2000</v>
      </c>
      <c r="G2" s="4">
        <v>1</v>
      </c>
      <c r="H2" s="4">
        <v>1</v>
      </c>
      <c r="I2" s="4" t="str">
        <f>D2&amp;":"&amp;E2&amp;":"&amp;F2&amp;":"&amp;G2&amp;":"&amp;H2</f>
        <v>1:101001:2000:1:1</v>
      </c>
      <c r="J2" s="4" t="s">
        <v>792</v>
      </c>
      <c r="K2" s="4" t="str">
        <f>I2&amp;","&amp;I3&amp;","&amp;I4&amp;","&amp;I5&amp;","&amp;I6</f>
        <v>1:101001:2000:1:1,1:101002:2000:1:1,1:101003:2000:1:1,1:101004:2000:1:1,1:101005:2000:1:1</v>
      </c>
    </row>
    <row r="3" spans="2:9">
      <c r="B3" s="4" t="s">
        <v>153</v>
      </c>
      <c r="C3" s="4" t="s">
        <v>793</v>
      </c>
      <c r="D3" s="4">
        <v>1</v>
      </c>
      <c r="E3" s="4" t="str">
        <f t="shared" ref="E3:E6" si="0">C3</f>
        <v>101002</v>
      </c>
      <c r="F3" s="4">
        <v>2000</v>
      </c>
      <c r="G3" s="4">
        <v>1</v>
      </c>
      <c r="H3" s="4">
        <v>1</v>
      </c>
      <c r="I3" s="4" t="str">
        <f t="shared" ref="I3:I6" si="1">D3&amp;":"&amp;E3&amp;":"&amp;F3&amp;":"&amp;G3&amp;":"&amp;H3</f>
        <v>1:101002:2000:1:1</v>
      </c>
    </row>
    <row r="4" spans="2:9">
      <c r="B4" s="4" t="s">
        <v>156</v>
      </c>
      <c r="C4" s="4" t="s">
        <v>794</v>
      </c>
      <c r="D4" s="4">
        <v>1</v>
      </c>
      <c r="E4" s="4" t="str">
        <f t="shared" si="0"/>
        <v>101003</v>
      </c>
      <c r="F4" s="4">
        <v>2000</v>
      </c>
      <c r="G4" s="4">
        <v>1</v>
      </c>
      <c r="H4" s="4">
        <v>1</v>
      </c>
      <c r="I4" s="4" t="str">
        <f t="shared" si="1"/>
        <v>1:101003:2000:1:1</v>
      </c>
    </row>
    <row r="5" spans="2:9">
      <c r="B5" s="4" t="s">
        <v>158</v>
      </c>
      <c r="C5" s="4" t="s">
        <v>795</v>
      </c>
      <c r="D5" s="4">
        <v>1</v>
      </c>
      <c r="E5" s="4" t="str">
        <f t="shared" si="0"/>
        <v>101004</v>
      </c>
      <c r="F5" s="4">
        <v>2000</v>
      </c>
      <c r="G5" s="4">
        <v>1</v>
      </c>
      <c r="H5" s="4">
        <v>1</v>
      </c>
      <c r="I5" s="4" t="str">
        <f t="shared" si="1"/>
        <v>1:101004:2000:1:1</v>
      </c>
    </row>
    <row r="6" spans="2:9">
      <c r="B6" s="4" t="s">
        <v>160</v>
      </c>
      <c r="C6" s="4" t="s">
        <v>796</v>
      </c>
      <c r="D6" s="4">
        <v>1</v>
      </c>
      <c r="E6" s="4" t="str">
        <f t="shared" si="0"/>
        <v>101005</v>
      </c>
      <c r="F6" s="4">
        <v>2000</v>
      </c>
      <c r="G6" s="4">
        <v>1</v>
      </c>
      <c r="H6" s="4">
        <v>1</v>
      </c>
      <c r="I6" s="4" t="str">
        <f t="shared" si="1"/>
        <v>1:101005:2000:1:1</v>
      </c>
    </row>
    <row r="8" spans="2:11">
      <c r="B8" s="4" t="s">
        <v>162</v>
      </c>
      <c r="C8" s="4" t="s">
        <v>797</v>
      </c>
      <c r="D8" s="4">
        <v>1</v>
      </c>
      <c r="E8" s="4" t="str">
        <f>C8</f>
        <v>102001</v>
      </c>
      <c r="F8" s="4">
        <v>2000</v>
      </c>
      <c r="G8" s="4">
        <v>1</v>
      </c>
      <c r="H8" s="4">
        <v>1</v>
      </c>
      <c r="I8" s="4" t="str">
        <f t="shared" ref="I8:I12" si="2">D8&amp;":"&amp;E8&amp;":"&amp;F8&amp;":"&amp;G8&amp;":"&amp;H8</f>
        <v>1:102001:2000:1:1</v>
      </c>
      <c r="J8" s="4" t="s">
        <v>798</v>
      </c>
      <c r="K8" s="4" t="str">
        <f>I8&amp;","&amp;I9&amp;","&amp;I10&amp;","&amp;I11&amp;","&amp;I12</f>
        <v>1:102001:2000:1:1,1:102002:2000:1:1,1:102003:2000:1:1,1:102004:2000:1:1,1:102005:2000:1:1</v>
      </c>
    </row>
    <row r="9" spans="2:9">
      <c r="B9" s="4" t="s">
        <v>165</v>
      </c>
      <c r="C9" s="4" t="s">
        <v>799</v>
      </c>
      <c r="D9" s="4">
        <v>1</v>
      </c>
      <c r="E9" s="4" t="str">
        <f t="shared" ref="E9:E12" si="3">C9</f>
        <v>102002</v>
      </c>
      <c r="F9" s="4">
        <v>2000</v>
      </c>
      <c r="G9" s="4">
        <v>1</v>
      </c>
      <c r="H9" s="4">
        <v>1</v>
      </c>
      <c r="I9" s="4" t="str">
        <f t="shared" si="2"/>
        <v>1:102002:2000:1:1</v>
      </c>
    </row>
    <row r="10" spans="2:9">
      <c r="B10" s="4" t="s">
        <v>167</v>
      </c>
      <c r="C10" s="4" t="s">
        <v>800</v>
      </c>
      <c r="D10" s="4">
        <v>1</v>
      </c>
      <c r="E10" s="4" t="str">
        <f t="shared" si="3"/>
        <v>102003</v>
      </c>
      <c r="F10" s="4">
        <v>2000</v>
      </c>
      <c r="G10" s="4">
        <v>1</v>
      </c>
      <c r="H10" s="4">
        <v>1</v>
      </c>
      <c r="I10" s="4" t="str">
        <f t="shared" si="2"/>
        <v>1:102003:2000:1:1</v>
      </c>
    </row>
    <row r="11" spans="2:9">
      <c r="B11" s="4" t="s">
        <v>171</v>
      </c>
      <c r="C11" s="4" t="s">
        <v>801</v>
      </c>
      <c r="D11" s="4">
        <v>1</v>
      </c>
      <c r="E11" s="4" t="str">
        <f t="shared" si="3"/>
        <v>102004</v>
      </c>
      <c r="F11" s="4">
        <v>2000</v>
      </c>
      <c r="G11" s="4">
        <v>1</v>
      </c>
      <c r="H11" s="4">
        <v>1</v>
      </c>
      <c r="I11" s="4" t="str">
        <f t="shared" si="2"/>
        <v>1:102004:2000:1:1</v>
      </c>
    </row>
    <row r="12" spans="2:9">
      <c r="B12" s="4" t="s">
        <v>173</v>
      </c>
      <c r="C12" s="4" t="s">
        <v>802</v>
      </c>
      <c r="D12" s="4">
        <v>1</v>
      </c>
      <c r="E12" s="4" t="str">
        <f t="shared" si="3"/>
        <v>102005</v>
      </c>
      <c r="F12" s="4">
        <v>2000</v>
      </c>
      <c r="G12" s="4">
        <v>1</v>
      </c>
      <c r="H12" s="4">
        <v>1</v>
      </c>
      <c r="I12" s="4" t="str">
        <f t="shared" si="2"/>
        <v>1:102005:2000:1:1</v>
      </c>
    </row>
    <row r="14" spans="2:11">
      <c r="B14" s="4" t="s">
        <v>175</v>
      </c>
      <c r="C14" s="4" t="s">
        <v>803</v>
      </c>
      <c r="D14" s="4">
        <v>1</v>
      </c>
      <c r="E14" s="4" t="str">
        <f>C14</f>
        <v>103001</v>
      </c>
      <c r="F14" s="4">
        <v>2000</v>
      </c>
      <c r="G14" s="4">
        <v>1</v>
      </c>
      <c r="H14" s="4">
        <v>1</v>
      </c>
      <c r="I14" s="4" t="str">
        <f t="shared" ref="I14:I18" si="4">D14&amp;":"&amp;E14&amp;":"&amp;F14&amp;":"&amp;G14&amp;":"&amp;H14</f>
        <v>1:103001:2000:1:1</v>
      </c>
      <c r="J14" s="4" t="s">
        <v>804</v>
      </c>
      <c r="K14" s="4" t="str">
        <f>I14&amp;","&amp;I15&amp;","&amp;I16&amp;","&amp;I17&amp;","&amp;I18</f>
        <v>1:103001:2000:1:1,1:103002:2000:1:1,1:103003:2000:1:1,1:103004:2000:1:1,1:103005:2000:1:1</v>
      </c>
    </row>
    <row r="15" spans="2:9">
      <c r="B15" s="4" t="s">
        <v>177</v>
      </c>
      <c r="C15" s="4" t="s">
        <v>805</v>
      </c>
      <c r="D15" s="4">
        <v>1</v>
      </c>
      <c r="E15" s="4" t="str">
        <f t="shared" ref="E15:E18" si="5">C15</f>
        <v>103002</v>
      </c>
      <c r="F15" s="4">
        <v>2000</v>
      </c>
      <c r="G15" s="4">
        <v>1</v>
      </c>
      <c r="H15" s="4">
        <v>1</v>
      </c>
      <c r="I15" s="4" t="str">
        <f t="shared" si="4"/>
        <v>1:103002:2000:1:1</v>
      </c>
    </row>
    <row r="16" spans="2:9">
      <c r="B16" s="4" t="s">
        <v>179</v>
      </c>
      <c r="C16" s="4" t="s">
        <v>806</v>
      </c>
      <c r="D16" s="4">
        <v>1</v>
      </c>
      <c r="E16" s="4" t="str">
        <f t="shared" si="5"/>
        <v>103003</v>
      </c>
      <c r="F16" s="4">
        <v>2000</v>
      </c>
      <c r="G16" s="4">
        <v>1</v>
      </c>
      <c r="H16" s="4">
        <v>1</v>
      </c>
      <c r="I16" s="4" t="str">
        <f t="shared" si="4"/>
        <v>1:103003:2000:1:1</v>
      </c>
    </row>
    <row r="17" spans="2:9">
      <c r="B17" s="4" t="s">
        <v>181</v>
      </c>
      <c r="C17" s="4" t="s">
        <v>807</v>
      </c>
      <c r="D17" s="4">
        <v>1</v>
      </c>
      <c r="E17" s="4" t="str">
        <f t="shared" si="5"/>
        <v>103004</v>
      </c>
      <c r="F17" s="4">
        <v>2000</v>
      </c>
      <c r="G17" s="4">
        <v>1</v>
      </c>
      <c r="H17" s="4">
        <v>1</v>
      </c>
      <c r="I17" s="4" t="str">
        <f t="shared" si="4"/>
        <v>1:103004:2000:1:1</v>
      </c>
    </row>
    <row r="18" spans="2:9">
      <c r="B18" s="4" t="s">
        <v>183</v>
      </c>
      <c r="C18" s="4" t="s">
        <v>808</v>
      </c>
      <c r="D18" s="4">
        <v>1</v>
      </c>
      <c r="E18" s="4" t="str">
        <f t="shared" si="5"/>
        <v>103005</v>
      </c>
      <c r="F18" s="4">
        <v>2000</v>
      </c>
      <c r="G18" s="4">
        <v>1</v>
      </c>
      <c r="H18" s="4">
        <v>1</v>
      </c>
      <c r="I18" s="4" t="str">
        <f t="shared" si="4"/>
        <v>1:103005:2000:1:1</v>
      </c>
    </row>
    <row r="20" spans="2:11">
      <c r="B20" s="4" t="s">
        <v>185</v>
      </c>
      <c r="C20" s="4" t="s">
        <v>809</v>
      </c>
      <c r="D20" s="4">
        <v>1</v>
      </c>
      <c r="E20" s="4" t="str">
        <f>C20</f>
        <v>104001</v>
      </c>
      <c r="F20" s="4">
        <v>2000</v>
      </c>
      <c r="G20" s="4">
        <v>1</v>
      </c>
      <c r="H20" s="4">
        <v>1</v>
      </c>
      <c r="I20" s="4" t="str">
        <f t="shared" ref="I20:I24" si="6">D20&amp;":"&amp;E20&amp;":"&amp;F20&amp;":"&amp;G20&amp;":"&amp;H20</f>
        <v>1:104001:2000:1:1</v>
      </c>
      <c r="J20" s="4" t="s">
        <v>810</v>
      </c>
      <c r="K20" s="4" t="str">
        <f>I20&amp;","&amp;I21&amp;","&amp;I22&amp;","&amp;I23&amp;","&amp;I24</f>
        <v>1:104001:2000:1:1,1:104002:2000:1:1,1:104003:2000:1:1,1:104004:2000:1:1,1:104005:2000:1:1</v>
      </c>
    </row>
    <row r="21" spans="2:9">
      <c r="B21" s="4" t="s">
        <v>189</v>
      </c>
      <c r="C21" s="4" t="s">
        <v>811</v>
      </c>
      <c r="D21" s="4">
        <v>1</v>
      </c>
      <c r="E21" s="4" t="str">
        <f t="shared" ref="E21:E24" si="7">C21</f>
        <v>104002</v>
      </c>
      <c r="F21" s="4">
        <v>2000</v>
      </c>
      <c r="G21" s="4">
        <v>1</v>
      </c>
      <c r="H21" s="4">
        <v>1</v>
      </c>
      <c r="I21" s="4" t="str">
        <f t="shared" si="6"/>
        <v>1:104002:2000:1:1</v>
      </c>
    </row>
    <row r="22" spans="2:9">
      <c r="B22" s="4" t="s">
        <v>191</v>
      </c>
      <c r="C22" s="4" t="s">
        <v>812</v>
      </c>
      <c r="D22" s="4">
        <v>1</v>
      </c>
      <c r="E22" s="4" t="str">
        <f t="shared" si="7"/>
        <v>104003</v>
      </c>
      <c r="F22" s="4">
        <v>2000</v>
      </c>
      <c r="G22" s="4">
        <v>1</v>
      </c>
      <c r="H22" s="4">
        <v>1</v>
      </c>
      <c r="I22" s="4" t="str">
        <f t="shared" si="6"/>
        <v>1:104003:2000:1:1</v>
      </c>
    </row>
    <row r="23" spans="2:9">
      <c r="B23" s="4" t="s">
        <v>193</v>
      </c>
      <c r="C23" s="4" t="s">
        <v>813</v>
      </c>
      <c r="D23" s="4">
        <v>1</v>
      </c>
      <c r="E23" s="4" t="str">
        <f t="shared" si="7"/>
        <v>104004</v>
      </c>
      <c r="F23" s="4">
        <v>2000</v>
      </c>
      <c r="G23" s="4">
        <v>1</v>
      </c>
      <c r="H23" s="4">
        <v>1</v>
      </c>
      <c r="I23" s="4" t="str">
        <f t="shared" si="6"/>
        <v>1:104004:2000:1:1</v>
      </c>
    </row>
    <row r="24" spans="2:9">
      <c r="B24" s="4" t="s">
        <v>197</v>
      </c>
      <c r="C24" s="4" t="s">
        <v>814</v>
      </c>
      <c r="D24" s="4">
        <v>1</v>
      </c>
      <c r="E24" s="4" t="str">
        <f t="shared" si="7"/>
        <v>104005</v>
      </c>
      <c r="F24" s="4">
        <v>2000</v>
      </c>
      <c r="G24" s="4">
        <v>1</v>
      </c>
      <c r="H24" s="4">
        <v>1</v>
      </c>
      <c r="I24" s="4" t="str">
        <f t="shared" si="6"/>
        <v>1:104005:2000:1:1</v>
      </c>
    </row>
    <row r="26" spans="2:11">
      <c r="B26" s="4" t="s">
        <v>201</v>
      </c>
      <c r="C26" s="4" t="s">
        <v>815</v>
      </c>
      <c r="D26" s="4">
        <v>1</v>
      </c>
      <c r="E26" s="4" t="str">
        <f>C26</f>
        <v>105001</v>
      </c>
      <c r="F26" s="4">
        <v>2000</v>
      </c>
      <c r="G26" s="4">
        <v>1</v>
      </c>
      <c r="H26" s="4">
        <v>1</v>
      </c>
      <c r="I26" s="4" t="str">
        <f t="shared" ref="I26:I30" si="8">D26&amp;":"&amp;E26&amp;":"&amp;F26&amp;":"&amp;G26&amp;":"&amp;H26</f>
        <v>1:105001:2000:1:1</v>
      </c>
      <c r="J26" s="4" t="s">
        <v>816</v>
      </c>
      <c r="K26" s="4" t="str">
        <f>I26&amp;","&amp;I27&amp;","&amp;I28&amp;","&amp;I29&amp;","&amp;I30</f>
        <v>1:105001:2000:1:1,1:105002:2000:1:1,1:105003:2000:1:1,1:105004:2000:1:1,1:105005:2000:1:1</v>
      </c>
    </row>
    <row r="27" spans="2:9">
      <c r="B27" s="4" t="s">
        <v>205</v>
      </c>
      <c r="C27" s="4" t="s">
        <v>817</v>
      </c>
      <c r="D27" s="4">
        <v>1</v>
      </c>
      <c r="E27" s="4" t="str">
        <f t="shared" ref="E27:E30" si="9">C27</f>
        <v>105002</v>
      </c>
      <c r="F27" s="4">
        <v>2000</v>
      </c>
      <c r="G27" s="4">
        <v>1</v>
      </c>
      <c r="H27" s="4">
        <v>1</v>
      </c>
      <c r="I27" s="4" t="str">
        <f t="shared" si="8"/>
        <v>1:105002:2000:1:1</v>
      </c>
    </row>
    <row r="28" spans="2:9">
      <c r="B28" s="4" t="s">
        <v>208</v>
      </c>
      <c r="C28" s="4" t="s">
        <v>818</v>
      </c>
      <c r="D28" s="4">
        <v>1</v>
      </c>
      <c r="E28" s="4" t="str">
        <f t="shared" si="9"/>
        <v>105003</v>
      </c>
      <c r="F28" s="4">
        <v>2000</v>
      </c>
      <c r="G28" s="4">
        <v>1</v>
      </c>
      <c r="H28" s="4">
        <v>1</v>
      </c>
      <c r="I28" s="4" t="str">
        <f t="shared" si="8"/>
        <v>1:105003:2000:1:1</v>
      </c>
    </row>
    <row r="29" spans="2:9">
      <c r="B29" s="4" t="s">
        <v>211</v>
      </c>
      <c r="C29" s="4" t="s">
        <v>819</v>
      </c>
      <c r="D29" s="4">
        <v>1</v>
      </c>
      <c r="E29" s="4" t="str">
        <f t="shared" si="9"/>
        <v>105004</v>
      </c>
      <c r="F29" s="4">
        <v>2000</v>
      </c>
      <c r="G29" s="4">
        <v>1</v>
      </c>
      <c r="H29" s="4">
        <v>1</v>
      </c>
      <c r="I29" s="4" t="str">
        <f t="shared" si="8"/>
        <v>1:105004:2000:1:1</v>
      </c>
    </row>
    <row r="30" spans="2:9">
      <c r="B30" s="4" t="s">
        <v>214</v>
      </c>
      <c r="C30" s="4" t="s">
        <v>820</v>
      </c>
      <c r="D30" s="4">
        <v>1</v>
      </c>
      <c r="E30" s="4" t="str">
        <f t="shared" si="9"/>
        <v>105005</v>
      </c>
      <c r="F30" s="4">
        <v>2000</v>
      </c>
      <c r="G30" s="4">
        <v>1</v>
      </c>
      <c r="H30" s="4">
        <v>1</v>
      </c>
      <c r="I30" s="4" t="str">
        <f t="shared" si="8"/>
        <v>1:105005:2000:1:1</v>
      </c>
    </row>
    <row r="32" spans="2:11">
      <c r="B32" s="4" t="s">
        <v>217</v>
      </c>
      <c r="C32" s="4" t="s">
        <v>821</v>
      </c>
      <c r="D32" s="4">
        <v>1</v>
      </c>
      <c r="E32" s="4" t="str">
        <f>C32</f>
        <v>106001</v>
      </c>
      <c r="F32" s="4">
        <v>2000</v>
      </c>
      <c r="G32" s="4">
        <v>1</v>
      </c>
      <c r="H32" s="4">
        <v>1</v>
      </c>
      <c r="I32" s="4" t="str">
        <f t="shared" ref="I32:I36" si="10">D32&amp;":"&amp;E32&amp;":"&amp;F32&amp;":"&amp;G32&amp;":"&amp;H32</f>
        <v>1:106001:2000:1:1</v>
      </c>
      <c r="J32" s="4" t="s">
        <v>822</v>
      </c>
      <c r="K32" s="4" t="str">
        <f>I32&amp;","&amp;I33&amp;","&amp;I34&amp;","&amp;I35&amp;","&amp;I36</f>
        <v>1:106001:2000:1:1,1:106002:2000:1:1,1:106003:2000:1:1,1:106004:2000:1:1,1:106005:2000:1:1</v>
      </c>
    </row>
    <row r="33" spans="2:9">
      <c r="B33" s="4" t="s">
        <v>220</v>
      </c>
      <c r="C33" s="4" t="s">
        <v>823</v>
      </c>
      <c r="D33" s="4">
        <v>1</v>
      </c>
      <c r="E33" s="4" t="str">
        <f t="shared" ref="E33:E36" si="11">C33</f>
        <v>106002</v>
      </c>
      <c r="F33" s="4">
        <v>2000</v>
      </c>
      <c r="G33" s="4">
        <v>1</v>
      </c>
      <c r="H33" s="4">
        <v>1</v>
      </c>
      <c r="I33" s="4" t="str">
        <f t="shared" si="10"/>
        <v>1:106002:2000:1:1</v>
      </c>
    </row>
    <row r="34" spans="2:9">
      <c r="B34" s="4" t="s">
        <v>223</v>
      </c>
      <c r="C34" s="4" t="s">
        <v>824</v>
      </c>
      <c r="D34" s="4">
        <v>1</v>
      </c>
      <c r="E34" s="4" t="str">
        <f t="shared" si="11"/>
        <v>106003</v>
      </c>
      <c r="F34" s="4">
        <v>2000</v>
      </c>
      <c r="G34" s="4">
        <v>1</v>
      </c>
      <c r="H34" s="4">
        <v>1</v>
      </c>
      <c r="I34" s="4" t="str">
        <f t="shared" si="10"/>
        <v>1:106003:2000:1:1</v>
      </c>
    </row>
    <row r="35" spans="2:9">
      <c r="B35" s="4" t="s">
        <v>225</v>
      </c>
      <c r="C35" s="4" t="s">
        <v>825</v>
      </c>
      <c r="D35" s="4">
        <v>1</v>
      </c>
      <c r="E35" s="4" t="str">
        <f t="shared" si="11"/>
        <v>106004</v>
      </c>
      <c r="F35" s="4">
        <v>2000</v>
      </c>
      <c r="G35" s="4">
        <v>1</v>
      </c>
      <c r="H35" s="4">
        <v>1</v>
      </c>
      <c r="I35" s="4" t="str">
        <f t="shared" si="10"/>
        <v>1:106004:2000:1:1</v>
      </c>
    </row>
    <row r="36" spans="2:9">
      <c r="B36" s="4" t="s">
        <v>229</v>
      </c>
      <c r="C36" s="4" t="s">
        <v>826</v>
      </c>
      <c r="D36" s="4">
        <v>1</v>
      </c>
      <c r="E36" s="4" t="str">
        <f t="shared" si="11"/>
        <v>106005</v>
      </c>
      <c r="F36" s="4">
        <v>2000</v>
      </c>
      <c r="G36" s="4">
        <v>1</v>
      </c>
      <c r="H36" s="4">
        <v>1</v>
      </c>
      <c r="I36" s="4" t="str">
        <f t="shared" si="10"/>
        <v>1:106005:2000:1:1</v>
      </c>
    </row>
    <row r="38" spans="2:11">
      <c r="B38" s="4" t="s">
        <v>231</v>
      </c>
      <c r="C38" s="4" t="s">
        <v>827</v>
      </c>
      <c r="D38" s="4">
        <v>1</v>
      </c>
      <c r="E38" s="4" t="str">
        <f>C38</f>
        <v>107001</v>
      </c>
      <c r="F38" s="4">
        <v>2000</v>
      </c>
      <c r="G38" s="4">
        <v>1</v>
      </c>
      <c r="H38" s="4">
        <v>1</v>
      </c>
      <c r="I38" s="4" t="str">
        <f t="shared" ref="I38:I42" si="12">D38&amp;":"&amp;E38&amp;":"&amp;F38&amp;":"&amp;G38&amp;":"&amp;H38</f>
        <v>1:107001:2000:1:1</v>
      </c>
      <c r="J38" s="4" t="s">
        <v>828</v>
      </c>
      <c r="K38" s="4" t="str">
        <f>I38&amp;","&amp;I39&amp;","&amp;I40&amp;","&amp;I41&amp;","&amp;I42</f>
        <v>1:107001:2000:1:1,1:107002:2000:1:1,1:107003:2000:1:1,1:107004:2000:1:1,1:107005:2000:1:1</v>
      </c>
    </row>
    <row r="39" spans="2:9">
      <c r="B39" s="4" t="s">
        <v>234</v>
      </c>
      <c r="C39" s="4" t="s">
        <v>829</v>
      </c>
      <c r="D39" s="4">
        <v>1</v>
      </c>
      <c r="E39" s="4" t="str">
        <f t="shared" ref="E39:E42" si="13">C39</f>
        <v>107002</v>
      </c>
      <c r="F39" s="4">
        <v>2000</v>
      </c>
      <c r="G39" s="4">
        <v>1</v>
      </c>
      <c r="H39" s="4">
        <v>1</v>
      </c>
      <c r="I39" s="4" t="str">
        <f t="shared" si="12"/>
        <v>1:107002:2000:1:1</v>
      </c>
    </row>
    <row r="40" spans="2:9">
      <c r="B40" s="4" t="s">
        <v>237</v>
      </c>
      <c r="C40" s="4" t="s">
        <v>830</v>
      </c>
      <c r="D40" s="4">
        <v>1</v>
      </c>
      <c r="E40" s="4" t="str">
        <f t="shared" si="13"/>
        <v>107003</v>
      </c>
      <c r="F40" s="4">
        <v>2000</v>
      </c>
      <c r="G40" s="4">
        <v>1</v>
      </c>
      <c r="H40" s="4">
        <v>1</v>
      </c>
      <c r="I40" s="4" t="str">
        <f t="shared" si="12"/>
        <v>1:107003:2000:1:1</v>
      </c>
    </row>
    <row r="41" spans="2:9">
      <c r="B41" s="4" t="s">
        <v>239</v>
      </c>
      <c r="C41" s="4" t="s">
        <v>831</v>
      </c>
      <c r="D41" s="4">
        <v>1</v>
      </c>
      <c r="E41" s="4" t="str">
        <f t="shared" si="13"/>
        <v>107004</v>
      </c>
      <c r="F41" s="4">
        <v>2000</v>
      </c>
      <c r="G41" s="4">
        <v>1</v>
      </c>
      <c r="H41" s="4">
        <v>1</v>
      </c>
      <c r="I41" s="4" t="str">
        <f t="shared" si="12"/>
        <v>1:107004:2000:1:1</v>
      </c>
    </row>
    <row r="42" spans="2:9">
      <c r="B42" s="4" t="s">
        <v>241</v>
      </c>
      <c r="C42" s="4" t="s">
        <v>832</v>
      </c>
      <c r="D42" s="4">
        <v>1</v>
      </c>
      <c r="E42" s="4" t="str">
        <f t="shared" si="13"/>
        <v>107005</v>
      </c>
      <c r="F42" s="4">
        <v>2000</v>
      </c>
      <c r="G42" s="4">
        <v>1</v>
      </c>
      <c r="H42" s="4">
        <v>1</v>
      </c>
      <c r="I42" s="4" t="str">
        <f t="shared" si="12"/>
        <v>1:107005:2000:1:1</v>
      </c>
    </row>
    <row r="44" spans="2:11">
      <c r="B44" s="4" t="s">
        <v>243</v>
      </c>
      <c r="C44" s="4" t="s">
        <v>833</v>
      </c>
      <c r="D44" s="4">
        <v>1</v>
      </c>
      <c r="E44" s="4" t="str">
        <f>C44</f>
        <v>108001</v>
      </c>
      <c r="F44" s="4">
        <v>2000</v>
      </c>
      <c r="G44" s="4">
        <v>1</v>
      </c>
      <c r="H44" s="4">
        <v>1</v>
      </c>
      <c r="I44" s="4" t="str">
        <f t="shared" ref="I44:I48" si="14">D44&amp;":"&amp;E44&amp;":"&amp;F44&amp;":"&amp;G44&amp;":"&amp;H44</f>
        <v>1:108001:2000:1:1</v>
      </c>
      <c r="J44" s="4" t="s">
        <v>834</v>
      </c>
      <c r="K44" s="4" t="str">
        <f>I44&amp;","&amp;I45&amp;","&amp;I46&amp;","&amp;I47&amp;","&amp;I48</f>
        <v>1:108001:2000:1:1,1:108002:2000:1:1,1:108003:2000:1:1,1:108004:2000:1:1,1:108005:2000:1:1</v>
      </c>
    </row>
    <row r="45" spans="2:9">
      <c r="B45" s="4" t="s">
        <v>245</v>
      </c>
      <c r="C45" s="4" t="s">
        <v>835</v>
      </c>
      <c r="D45" s="4">
        <v>1</v>
      </c>
      <c r="E45" s="4" t="str">
        <f t="shared" ref="E45:E48" si="15">C45</f>
        <v>108002</v>
      </c>
      <c r="F45" s="4">
        <v>2000</v>
      </c>
      <c r="G45" s="4">
        <v>1</v>
      </c>
      <c r="H45" s="4">
        <v>1</v>
      </c>
      <c r="I45" s="4" t="str">
        <f t="shared" si="14"/>
        <v>1:108002:2000:1:1</v>
      </c>
    </row>
    <row r="46" spans="2:9">
      <c r="B46" s="4" t="s">
        <v>247</v>
      </c>
      <c r="C46" s="4" t="s">
        <v>836</v>
      </c>
      <c r="D46" s="4">
        <v>1</v>
      </c>
      <c r="E46" s="4" t="str">
        <f t="shared" si="15"/>
        <v>108003</v>
      </c>
      <c r="F46" s="4">
        <v>2000</v>
      </c>
      <c r="G46" s="4">
        <v>1</v>
      </c>
      <c r="H46" s="4">
        <v>1</v>
      </c>
      <c r="I46" s="4" t="str">
        <f t="shared" si="14"/>
        <v>1:108003:2000:1:1</v>
      </c>
    </row>
    <row r="47" spans="2:9">
      <c r="B47" s="4" t="s">
        <v>249</v>
      </c>
      <c r="C47" s="4" t="s">
        <v>837</v>
      </c>
      <c r="D47" s="4">
        <v>1</v>
      </c>
      <c r="E47" s="4" t="str">
        <f t="shared" si="15"/>
        <v>108004</v>
      </c>
      <c r="F47" s="4">
        <v>2000</v>
      </c>
      <c r="G47" s="4">
        <v>1</v>
      </c>
      <c r="H47" s="4">
        <v>1</v>
      </c>
      <c r="I47" s="4" t="str">
        <f t="shared" si="14"/>
        <v>1:108004:2000:1:1</v>
      </c>
    </row>
    <row r="48" spans="2:9">
      <c r="B48" s="4" t="s">
        <v>251</v>
      </c>
      <c r="C48" s="4" t="s">
        <v>838</v>
      </c>
      <c r="D48" s="4">
        <v>1</v>
      </c>
      <c r="E48" s="4" t="str">
        <f t="shared" si="15"/>
        <v>108005</v>
      </c>
      <c r="F48" s="4">
        <v>2000</v>
      </c>
      <c r="G48" s="4">
        <v>1</v>
      </c>
      <c r="H48" s="4">
        <v>1</v>
      </c>
      <c r="I48" s="4" t="str">
        <f t="shared" si="14"/>
        <v>1:108005:2000:1:1</v>
      </c>
    </row>
    <row r="50" spans="2:11">
      <c r="B50" s="4" t="s">
        <v>253</v>
      </c>
      <c r="C50" s="4" t="s">
        <v>839</v>
      </c>
      <c r="D50" s="4">
        <v>1</v>
      </c>
      <c r="E50" s="4" t="str">
        <f t="shared" ref="E50:E58" si="16">C50</f>
        <v>101018</v>
      </c>
      <c r="F50" s="4">
        <v>1033</v>
      </c>
      <c r="G50" s="4">
        <v>1</v>
      </c>
      <c r="H50" s="4">
        <v>1</v>
      </c>
      <c r="I50" s="4" t="str">
        <f t="shared" ref="I50:I58" si="17">D50&amp;":"&amp;E50&amp;":"&amp;F50&amp;":"&amp;G50&amp;":"&amp;H50</f>
        <v>1:101018:1033:1:1</v>
      </c>
      <c r="J50" s="4" t="s">
        <v>840</v>
      </c>
      <c r="K50" s="4" t="str">
        <f>I50&amp;","&amp;I51&amp;","&amp;I52&amp;","&amp;I53&amp;","&amp;I54&amp;","&amp;I55&amp;","&amp;I56&amp;","&amp;I57&amp;","&amp;I58</f>
        <v>1:101018:1033:1:1,1:101016:1150:1:1,1:101017:1150:1:1,1:101028:1033:1:1,1:101026:1150:1:1,1:101027:1150:1:1,1:101038:1034:1:1,1:101036:1150:1:1,1:101037:1150:1:1</v>
      </c>
    </row>
    <row r="51" spans="2:9">
      <c r="B51" s="4" t="s">
        <v>255</v>
      </c>
      <c r="C51" s="4" t="s">
        <v>841</v>
      </c>
      <c r="D51" s="4">
        <v>1</v>
      </c>
      <c r="E51" s="4" t="str">
        <f t="shared" si="16"/>
        <v>101016</v>
      </c>
      <c r="F51" s="4">
        <v>1150</v>
      </c>
      <c r="G51" s="4">
        <v>1</v>
      </c>
      <c r="H51" s="4">
        <v>1</v>
      </c>
      <c r="I51" s="4" t="str">
        <f t="shared" si="17"/>
        <v>1:101016:1150:1:1</v>
      </c>
    </row>
    <row r="52" spans="2:9">
      <c r="B52" s="4" t="s">
        <v>259</v>
      </c>
      <c r="C52" s="4" t="s">
        <v>842</v>
      </c>
      <c r="D52" s="4">
        <v>1</v>
      </c>
      <c r="E52" s="4" t="str">
        <f t="shared" si="16"/>
        <v>101017</v>
      </c>
      <c r="F52" s="4">
        <v>1150</v>
      </c>
      <c r="G52" s="4">
        <v>1</v>
      </c>
      <c r="H52" s="4">
        <v>1</v>
      </c>
      <c r="I52" s="4" t="str">
        <f t="shared" si="17"/>
        <v>1:101017:1150:1:1</v>
      </c>
    </row>
    <row r="53" spans="2:9">
      <c r="B53" s="4" t="s">
        <v>261</v>
      </c>
      <c r="C53" s="4" t="s">
        <v>843</v>
      </c>
      <c r="D53" s="4">
        <v>1</v>
      </c>
      <c r="E53" s="4" t="str">
        <f t="shared" si="16"/>
        <v>101028</v>
      </c>
      <c r="F53" s="4">
        <v>1033</v>
      </c>
      <c r="G53" s="4">
        <v>1</v>
      </c>
      <c r="H53" s="4">
        <v>1</v>
      </c>
      <c r="I53" s="4" t="str">
        <f t="shared" si="17"/>
        <v>1:101028:1033:1:1</v>
      </c>
    </row>
    <row r="54" spans="2:9">
      <c r="B54" s="4" t="s">
        <v>264</v>
      </c>
      <c r="C54" s="4" t="s">
        <v>844</v>
      </c>
      <c r="D54" s="4">
        <v>1</v>
      </c>
      <c r="E54" s="4" t="str">
        <f t="shared" si="16"/>
        <v>101026</v>
      </c>
      <c r="F54" s="4">
        <v>1150</v>
      </c>
      <c r="G54" s="4">
        <v>1</v>
      </c>
      <c r="H54" s="4">
        <v>1</v>
      </c>
      <c r="I54" s="4" t="str">
        <f t="shared" si="17"/>
        <v>1:101026:1150:1:1</v>
      </c>
    </row>
    <row r="55" spans="2:9">
      <c r="B55" s="4" t="s">
        <v>268</v>
      </c>
      <c r="C55" s="4" t="s">
        <v>845</v>
      </c>
      <c r="D55" s="4">
        <v>1</v>
      </c>
      <c r="E55" s="4" t="str">
        <f t="shared" si="16"/>
        <v>101027</v>
      </c>
      <c r="F55" s="4">
        <v>1150</v>
      </c>
      <c r="G55" s="4">
        <v>1</v>
      </c>
      <c r="H55" s="4">
        <v>1</v>
      </c>
      <c r="I55" s="4" t="str">
        <f t="shared" si="17"/>
        <v>1:101027:1150:1:1</v>
      </c>
    </row>
    <row r="56" spans="2:9">
      <c r="B56" s="4" t="s">
        <v>270</v>
      </c>
      <c r="C56" s="4" t="s">
        <v>846</v>
      </c>
      <c r="D56" s="4">
        <v>1</v>
      </c>
      <c r="E56" s="4" t="str">
        <f t="shared" si="16"/>
        <v>101038</v>
      </c>
      <c r="F56" s="4">
        <v>1034</v>
      </c>
      <c r="G56" s="4">
        <v>1</v>
      </c>
      <c r="H56" s="4">
        <v>1</v>
      </c>
      <c r="I56" s="4" t="str">
        <f t="shared" si="17"/>
        <v>1:101038:1034:1:1</v>
      </c>
    </row>
    <row r="57" spans="2:9">
      <c r="B57" s="4" t="s">
        <v>272</v>
      </c>
      <c r="C57" s="4" t="s">
        <v>847</v>
      </c>
      <c r="D57" s="4">
        <v>1</v>
      </c>
      <c r="E57" s="4" t="str">
        <f t="shared" si="16"/>
        <v>101036</v>
      </c>
      <c r="F57" s="4">
        <v>1150</v>
      </c>
      <c r="G57" s="4">
        <v>1</v>
      </c>
      <c r="H57" s="4">
        <v>1</v>
      </c>
      <c r="I57" s="4" t="str">
        <f t="shared" si="17"/>
        <v>1:101036:1150:1:1</v>
      </c>
    </row>
    <row r="58" spans="2:9">
      <c r="B58" s="4" t="s">
        <v>274</v>
      </c>
      <c r="C58" s="4" t="s">
        <v>848</v>
      </c>
      <c r="D58" s="4">
        <v>1</v>
      </c>
      <c r="E58" s="4" t="str">
        <f t="shared" si="16"/>
        <v>101037</v>
      </c>
      <c r="F58" s="4">
        <v>1150</v>
      </c>
      <c r="G58" s="4">
        <v>1</v>
      </c>
      <c r="H58" s="4">
        <v>1</v>
      </c>
      <c r="I58" s="4" t="str">
        <f t="shared" si="17"/>
        <v>1:101037:1150:1:1</v>
      </c>
    </row>
    <row r="60" spans="2:11">
      <c r="B60" s="4" t="s">
        <v>276</v>
      </c>
      <c r="C60" s="4" t="s">
        <v>849</v>
      </c>
      <c r="D60" s="4">
        <v>1</v>
      </c>
      <c r="E60" s="4" t="str">
        <f t="shared" ref="E60:E68" si="18">C60</f>
        <v>102018</v>
      </c>
      <c r="F60" s="4">
        <v>1033</v>
      </c>
      <c r="G60" s="4">
        <v>1</v>
      </c>
      <c r="H60" s="4">
        <v>1</v>
      </c>
      <c r="I60" s="4" t="str">
        <f t="shared" ref="I60:I68" si="19">D60&amp;":"&amp;E60&amp;":"&amp;F60&amp;":"&amp;G60&amp;":"&amp;H60</f>
        <v>1:102018:1033:1:1</v>
      </c>
      <c r="J60" s="4" t="s">
        <v>850</v>
      </c>
      <c r="K60" s="4" t="str">
        <f>I60&amp;","&amp;I61&amp;","&amp;I62&amp;","&amp;I63&amp;","&amp;I64&amp;","&amp;I65&amp;","&amp;I66&amp;","&amp;I67&amp;","&amp;I68</f>
        <v>1:102018:1033:1:1,1:102016:1150:1:1,1:102017:1150:1:1,1:102028:1033:1:1,1:102026:1150:1:1,1:102027:1150:1:1,1:102038:1034:1:1,1:102036:1150:1:1,1:102037:1150:1:1</v>
      </c>
    </row>
    <row r="61" spans="2:9">
      <c r="B61" s="4" t="s">
        <v>278</v>
      </c>
      <c r="C61" s="4" t="s">
        <v>851</v>
      </c>
      <c r="D61" s="4">
        <v>1</v>
      </c>
      <c r="E61" s="4" t="str">
        <f t="shared" si="18"/>
        <v>102016</v>
      </c>
      <c r="F61" s="4">
        <v>1150</v>
      </c>
      <c r="G61" s="4">
        <v>1</v>
      </c>
      <c r="H61" s="4">
        <v>1</v>
      </c>
      <c r="I61" s="4" t="str">
        <f t="shared" si="19"/>
        <v>1:102016:1150:1:1</v>
      </c>
    </row>
    <row r="62" spans="2:9">
      <c r="B62" s="4" t="s">
        <v>280</v>
      </c>
      <c r="C62" s="4" t="s">
        <v>852</v>
      </c>
      <c r="D62" s="4">
        <v>1</v>
      </c>
      <c r="E62" s="4" t="str">
        <f t="shared" si="18"/>
        <v>102017</v>
      </c>
      <c r="F62" s="4">
        <v>1150</v>
      </c>
      <c r="G62" s="4">
        <v>1</v>
      </c>
      <c r="H62" s="4">
        <v>1</v>
      </c>
      <c r="I62" s="4" t="str">
        <f t="shared" si="19"/>
        <v>1:102017:1150:1:1</v>
      </c>
    </row>
    <row r="63" spans="2:9">
      <c r="B63" s="4" t="s">
        <v>282</v>
      </c>
      <c r="C63" s="4" t="s">
        <v>853</v>
      </c>
      <c r="D63" s="4">
        <v>1</v>
      </c>
      <c r="E63" s="4" t="str">
        <f t="shared" si="18"/>
        <v>102028</v>
      </c>
      <c r="F63" s="4">
        <v>1033</v>
      </c>
      <c r="G63" s="4">
        <v>1</v>
      </c>
      <c r="H63" s="4">
        <v>1</v>
      </c>
      <c r="I63" s="4" t="str">
        <f t="shared" si="19"/>
        <v>1:102028:1033:1:1</v>
      </c>
    </row>
    <row r="64" spans="2:9">
      <c r="B64" s="4" t="s">
        <v>284</v>
      </c>
      <c r="C64" s="4" t="s">
        <v>854</v>
      </c>
      <c r="D64" s="4">
        <v>1</v>
      </c>
      <c r="E64" s="4" t="str">
        <f t="shared" si="18"/>
        <v>102026</v>
      </c>
      <c r="F64" s="4">
        <v>1150</v>
      </c>
      <c r="G64" s="4">
        <v>1</v>
      </c>
      <c r="H64" s="4">
        <v>1</v>
      </c>
      <c r="I64" s="4" t="str">
        <f t="shared" si="19"/>
        <v>1:102026:1150:1:1</v>
      </c>
    </row>
    <row r="65" spans="2:9">
      <c r="B65" s="4" t="s">
        <v>286</v>
      </c>
      <c r="C65" s="4" t="s">
        <v>855</v>
      </c>
      <c r="D65" s="4">
        <v>1</v>
      </c>
      <c r="E65" s="4" t="str">
        <f t="shared" si="18"/>
        <v>102027</v>
      </c>
      <c r="F65" s="4">
        <v>1150</v>
      </c>
      <c r="G65" s="4">
        <v>1</v>
      </c>
      <c r="H65" s="4">
        <v>1</v>
      </c>
      <c r="I65" s="4" t="str">
        <f t="shared" si="19"/>
        <v>1:102027:1150:1:1</v>
      </c>
    </row>
    <row r="66" spans="2:9">
      <c r="B66" s="4" t="s">
        <v>288</v>
      </c>
      <c r="C66" s="4" t="s">
        <v>856</v>
      </c>
      <c r="D66" s="4">
        <v>1</v>
      </c>
      <c r="E66" s="4" t="str">
        <f t="shared" si="18"/>
        <v>102038</v>
      </c>
      <c r="F66" s="4">
        <v>1034</v>
      </c>
      <c r="G66" s="4">
        <v>1</v>
      </c>
      <c r="H66" s="4">
        <v>1</v>
      </c>
      <c r="I66" s="4" t="str">
        <f t="shared" si="19"/>
        <v>1:102038:1034:1:1</v>
      </c>
    </row>
    <row r="67" spans="2:9">
      <c r="B67" s="4" t="s">
        <v>291</v>
      </c>
      <c r="C67" s="4" t="s">
        <v>857</v>
      </c>
      <c r="D67" s="4">
        <v>1</v>
      </c>
      <c r="E67" s="4" t="str">
        <f t="shared" si="18"/>
        <v>102036</v>
      </c>
      <c r="F67" s="4">
        <v>1150</v>
      </c>
      <c r="G67" s="4">
        <v>1</v>
      </c>
      <c r="H67" s="4">
        <v>1</v>
      </c>
      <c r="I67" s="4" t="str">
        <f t="shared" si="19"/>
        <v>1:102036:1150:1:1</v>
      </c>
    </row>
    <row r="68" spans="2:9">
      <c r="B68" s="4" t="s">
        <v>293</v>
      </c>
      <c r="C68" s="4" t="s">
        <v>858</v>
      </c>
      <c r="D68" s="4">
        <v>1</v>
      </c>
      <c r="E68" s="4" t="str">
        <f t="shared" si="18"/>
        <v>102037</v>
      </c>
      <c r="F68" s="4">
        <v>1150</v>
      </c>
      <c r="G68" s="4">
        <v>1</v>
      </c>
      <c r="H68" s="4">
        <v>1</v>
      </c>
      <c r="I68" s="4" t="str">
        <f t="shared" si="19"/>
        <v>1:102037:1150:1:1</v>
      </c>
    </row>
    <row r="70" spans="2:11">
      <c r="B70" s="4" t="s">
        <v>295</v>
      </c>
      <c r="C70" s="4" t="s">
        <v>859</v>
      </c>
      <c r="D70" s="4">
        <v>1</v>
      </c>
      <c r="E70" s="4" t="str">
        <f t="shared" ref="E70:E78" si="20">C70</f>
        <v>103018</v>
      </c>
      <c r="F70" s="4">
        <v>1033</v>
      </c>
      <c r="G70" s="4">
        <v>1</v>
      </c>
      <c r="H70" s="4">
        <v>1</v>
      </c>
      <c r="I70" s="4" t="str">
        <f t="shared" ref="I70:I78" si="21">D70&amp;":"&amp;E70&amp;":"&amp;F70&amp;":"&amp;G70&amp;":"&amp;H70</f>
        <v>1:103018:1033:1:1</v>
      </c>
      <c r="J70" s="4" t="s">
        <v>860</v>
      </c>
      <c r="K70" s="4" t="str">
        <f>I70&amp;","&amp;I71&amp;","&amp;I72&amp;","&amp;I73&amp;","&amp;I74&amp;","&amp;I75&amp;","&amp;I76&amp;","&amp;I77&amp;","&amp;I78</f>
        <v>1:103018:1033:1:1,1:103016:1150:1:1,1:103017:1150:1:1,1:103028:1033:1:1,1:103026:1150:1:1,1:103027:1150:1:1,1:103038:1034:1:1,1:103036:1150:1:1,1:103037:1150:1:1</v>
      </c>
    </row>
    <row r="71" spans="2:9">
      <c r="B71" s="4" t="s">
        <v>297</v>
      </c>
      <c r="C71" s="4" t="s">
        <v>861</v>
      </c>
      <c r="D71" s="4">
        <v>1</v>
      </c>
      <c r="E71" s="4" t="str">
        <f t="shared" si="20"/>
        <v>103016</v>
      </c>
      <c r="F71" s="4">
        <v>1150</v>
      </c>
      <c r="G71" s="4">
        <v>1</v>
      </c>
      <c r="H71" s="4">
        <v>1</v>
      </c>
      <c r="I71" s="4" t="str">
        <f t="shared" si="21"/>
        <v>1:103016:1150:1:1</v>
      </c>
    </row>
    <row r="72" spans="2:9">
      <c r="B72" s="4" t="s">
        <v>299</v>
      </c>
      <c r="C72" s="4" t="s">
        <v>862</v>
      </c>
      <c r="D72" s="4">
        <v>1</v>
      </c>
      <c r="E72" s="4" t="str">
        <f t="shared" si="20"/>
        <v>103017</v>
      </c>
      <c r="F72" s="4">
        <v>1150</v>
      </c>
      <c r="G72" s="4">
        <v>1</v>
      </c>
      <c r="H72" s="4">
        <v>1</v>
      </c>
      <c r="I72" s="4" t="str">
        <f t="shared" si="21"/>
        <v>1:103017:1150:1:1</v>
      </c>
    </row>
    <row r="73" spans="2:9">
      <c r="B73" s="4" t="s">
        <v>301</v>
      </c>
      <c r="C73" s="4" t="s">
        <v>863</v>
      </c>
      <c r="D73" s="4">
        <v>1</v>
      </c>
      <c r="E73" s="4" t="str">
        <f t="shared" si="20"/>
        <v>103028</v>
      </c>
      <c r="F73" s="4">
        <v>1033</v>
      </c>
      <c r="G73" s="4">
        <v>1</v>
      </c>
      <c r="H73" s="4">
        <v>1</v>
      </c>
      <c r="I73" s="4" t="str">
        <f t="shared" si="21"/>
        <v>1:103028:1033:1:1</v>
      </c>
    </row>
    <row r="74" spans="2:9">
      <c r="B74" s="4" t="s">
        <v>303</v>
      </c>
      <c r="C74" s="4" t="s">
        <v>864</v>
      </c>
      <c r="D74" s="4">
        <v>1</v>
      </c>
      <c r="E74" s="4" t="str">
        <f t="shared" si="20"/>
        <v>103026</v>
      </c>
      <c r="F74" s="4">
        <v>1150</v>
      </c>
      <c r="G74" s="4">
        <v>1</v>
      </c>
      <c r="H74" s="4">
        <v>1</v>
      </c>
      <c r="I74" s="4" t="str">
        <f t="shared" si="21"/>
        <v>1:103026:1150:1:1</v>
      </c>
    </row>
    <row r="75" spans="2:9">
      <c r="B75" s="4" t="s">
        <v>305</v>
      </c>
      <c r="C75" s="4" t="s">
        <v>865</v>
      </c>
      <c r="D75" s="4">
        <v>1</v>
      </c>
      <c r="E75" s="4" t="str">
        <f t="shared" si="20"/>
        <v>103027</v>
      </c>
      <c r="F75" s="4">
        <v>1150</v>
      </c>
      <c r="G75" s="4">
        <v>1</v>
      </c>
      <c r="H75" s="4">
        <v>1</v>
      </c>
      <c r="I75" s="4" t="str">
        <f t="shared" si="21"/>
        <v>1:103027:1150:1:1</v>
      </c>
    </row>
    <row r="76" spans="2:9">
      <c r="B76" s="4" t="s">
        <v>307</v>
      </c>
      <c r="C76" s="4" t="s">
        <v>866</v>
      </c>
      <c r="D76" s="4">
        <v>1</v>
      </c>
      <c r="E76" s="4" t="str">
        <f t="shared" si="20"/>
        <v>103038</v>
      </c>
      <c r="F76" s="4">
        <v>1034</v>
      </c>
      <c r="G76" s="4">
        <v>1</v>
      </c>
      <c r="H76" s="4">
        <v>1</v>
      </c>
      <c r="I76" s="4" t="str">
        <f t="shared" si="21"/>
        <v>1:103038:1034:1:1</v>
      </c>
    </row>
    <row r="77" spans="2:9">
      <c r="B77" s="4" t="s">
        <v>310</v>
      </c>
      <c r="C77" s="4" t="s">
        <v>867</v>
      </c>
      <c r="D77" s="4">
        <v>1</v>
      </c>
      <c r="E77" s="4" t="str">
        <f t="shared" si="20"/>
        <v>103036</v>
      </c>
      <c r="F77" s="4">
        <v>1150</v>
      </c>
      <c r="G77" s="4">
        <v>1</v>
      </c>
      <c r="H77" s="4">
        <v>1</v>
      </c>
      <c r="I77" s="4" t="str">
        <f t="shared" si="21"/>
        <v>1:103036:1150:1:1</v>
      </c>
    </row>
    <row r="78" spans="2:9">
      <c r="B78" s="4" t="s">
        <v>313</v>
      </c>
      <c r="C78" s="4" t="s">
        <v>868</v>
      </c>
      <c r="D78" s="4">
        <v>1</v>
      </c>
      <c r="E78" s="4" t="str">
        <f t="shared" si="20"/>
        <v>103037</v>
      </c>
      <c r="F78" s="4">
        <v>1150</v>
      </c>
      <c r="G78" s="4">
        <v>1</v>
      </c>
      <c r="H78" s="4">
        <v>1</v>
      </c>
      <c r="I78" s="4" t="str">
        <f t="shared" si="21"/>
        <v>1:103037:1150:1:1</v>
      </c>
    </row>
    <row r="80" spans="2:11">
      <c r="B80" s="4" t="s">
        <v>316</v>
      </c>
      <c r="C80" s="4" t="s">
        <v>869</v>
      </c>
      <c r="D80" s="4">
        <v>1</v>
      </c>
      <c r="E80" s="4" t="str">
        <f t="shared" ref="E80:E88" si="22">C80</f>
        <v>104018</v>
      </c>
      <c r="F80" s="4">
        <v>1033</v>
      </c>
      <c r="G80" s="4">
        <v>1</v>
      </c>
      <c r="H80" s="4">
        <v>1</v>
      </c>
      <c r="I80" s="4" t="str">
        <f t="shared" ref="I80:I88" si="23">D80&amp;":"&amp;E80&amp;":"&amp;F80&amp;":"&amp;G80&amp;":"&amp;H80</f>
        <v>1:104018:1033:1:1</v>
      </c>
      <c r="J80" s="4" t="s">
        <v>870</v>
      </c>
      <c r="K80" s="4" t="str">
        <f>I80&amp;","&amp;I81&amp;","&amp;I82&amp;","&amp;I83&amp;","&amp;I84&amp;","&amp;I85&amp;","&amp;I86&amp;","&amp;I87&amp;","&amp;I88</f>
        <v>1:104018:1033:1:1,1:104016:1150:1:1,1:104017:1150:1:1,1:104028:1033:1:1,1:104026:1150:1:1,1:104027:1150:1:1,1:104038:1034:1:1,1:104036:1150:1:1,1:104037:1150:1:1</v>
      </c>
    </row>
    <row r="81" spans="2:9">
      <c r="B81" s="4" t="s">
        <v>319</v>
      </c>
      <c r="C81" s="4" t="s">
        <v>871</v>
      </c>
      <c r="D81" s="4">
        <v>1</v>
      </c>
      <c r="E81" s="4" t="str">
        <f t="shared" si="22"/>
        <v>104016</v>
      </c>
      <c r="F81" s="4">
        <v>1150</v>
      </c>
      <c r="G81" s="4">
        <v>1</v>
      </c>
      <c r="H81" s="4">
        <v>1</v>
      </c>
      <c r="I81" s="4" t="str">
        <f t="shared" si="23"/>
        <v>1:104016:1150:1:1</v>
      </c>
    </row>
    <row r="82" spans="2:9">
      <c r="B82" s="4" t="s">
        <v>322</v>
      </c>
      <c r="C82" s="4" t="s">
        <v>872</v>
      </c>
      <c r="D82" s="4">
        <v>1</v>
      </c>
      <c r="E82" s="4" t="str">
        <f t="shared" si="22"/>
        <v>104017</v>
      </c>
      <c r="F82" s="4">
        <v>1150</v>
      </c>
      <c r="G82" s="4">
        <v>1</v>
      </c>
      <c r="H82" s="4">
        <v>1</v>
      </c>
      <c r="I82" s="4" t="str">
        <f t="shared" si="23"/>
        <v>1:104017:1150:1:1</v>
      </c>
    </row>
    <row r="83" spans="2:9">
      <c r="B83" s="4" t="s">
        <v>324</v>
      </c>
      <c r="C83" s="4" t="s">
        <v>873</v>
      </c>
      <c r="D83" s="4">
        <v>1</v>
      </c>
      <c r="E83" s="4" t="str">
        <f t="shared" si="22"/>
        <v>104028</v>
      </c>
      <c r="F83" s="4">
        <v>1033</v>
      </c>
      <c r="G83" s="4">
        <v>1</v>
      </c>
      <c r="H83" s="4">
        <v>1</v>
      </c>
      <c r="I83" s="4" t="str">
        <f t="shared" si="23"/>
        <v>1:104028:1033:1:1</v>
      </c>
    </row>
    <row r="84" spans="2:9">
      <c r="B84" s="4" t="s">
        <v>326</v>
      </c>
      <c r="C84" s="4" t="s">
        <v>874</v>
      </c>
      <c r="D84" s="4">
        <v>1</v>
      </c>
      <c r="E84" s="4" t="str">
        <f t="shared" si="22"/>
        <v>104026</v>
      </c>
      <c r="F84" s="4">
        <v>1150</v>
      </c>
      <c r="G84" s="4">
        <v>1</v>
      </c>
      <c r="H84" s="4">
        <v>1</v>
      </c>
      <c r="I84" s="4" t="str">
        <f t="shared" si="23"/>
        <v>1:104026:1150:1:1</v>
      </c>
    </row>
    <row r="85" spans="2:9">
      <c r="B85" s="4" t="s">
        <v>329</v>
      </c>
      <c r="C85" s="4" t="s">
        <v>875</v>
      </c>
      <c r="D85" s="4">
        <v>1</v>
      </c>
      <c r="E85" s="4" t="str">
        <f t="shared" si="22"/>
        <v>104027</v>
      </c>
      <c r="F85" s="4">
        <v>1150</v>
      </c>
      <c r="G85" s="4">
        <v>1</v>
      </c>
      <c r="H85" s="4">
        <v>1</v>
      </c>
      <c r="I85" s="4" t="str">
        <f t="shared" si="23"/>
        <v>1:104027:1150:1:1</v>
      </c>
    </row>
    <row r="86" spans="2:9">
      <c r="B86" s="4" t="s">
        <v>331</v>
      </c>
      <c r="C86" s="4" t="s">
        <v>876</v>
      </c>
      <c r="D86" s="4">
        <v>1</v>
      </c>
      <c r="E86" s="4" t="str">
        <f t="shared" si="22"/>
        <v>104038</v>
      </c>
      <c r="F86" s="4">
        <v>1034</v>
      </c>
      <c r="G86" s="4">
        <v>1</v>
      </c>
      <c r="H86" s="4">
        <v>1</v>
      </c>
      <c r="I86" s="4" t="str">
        <f t="shared" si="23"/>
        <v>1:104038:1034:1:1</v>
      </c>
    </row>
    <row r="87" spans="2:9">
      <c r="B87" s="4" t="s">
        <v>333</v>
      </c>
      <c r="C87" s="4" t="s">
        <v>877</v>
      </c>
      <c r="D87" s="4">
        <v>1</v>
      </c>
      <c r="E87" s="4" t="str">
        <f t="shared" si="22"/>
        <v>104036</v>
      </c>
      <c r="F87" s="4">
        <v>1150</v>
      </c>
      <c r="G87" s="4">
        <v>1</v>
      </c>
      <c r="H87" s="4">
        <v>1</v>
      </c>
      <c r="I87" s="4" t="str">
        <f t="shared" si="23"/>
        <v>1:104036:1150:1:1</v>
      </c>
    </row>
    <row r="88" spans="2:9">
      <c r="B88" s="4" t="s">
        <v>335</v>
      </c>
      <c r="C88" s="4" t="s">
        <v>878</v>
      </c>
      <c r="D88" s="4">
        <v>1</v>
      </c>
      <c r="E88" s="4" t="str">
        <f t="shared" si="22"/>
        <v>104037</v>
      </c>
      <c r="F88" s="4">
        <v>1150</v>
      </c>
      <c r="G88" s="4">
        <v>1</v>
      </c>
      <c r="H88" s="4">
        <v>1</v>
      </c>
      <c r="I88" s="4" t="str">
        <f t="shared" si="23"/>
        <v>1:104037:1150:1:1</v>
      </c>
    </row>
    <row r="90" spans="2:11">
      <c r="B90" s="4" t="s">
        <v>337</v>
      </c>
      <c r="C90" s="4" t="s">
        <v>879</v>
      </c>
      <c r="D90" s="4">
        <v>1</v>
      </c>
      <c r="E90" s="4" t="str">
        <f t="shared" ref="E90:E98" si="24">C90</f>
        <v>105018</v>
      </c>
      <c r="F90" s="4">
        <v>1033</v>
      </c>
      <c r="G90" s="4">
        <v>1</v>
      </c>
      <c r="H90" s="4">
        <v>1</v>
      </c>
      <c r="I90" s="4" t="str">
        <f t="shared" ref="I90:I98" si="25">D90&amp;":"&amp;E90&amp;":"&amp;F90&amp;":"&amp;G90&amp;":"&amp;H90</f>
        <v>1:105018:1033:1:1</v>
      </c>
      <c r="J90" s="4" t="s">
        <v>880</v>
      </c>
      <c r="K90" s="4" t="str">
        <f>I90&amp;","&amp;I91&amp;","&amp;I92&amp;","&amp;I93&amp;","&amp;I94&amp;","&amp;I95&amp;","&amp;I96&amp;","&amp;I97&amp;","&amp;I98</f>
        <v>1:105018:1033:1:1,1:105016:1150:1:1,1:105017:1150:1:1,1:105028:1033:1:1,1:105026:1150:1:1,1:105027:1150:1:1,1:105038:1034:1:1,1:105036:1150:1:1,1:105037:1150:1:1</v>
      </c>
    </row>
    <row r="91" spans="2:9">
      <c r="B91" s="4" t="s">
        <v>339</v>
      </c>
      <c r="C91" s="4" t="s">
        <v>881</v>
      </c>
      <c r="D91" s="4">
        <v>1</v>
      </c>
      <c r="E91" s="4" t="str">
        <f t="shared" si="24"/>
        <v>105016</v>
      </c>
      <c r="F91" s="4">
        <v>1150</v>
      </c>
      <c r="G91" s="4">
        <v>1</v>
      </c>
      <c r="H91" s="4">
        <v>1</v>
      </c>
      <c r="I91" s="4" t="str">
        <f t="shared" si="25"/>
        <v>1:105016:1150:1:1</v>
      </c>
    </row>
    <row r="92" spans="2:9">
      <c r="B92" s="4" t="s">
        <v>341</v>
      </c>
      <c r="C92" s="4" t="s">
        <v>882</v>
      </c>
      <c r="D92" s="4">
        <v>1</v>
      </c>
      <c r="E92" s="4" t="str">
        <f t="shared" si="24"/>
        <v>105017</v>
      </c>
      <c r="F92" s="4">
        <v>1150</v>
      </c>
      <c r="G92" s="4">
        <v>1</v>
      </c>
      <c r="H92" s="4">
        <v>1</v>
      </c>
      <c r="I92" s="4" t="str">
        <f t="shared" si="25"/>
        <v>1:105017:1150:1:1</v>
      </c>
    </row>
    <row r="93" spans="2:9">
      <c r="B93" s="4" t="s">
        <v>343</v>
      </c>
      <c r="C93" s="4" t="s">
        <v>883</v>
      </c>
      <c r="D93" s="4">
        <v>1</v>
      </c>
      <c r="E93" s="4" t="str">
        <f t="shared" si="24"/>
        <v>105028</v>
      </c>
      <c r="F93" s="4">
        <v>1033</v>
      </c>
      <c r="G93" s="4">
        <v>1</v>
      </c>
      <c r="H93" s="4">
        <v>1</v>
      </c>
      <c r="I93" s="4" t="str">
        <f t="shared" si="25"/>
        <v>1:105028:1033:1:1</v>
      </c>
    </row>
    <row r="94" spans="2:9">
      <c r="B94" s="4" t="s">
        <v>345</v>
      </c>
      <c r="C94" s="4" t="s">
        <v>884</v>
      </c>
      <c r="D94" s="4">
        <v>1</v>
      </c>
      <c r="E94" s="4" t="str">
        <f t="shared" si="24"/>
        <v>105026</v>
      </c>
      <c r="F94" s="4">
        <v>1150</v>
      </c>
      <c r="G94" s="4">
        <v>1</v>
      </c>
      <c r="H94" s="4">
        <v>1</v>
      </c>
      <c r="I94" s="4" t="str">
        <f t="shared" si="25"/>
        <v>1:105026:1150:1:1</v>
      </c>
    </row>
    <row r="95" spans="2:9">
      <c r="B95" s="4" t="s">
        <v>347</v>
      </c>
      <c r="C95" s="4" t="s">
        <v>885</v>
      </c>
      <c r="D95" s="4">
        <v>1</v>
      </c>
      <c r="E95" s="4" t="str">
        <f t="shared" si="24"/>
        <v>105027</v>
      </c>
      <c r="F95" s="4">
        <v>1150</v>
      </c>
      <c r="G95" s="4">
        <v>1</v>
      </c>
      <c r="H95" s="4">
        <v>1</v>
      </c>
      <c r="I95" s="4" t="str">
        <f t="shared" si="25"/>
        <v>1:105027:1150:1:1</v>
      </c>
    </row>
    <row r="96" spans="2:9">
      <c r="B96" s="4" t="s">
        <v>349</v>
      </c>
      <c r="C96" s="4" t="s">
        <v>886</v>
      </c>
      <c r="D96" s="4">
        <v>1</v>
      </c>
      <c r="E96" s="4" t="str">
        <f t="shared" si="24"/>
        <v>105038</v>
      </c>
      <c r="F96" s="4">
        <v>1034</v>
      </c>
      <c r="G96" s="4">
        <v>1</v>
      </c>
      <c r="H96" s="4">
        <v>1</v>
      </c>
      <c r="I96" s="4" t="str">
        <f t="shared" si="25"/>
        <v>1:105038:1034:1:1</v>
      </c>
    </row>
    <row r="97" spans="2:9">
      <c r="B97" s="4" t="s">
        <v>351</v>
      </c>
      <c r="C97" s="4" t="s">
        <v>887</v>
      </c>
      <c r="D97" s="4">
        <v>1</v>
      </c>
      <c r="E97" s="4" t="str">
        <f t="shared" si="24"/>
        <v>105036</v>
      </c>
      <c r="F97" s="4">
        <v>1150</v>
      </c>
      <c r="G97" s="4">
        <v>1</v>
      </c>
      <c r="H97" s="4">
        <v>1</v>
      </c>
      <c r="I97" s="4" t="str">
        <f t="shared" si="25"/>
        <v>1:105036:1150:1:1</v>
      </c>
    </row>
    <row r="98" spans="2:9">
      <c r="B98" s="4" t="s">
        <v>360</v>
      </c>
      <c r="C98" s="4" t="s">
        <v>888</v>
      </c>
      <c r="D98" s="4">
        <v>1</v>
      </c>
      <c r="E98" s="4" t="str">
        <f t="shared" si="24"/>
        <v>105037</v>
      </c>
      <c r="F98" s="4">
        <v>1150</v>
      </c>
      <c r="G98" s="4">
        <v>1</v>
      </c>
      <c r="H98" s="4">
        <v>1</v>
      </c>
      <c r="I98" s="4" t="str">
        <f t="shared" si="25"/>
        <v>1:105037:1150:1:1</v>
      </c>
    </row>
    <row r="100" spans="2:11">
      <c r="B100" s="4" t="s">
        <v>362</v>
      </c>
      <c r="C100" s="4" t="s">
        <v>889</v>
      </c>
      <c r="D100" s="4">
        <v>1</v>
      </c>
      <c r="E100" s="4" t="str">
        <f t="shared" ref="E100:E108" si="26">C100</f>
        <v>106018</v>
      </c>
      <c r="F100" s="4">
        <v>1033</v>
      </c>
      <c r="G100" s="4">
        <v>1</v>
      </c>
      <c r="H100" s="4">
        <v>1</v>
      </c>
      <c r="I100" s="4" t="str">
        <f t="shared" ref="I100:I108" si="27">D100&amp;":"&amp;E100&amp;":"&amp;F100&amp;":"&amp;G100&amp;":"&amp;H100</f>
        <v>1:106018:1033:1:1</v>
      </c>
      <c r="J100" s="4" t="s">
        <v>890</v>
      </c>
      <c r="K100" s="4" t="str">
        <f>I100&amp;","&amp;I101&amp;","&amp;I102&amp;","&amp;I103&amp;","&amp;I104&amp;","&amp;I105&amp;","&amp;I106&amp;","&amp;I107&amp;","&amp;I108</f>
        <v>1:106018:1033:1:1,1:106016:1150:1:1,1:106017:1150:1:1,1:106028:1033:1:1,1:106026:1150:1:1,1:106027:1150:1:1,1:106038:1034:1:1,1:106036:1150:1:1,1:106037:1150:1:1</v>
      </c>
    </row>
    <row r="101" spans="2:9">
      <c r="B101" s="4" t="s">
        <v>364</v>
      </c>
      <c r="C101" s="4" t="s">
        <v>891</v>
      </c>
      <c r="D101" s="4">
        <v>1</v>
      </c>
      <c r="E101" s="4" t="str">
        <f t="shared" si="26"/>
        <v>106016</v>
      </c>
      <c r="F101" s="4">
        <v>1150</v>
      </c>
      <c r="G101" s="4">
        <v>1</v>
      </c>
      <c r="H101" s="4">
        <v>1</v>
      </c>
      <c r="I101" s="4" t="str">
        <f t="shared" si="27"/>
        <v>1:106016:1150:1:1</v>
      </c>
    </row>
    <row r="102" spans="2:9">
      <c r="B102" s="4" t="s">
        <v>366</v>
      </c>
      <c r="C102" s="4" t="s">
        <v>892</v>
      </c>
      <c r="D102" s="4">
        <v>1</v>
      </c>
      <c r="E102" s="4" t="str">
        <f t="shared" si="26"/>
        <v>106017</v>
      </c>
      <c r="F102" s="4">
        <v>1150</v>
      </c>
      <c r="G102" s="4">
        <v>1</v>
      </c>
      <c r="H102" s="4">
        <v>1</v>
      </c>
      <c r="I102" s="4" t="str">
        <f t="shared" si="27"/>
        <v>1:106017:1150:1:1</v>
      </c>
    </row>
    <row r="103" spans="2:9">
      <c r="B103" s="4" t="s">
        <v>368</v>
      </c>
      <c r="C103" s="4" t="s">
        <v>893</v>
      </c>
      <c r="D103" s="4">
        <v>1</v>
      </c>
      <c r="E103" s="4" t="str">
        <f t="shared" si="26"/>
        <v>106028</v>
      </c>
      <c r="F103" s="4">
        <v>1033</v>
      </c>
      <c r="G103" s="4">
        <v>1</v>
      </c>
      <c r="H103" s="4">
        <v>1</v>
      </c>
      <c r="I103" s="4" t="str">
        <f t="shared" si="27"/>
        <v>1:106028:1033:1:1</v>
      </c>
    </row>
    <row r="104" spans="2:9">
      <c r="B104" s="4" t="s">
        <v>370</v>
      </c>
      <c r="C104" s="4" t="s">
        <v>894</v>
      </c>
      <c r="D104" s="4">
        <v>1</v>
      </c>
      <c r="E104" s="4" t="str">
        <f t="shared" si="26"/>
        <v>106026</v>
      </c>
      <c r="F104" s="4">
        <v>1150</v>
      </c>
      <c r="G104" s="4">
        <v>1</v>
      </c>
      <c r="H104" s="4">
        <v>1</v>
      </c>
      <c r="I104" s="4" t="str">
        <f t="shared" si="27"/>
        <v>1:106026:1150:1:1</v>
      </c>
    </row>
    <row r="105" spans="2:9">
      <c r="B105" s="4" t="s">
        <v>372</v>
      </c>
      <c r="C105" s="4" t="s">
        <v>895</v>
      </c>
      <c r="D105" s="4">
        <v>1</v>
      </c>
      <c r="E105" s="4" t="str">
        <f t="shared" si="26"/>
        <v>106027</v>
      </c>
      <c r="F105" s="4">
        <v>1150</v>
      </c>
      <c r="G105" s="4">
        <v>1</v>
      </c>
      <c r="H105" s="4">
        <v>1</v>
      </c>
      <c r="I105" s="4" t="str">
        <f t="shared" si="27"/>
        <v>1:106027:1150:1:1</v>
      </c>
    </row>
    <row r="106" spans="2:9">
      <c r="B106" s="4" t="s">
        <v>374</v>
      </c>
      <c r="C106" s="4" t="s">
        <v>896</v>
      </c>
      <c r="D106" s="4">
        <v>1</v>
      </c>
      <c r="E106" s="4" t="str">
        <f t="shared" si="26"/>
        <v>106038</v>
      </c>
      <c r="F106" s="4">
        <v>1034</v>
      </c>
      <c r="G106" s="4">
        <v>1</v>
      </c>
      <c r="H106" s="4">
        <v>1</v>
      </c>
      <c r="I106" s="4" t="str">
        <f t="shared" si="27"/>
        <v>1:106038:1034:1:1</v>
      </c>
    </row>
    <row r="107" spans="2:9">
      <c r="B107" s="4" t="s">
        <v>376</v>
      </c>
      <c r="C107" s="4" t="s">
        <v>897</v>
      </c>
      <c r="D107" s="4">
        <v>1</v>
      </c>
      <c r="E107" s="4" t="str">
        <f t="shared" si="26"/>
        <v>106036</v>
      </c>
      <c r="F107" s="4">
        <v>1150</v>
      </c>
      <c r="G107" s="4">
        <v>1</v>
      </c>
      <c r="H107" s="4">
        <v>1</v>
      </c>
      <c r="I107" s="4" t="str">
        <f t="shared" si="27"/>
        <v>1:106036:1150:1:1</v>
      </c>
    </row>
    <row r="108" spans="2:9">
      <c r="B108" s="4" t="s">
        <v>378</v>
      </c>
      <c r="C108" s="4" t="s">
        <v>898</v>
      </c>
      <c r="D108" s="4">
        <v>1</v>
      </c>
      <c r="E108" s="4" t="str">
        <f t="shared" si="26"/>
        <v>106037</v>
      </c>
      <c r="F108" s="4">
        <v>1150</v>
      </c>
      <c r="G108" s="4">
        <v>1</v>
      </c>
      <c r="H108" s="4">
        <v>1</v>
      </c>
      <c r="I108" s="4" t="str">
        <f t="shared" si="27"/>
        <v>1:106037:1150:1:1</v>
      </c>
    </row>
    <row r="110" spans="2:11">
      <c r="B110" s="4" t="s">
        <v>380</v>
      </c>
      <c r="C110" s="4" t="s">
        <v>899</v>
      </c>
      <c r="D110" s="4">
        <v>1</v>
      </c>
      <c r="E110" s="4" t="str">
        <f t="shared" ref="E110:E118" si="28">C110</f>
        <v>107018</v>
      </c>
      <c r="F110" s="4">
        <v>1033</v>
      </c>
      <c r="G110" s="4">
        <v>1</v>
      </c>
      <c r="H110" s="4">
        <v>1</v>
      </c>
      <c r="I110" s="4" t="str">
        <f t="shared" ref="I110:I118" si="29">D110&amp;":"&amp;E110&amp;":"&amp;F110&amp;":"&amp;G110&amp;":"&amp;H110</f>
        <v>1:107018:1033:1:1</v>
      </c>
      <c r="J110" s="4" t="s">
        <v>900</v>
      </c>
      <c r="K110" s="4" t="str">
        <f>I110&amp;","&amp;I111&amp;","&amp;I112&amp;","&amp;I113&amp;","&amp;I114&amp;","&amp;I115&amp;","&amp;I116&amp;","&amp;I117&amp;","&amp;I118</f>
        <v>1:107018:1033:1:1,1:107016:1150:1:1,1:107017:1150:1:1,1:107028:1033:1:1,1:107026:1150:1:1,1:107027:1150:1:1,1:107038:1034:1:1,1:107036:1150:1:1,1:107037:1150:1:1</v>
      </c>
    </row>
    <row r="111" spans="2:9">
      <c r="B111" s="4" t="s">
        <v>382</v>
      </c>
      <c r="C111" s="4" t="s">
        <v>901</v>
      </c>
      <c r="D111" s="4">
        <v>1</v>
      </c>
      <c r="E111" s="4" t="str">
        <f t="shared" si="28"/>
        <v>107016</v>
      </c>
      <c r="F111" s="4">
        <v>1150</v>
      </c>
      <c r="G111" s="4">
        <v>1</v>
      </c>
      <c r="H111" s="4">
        <v>1</v>
      </c>
      <c r="I111" s="4" t="str">
        <f t="shared" si="29"/>
        <v>1:107016:1150:1:1</v>
      </c>
    </row>
    <row r="112" spans="2:9">
      <c r="B112" s="4" t="s">
        <v>384</v>
      </c>
      <c r="C112" s="4" t="s">
        <v>902</v>
      </c>
      <c r="D112" s="4">
        <v>1</v>
      </c>
      <c r="E112" s="4" t="str">
        <f t="shared" si="28"/>
        <v>107017</v>
      </c>
      <c r="F112" s="4">
        <v>1150</v>
      </c>
      <c r="G112" s="4">
        <v>1</v>
      </c>
      <c r="H112" s="4">
        <v>1</v>
      </c>
      <c r="I112" s="4" t="str">
        <f t="shared" si="29"/>
        <v>1:107017:1150:1:1</v>
      </c>
    </row>
    <row r="113" spans="2:9">
      <c r="B113" s="4" t="s">
        <v>386</v>
      </c>
      <c r="C113" s="4" t="s">
        <v>903</v>
      </c>
      <c r="D113" s="4">
        <v>1</v>
      </c>
      <c r="E113" s="4" t="str">
        <f t="shared" si="28"/>
        <v>107028</v>
      </c>
      <c r="F113" s="4">
        <v>1033</v>
      </c>
      <c r="G113" s="4">
        <v>1</v>
      </c>
      <c r="H113" s="4">
        <v>1</v>
      </c>
      <c r="I113" s="4" t="str">
        <f t="shared" si="29"/>
        <v>1:107028:1033:1:1</v>
      </c>
    </row>
    <row r="114" spans="2:9">
      <c r="B114" s="4" t="s">
        <v>388</v>
      </c>
      <c r="C114" s="4" t="s">
        <v>904</v>
      </c>
      <c r="D114" s="4">
        <v>1</v>
      </c>
      <c r="E114" s="4" t="str">
        <f t="shared" si="28"/>
        <v>107026</v>
      </c>
      <c r="F114" s="4">
        <v>1150</v>
      </c>
      <c r="G114" s="4">
        <v>1</v>
      </c>
      <c r="H114" s="4">
        <v>1</v>
      </c>
      <c r="I114" s="4" t="str">
        <f t="shared" si="29"/>
        <v>1:107026:1150:1:1</v>
      </c>
    </row>
    <row r="115" spans="2:9">
      <c r="B115" s="4" t="s">
        <v>390</v>
      </c>
      <c r="C115" s="4" t="s">
        <v>905</v>
      </c>
      <c r="D115" s="4">
        <v>1</v>
      </c>
      <c r="E115" s="4" t="str">
        <f t="shared" si="28"/>
        <v>107027</v>
      </c>
      <c r="F115" s="4">
        <v>1150</v>
      </c>
      <c r="G115" s="4">
        <v>1</v>
      </c>
      <c r="H115" s="4">
        <v>1</v>
      </c>
      <c r="I115" s="4" t="str">
        <f t="shared" si="29"/>
        <v>1:107027:1150:1:1</v>
      </c>
    </row>
    <row r="116" spans="2:9">
      <c r="B116" s="4" t="s">
        <v>392</v>
      </c>
      <c r="C116" s="4" t="s">
        <v>906</v>
      </c>
      <c r="D116" s="4">
        <v>1</v>
      </c>
      <c r="E116" s="4" t="str">
        <f t="shared" si="28"/>
        <v>107038</v>
      </c>
      <c r="F116" s="4">
        <v>1034</v>
      </c>
      <c r="G116" s="4">
        <v>1</v>
      </c>
      <c r="H116" s="4">
        <v>1</v>
      </c>
      <c r="I116" s="4" t="str">
        <f t="shared" si="29"/>
        <v>1:107038:1034:1:1</v>
      </c>
    </row>
    <row r="117" spans="2:9">
      <c r="B117" s="4" t="s">
        <v>394</v>
      </c>
      <c r="C117" s="4" t="s">
        <v>907</v>
      </c>
      <c r="D117" s="4">
        <v>1</v>
      </c>
      <c r="E117" s="4" t="str">
        <f t="shared" si="28"/>
        <v>107036</v>
      </c>
      <c r="F117" s="4">
        <v>1150</v>
      </c>
      <c r="G117" s="4">
        <v>1</v>
      </c>
      <c r="H117" s="4">
        <v>1</v>
      </c>
      <c r="I117" s="4" t="str">
        <f t="shared" si="29"/>
        <v>1:107036:1150:1:1</v>
      </c>
    </row>
    <row r="118" spans="2:9">
      <c r="B118" s="4" t="s">
        <v>396</v>
      </c>
      <c r="C118" s="4" t="s">
        <v>908</v>
      </c>
      <c r="D118" s="4">
        <v>1</v>
      </c>
      <c r="E118" s="4" t="str">
        <f t="shared" si="28"/>
        <v>107037</v>
      </c>
      <c r="F118" s="4">
        <v>1150</v>
      </c>
      <c r="G118" s="4">
        <v>1</v>
      </c>
      <c r="H118" s="4">
        <v>1</v>
      </c>
      <c r="I118" s="4" t="str">
        <f t="shared" si="29"/>
        <v>1:107037:1150:1:1</v>
      </c>
    </row>
    <row r="120" spans="2:11">
      <c r="B120" s="4" t="s">
        <v>398</v>
      </c>
      <c r="C120" s="4" t="s">
        <v>909</v>
      </c>
      <c r="D120" s="4">
        <v>1</v>
      </c>
      <c r="E120" s="4" t="str">
        <f t="shared" ref="E120:E128" si="30">C120</f>
        <v>108018</v>
      </c>
      <c r="F120" s="4">
        <v>1033</v>
      </c>
      <c r="G120" s="4">
        <v>1</v>
      </c>
      <c r="H120" s="4">
        <v>1</v>
      </c>
      <c r="I120" s="4" t="str">
        <f t="shared" ref="I120:I128" si="31">D120&amp;":"&amp;E120&amp;":"&amp;F120&amp;":"&amp;G120&amp;":"&amp;H120</f>
        <v>1:108018:1033:1:1</v>
      </c>
      <c r="J120" s="4" t="s">
        <v>910</v>
      </c>
      <c r="K120" s="4" t="str">
        <f>I120&amp;","&amp;I121&amp;","&amp;I122&amp;","&amp;I123&amp;","&amp;I124&amp;","&amp;I125&amp;","&amp;I126&amp;","&amp;I127&amp;","&amp;I128</f>
        <v>1:108018:1033:1:1,1:108016:1150:1:1,1:108017:1150:1:1,1:108028:1033:1:1,1:108026:1150:1:1,1:108027:1150:1:1,1:108038:1034:1:1,1:108036:1150:1:1,1:108037:1150:1:1</v>
      </c>
    </row>
    <row r="121" spans="2:9">
      <c r="B121" s="4" t="s">
        <v>400</v>
      </c>
      <c r="C121" s="4" t="s">
        <v>911</v>
      </c>
      <c r="D121" s="4">
        <v>1</v>
      </c>
      <c r="E121" s="4" t="str">
        <f t="shared" si="30"/>
        <v>108016</v>
      </c>
      <c r="F121" s="4">
        <v>1150</v>
      </c>
      <c r="G121" s="4">
        <v>1</v>
      </c>
      <c r="H121" s="4">
        <v>1</v>
      </c>
      <c r="I121" s="4" t="str">
        <f t="shared" si="31"/>
        <v>1:108016:1150:1:1</v>
      </c>
    </row>
    <row r="122" spans="2:9">
      <c r="B122" s="4" t="s">
        <v>402</v>
      </c>
      <c r="C122" s="4" t="s">
        <v>912</v>
      </c>
      <c r="D122" s="4">
        <v>1</v>
      </c>
      <c r="E122" s="4" t="str">
        <f t="shared" si="30"/>
        <v>108017</v>
      </c>
      <c r="F122" s="4">
        <v>1150</v>
      </c>
      <c r="G122" s="4">
        <v>1</v>
      </c>
      <c r="H122" s="4">
        <v>1</v>
      </c>
      <c r="I122" s="4" t="str">
        <f t="shared" si="31"/>
        <v>1:108017:1150:1:1</v>
      </c>
    </row>
    <row r="123" spans="2:9">
      <c r="B123" s="4" t="s">
        <v>404</v>
      </c>
      <c r="C123" s="4" t="s">
        <v>913</v>
      </c>
      <c r="D123" s="4">
        <v>1</v>
      </c>
      <c r="E123" s="4" t="str">
        <f t="shared" si="30"/>
        <v>108028</v>
      </c>
      <c r="F123" s="4">
        <v>1033</v>
      </c>
      <c r="G123" s="4">
        <v>1</v>
      </c>
      <c r="H123" s="4">
        <v>1</v>
      </c>
      <c r="I123" s="4" t="str">
        <f t="shared" si="31"/>
        <v>1:108028:1033:1:1</v>
      </c>
    </row>
    <row r="124" spans="2:9">
      <c r="B124" s="4" t="s">
        <v>406</v>
      </c>
      <c r="C124" s="4" t="s">
        <v>914</v>
      </c>
      <c r="D124" s="4">
        <v>1</v>
      </c>
      <c r="E124" s="4" t="str">
        <f t="shared" si="30"/>
        <v>108026</v>
      </c>
      <c r="F124" s="4">
        <v>1150</v>
      </c>
      <c r="G124" s="4">
        <v>1</v>
      </c>
      <c r="H124" s="4">
        <v>1</v>
      </c>
      <c r="I124" s="4" t="str">
        <f t="shared" si="31"/>
        <v>1:108026:1150:1:1</v>
      </c>
    </row>
    <row r="125" spans="2:9">
      <c r="B125" s="4" t="s">
        <v>408</v>
      </c>
      <c r="C125" s="4" t="s">
        <v>915</v>
      </c>
      <c r="D125" s="4">
        <v>1</v>
      </c>
      <c r="E125" s="4" t="str">
        <f t="shared" si="30"/>
        <v>108027</v>
      </c>
      <c r="F125" s="4">
        <v>1150</v>
      </c>
      <c r="G125" s="4">
        <v>1</v>
      </c>
      <c r="H125" s="4">
        <v>1</v>
      </c>
      <c r="I125" s="4" t="str">
        <f t="shared" si="31"/>
        <v>1:108027:1150:1:1</v>
      </c>
    </row>
    <row r="126" spans="2:9">
      <c r="B126" s="4" t="s">
        <v>410</v>
      </c>
      <c r="C126" s="4" t="s">
        <v>916</v>
      </c>
      <c r="D126" s="4">
        <v>1</v>
      </c>
      <c r="E126" s="4" t="str">
        <f t="shared" si="30"/>
        <v>108038</v>
      </c>
      <c r="F126" s="4">
        <v>1034</v>
      </c>
      <c r="G126" s="4">
        <v>1</v>
      </c>
      <c r="H126" s="4">
        <v>1</v>
      </c>
      <c r="I126" s="4" t="str">
        <f t="shared" si="31"/>
        <v>1:108038:1034:1:1</v>
      </c>
    </row>
    <row r="127" spans="2:9">
      <c r="B127" s="4" t="s">
        <v>412</v>
      </c>
      <c r="C127" s="4" t="s">
        <v>917</v>
      </c>
      <c r="D127" s="4">
        <v>1</v>
      </c>
      <c r="E127" s="4" t="str">
        <f t="shared" si="30"/>
        <v>108036</v>
      </c>
      <c r="F127" s="4">
        <v>1150</v>
      </c>
      <c r="G127" s="4">
        <v>1</v>
      </c>
      <c r="H127" s="4">
        <v>1</v>
      </c>
      <c r="I127" s="4" t="str">
        <f t="shared" si="31"/>
        <v>1:108036:1150:1:1</v>
      </c>
    </row>
    <row r="128" spans="2:9">
      <c r="B128" s="4" t="s">
        <v>414</v>
      </c>
      <c r="C128" s="4" t="s">
        <v>918</v>
      </c>
      <c r="D128" s="4">
        <v>1</v>
      </c>
      <c r="E128" s="4" t="str">
        <f t="shared" si="30"/>
        <v>108037</v>
      </c>
      <c r="F128" s="4">
        <v>1150</v>
      </c>
      <c r="G128" s="4">
        <v>1</v>
      </c>
      <c r="H128" s="4">
        <v>1</v>
      </c>
      <c r="I128" s="4" t="str">
        <f t="shared" si="31"/>
        <v>1:108037:1150:1:1</v>
      </c>
    </row>
    <row r="130" spans="2:11">
      <c r="B130" s="4" t="s">
        <v>416</v>
      </c>
      <c r="C130" s="4" t="s">
        <v>919</v>
      </c>
      <c r="D130" s="4">
        <v>1</v>
      </c>
      <c r="E130" s="4" t="str">
        <f t="shared" ref="E130:E134" si="32">C130</f>
        <v>103011</v>
      </c>
      <c r="F130" s="4">
        <v>2000</v>
      </c>
      <c r="G130" s="4">
        <v>1</v>
      </c>
      <c r="H130" s="4">
        <v>1</v>
      </c>
      <c r="I130" s="4" t="str">
        <f t="shared" ref="I130:I134" si="33">D130&amp;":"&amp;E130&amp;":"&amp;F130&amp;":"&amp;G130&amp;":"&amp;H130</f>
        <v>1:103011:2000:1:1</v>
      </c>
      <c r="J130" s="4" t="s">
        <v>920</v>
      </c>
      <c r="K130" s="4" t="str">
        <f>I130&amp;","&amp;I131&amp;","&amp;I132&amp;","&amp;I133&amp;","&amp;I134</f>
        <v>1:103011:2000:1:1,1:103012:2000:1:1,1:103013:2000:1:1,1:103014:2000:1:1,1:103015:2000:1:1</v>
      </c>
    </row>
    <row r="131" spans="2:9">
      <c r="B131" s="4" t="s">
        <v>418</v>
      </c>
      <c r="C131" s="4" t="s">
        <v>921</v>
      </c>
      <c r="D131" s="4">
        <v>1</v>
      </c>
      <c r="E131" s="4" t="str">
        <f t="shared" si="32"/>
        <v>103012</v>
      </c>
      <c r="F131" s="4">
        <v>2000</v>
      </c>
      <c r="G131" s="4">
        <v>1</v>
      </c>
      <c r="H131" s="4">
        <v>1</v>
      </c>
      <c r="I131" s="4" t="str">
        <f t="shared" si="33"/>
        <v>1:103012:2000:1:1</v>
      </c>
    </row>
    <row r="132" spans="2:9">
      <c r="B132" s="4" t="s">
        <v>420</v>
      </c>
      <c r="C132" s="4" t="s">
        <v>922</v>
      </c>
      <c r="D132" s="4">
        <v>1</v>
      </c>
      <c r="E132" s="4" t="str">
        <f t="shared" si="32"/>
        <v>103013</v>
      </c>
      <c r="F132" s="4">
        <v>2000</v>
      </c>
      <c r="G132" s="4">
        <v>1</v>
      </c>
      <c r="H132" s="4">
        <v>1</v>
      </c>
      <c r="I132" s="4" t="str">
        <f t="shared" si="33"/>
        <v>1:103013:2000:1:1</v>
      </c>
    </row>
    <row r="133" spans="2:9">
      <c r="B133" s="4" t="s">
        <v>422</v>
      </c>
      <c r="C133" s="4" t="s">
        <v>923</v>
      </c>
      <c r="D133" s="4">
        <v>1</v>
      </c>
      <c r="E133" s="4" t="str">
        <f t="shared" si="32"/>
        <v>103014</v>
      </c>
      <c r="F133" s="4">
        <v>2000</v>
      </c>
      <c r="G133" s="4">
        <v>1</v>
      </c>
      <c r="H133" s="4">
        <v>1</v>
      </c>
      <c r="I133" s="4" t="str">
        <f t="shared" si="33"/>
        <v>1:103014:2000:1:1</v>
      </c>
    </row>
    <row r="134" spans="2:9">
      <c r="B134" s="4" t="s">
        <v>424</v>
      </c>
      <c r="C134" s="4" t="s">
        <v>924</v>
      </c>
      <c r="D134" s="4">
        <v>1</v>
      </c>
      <c r="E134" s="4" t="str">
        <f t="shared" si="32"/>
        <v>103015</v>
      </c>
      <c r="F134" s="4">
        <v>2000</v>
      </c>
      <c r="G134" s="4">
        <v>1</v>
      </c>
      <c r="H134" s="4">
        <v>1</v>
      </c>
      <c r="I134" s="4" t="str">
        <f t="shared" si="33"/>
        <v>1:103015:2000:1:1</v>
      </c>
    </row>
    <row r="136" spans="2:11">
      <c r="B136" s="4" t="s">
        <v>426</v>
      </c>
      <c r="C136" s="4" t="s">
        <v>925</v>
      </c>
      <c r="D136" s="4">
        <v>1</v>
      </c>
      <c r="E136" s="4" t="str">
        <f t="shared" ref="E136:E140" si="34">C136</f>
        <v>104011</v>
      </c>
      <c r="F136" s="4">
        <v>2000</v>
      </c>
      <c r="G136" s="4">
        <v>1</v>
      </c>
      <c r="H136" s="4">
        <v>1</v>
      </c>
      <c r="I136" s="4" t="str">
        <f t="shared" ref="I136:I140" si="35">D136&amp;":"&amp;E136&amp;":"&amp;F136&amp;":"&amp;G136&amp;":"&amp;H136</f>
        <v>1:104011:2000:1:1</v>
      </c>
      <c r="J136" s="4" t="s">
        <v>926</v>
      </c>
      <c r="K136" s="4" t="str">
        <f>I136&amp;","&amp;I137&amp;","&amp;I138&amp;","&amp;I139&amp;","&amp;I140</f>
        <v>1:104011:2000:1:1,1:104012:2000:1:1,1:104013:2000:1:1,1:104014:2000:1:1,1:104015:2000:1:1</v>
      </c>
    </row>
    <row r="137" spans="2:9">
      <c r="B137" s="4" t="s">
        <v>428</v>
      </c>
      <c r="C137" s="4" t="s">
        <v>927</v>
      </c>
      <c r="D137" s="4">
        <v>1</v>
      </c>
      <c r="E137" s="4" t="str">
        <f t="shared" si="34"/>
        <v>104012</v>
      </c>
      <c r="F137" s="4">
        <v>2000</v>
      </c>
      <c r="G137" s="4">
        <v>1</v>
      </c>
      <c r="H137" s="4">
        <v>1</v>
      </c>
      <c r="I137" s="4" t="str">
        <f t="shared" si="35"/>
        <v>1:104012:2000:1:1</v>
      </c>
    </row>
    <row r="138" spans="2:9">
      <c r="B138" s="4" t="s">
        <v>430</v>
      </c>
      <c r="C138" s="4" t="s">
        <v>928</v>
      </c>
      <c r="D138" s="4">
        <v>1</v>
      </c>
      <c r="E138" s="4" t="str">
        <f t="shared" si="34"/>
        <v>104013</v>
      </c>
      <c r="F138" s="4">
        <v>2000</v>
      </c>
      <c r="G138" s="4">
        <v>1</v>
      </c>
      <c r="H138" s="4">
        <v>1</v>
      </c>
      <c r="I138" s="4" t="str">
        <f t="shared" si="35"/>
        <v>1:104013:2000:1:1</v>
      </c>
    </row>
    <row r="139" spans="2:9">
      <c r="B139" s="4" t="s">
        <v>432</v>
      </c>
      <c r="C139" s="4" t="s">
        <v>929</v>
      </c>
      <c r="D139" s="4">
        <v>1</v>
      </c>
      <c r="E139" s="4" t="str">
        <f t="shared" si="34"/>
        <v>104014</v>
      </c>
      <c r="F139" s="4">
        <v>2000</v>
      </c>
      <c r="G139" s="4">
        <v>1</v>
      </c>
      <c r="H139" s="4">
        <v>1</v>
      </c>
      <c r="I139" s="4" t="str">
        <f t="shared" si="35"/>
        <v>1:104014:2000:1:1</v>
      </c>
    </row>
    <row r="140" spans="2:9">
      <c r="B140" s="4" t="s">
        <v>434</v>
      </c>
      <c r="C140" s="4" t="s">
        <v>930</v>
      </c>
      <c r="D140" s="4">
        <v>1</v>
      </c>
      <c r="E140" s="4" t="str">
        <f t="shared" si="34"/>
        <v>104015</v>
      </c>
      <c r="F140" s="4">
        <v>2000</v>
      </c>
      <c r="G140" s="4">
        <v>1</v>
      </c>
      <c r="H140" s="4">
        <v>1</v>
      </c>
      <c r="I140" s="4" t="str">
        <f t="shared" si="35"/>
        <v>1:104015:2000:1:1</v>
      </c>
    </row>
    <row r="142" spans="2:11">
      <c r="B142" s="4" t="s">
        <v>436</v>
      </c>
      <c r="C142" s="4" t="s">
        <v>931</v>
      </c>
      <c r="D142" s="4">
        <v>1</v>
      </c>
      <c r="E142" s="4" t="str">
        <f t="shared" ref="E142:E146" si="36">C142</f>
        <v>105011</v>
      </c>
      <c r="F142" s="4">
        <v>2000</v>
      </c>
      <c r="G142" s="4">
        <v>1</v>
      </c>
      <c r="H142" s="4">
        <v>1</v>
      </c>
      <c r="I142" s="4" t="str">
        <f t="shared" ref="I142:I146" si="37">D142&amp;":"&amp;E142&amp;":"&amp;F142&amp;":"&amp;G142&amp;":"&amp;H142</f>
        <v>1:105011:2000:1:1</v>
      </c>
      <c r="J142" s="4" t="s">
        <v>932</v>
      </c>
      <c r="K142" s="4" t="str">
        <f>I142&amp;","&amp;I143&amp;","&amp;I144&amp;","&amp;I145&amp;","&amp;I146</f>
        <v>1:105011:2000:1:1,1:105012:2000:1:1,1:105013:2000:1:1,1:105014:2000:1:1,1:105015:2000:1:1</v>
      </c>
    </row>
    <row r="143" spans="2:9">
      <c r="B143" s="4" t="s">
        <v>438</v>
      </c>
      <c r="C143" s="4" t="s">
        <v>933</v>
      </c>
      <c r="D143" s="4">
        <v>1</v>
      </c>
      <c r="E143" s="4" t="str">
        <f t="shared" si="36"/>
        <v>105012</v>
      </c>
      <c r="F143" s="4">
        <v>2000</v>
      </c>
      <c r="G143" s="4">
        <v>1</v>
      </c>
      <c r="H143" s="4">
        <v>1</v>
      </c>
      <c r="I143" s="4" t="str">
        <f t="shared" si="37"/>
        <v>1:105012:2000:1:1</v>
      </c>
    </row>
    <row r="144" spans="2:9">
      <c r="B144" s="4" t="s">
        <v>440</v>
      </c>
      <c r="C144" s="4" t="s">
        <v>934</v>
      </c>
      <c r="D144" s="4">
        <v>1</v>
      </c>
      <c r="E144" s="4" t="str">
        <f t="shared" si="36"/>
        <v>105013</v>
      </c>
      <c r="F144" s="4">
        <v>2000</v>
      </c>
      <c r="G144" s="4">
        <v>1</v>
      </c>
      <c r="H144" s="4">
        <v>1</v>
      </c>
      <c r="I144" s="4" t="str">
        <f t="shared" si="37"/>
        <v>1:105013:2000:1:1</v>
      </c>
    </row>
    <row r="145" spans="2:9">
      <c r="B145" s="4" t="s">
        <v>442</v>
      </c>
      <c r="C145" s="4" t="s">
        <v>935</v>
      </c>
      <c r="D145" s="4">
        <v>1</v>
      </c>
      <c r="E145" s="4" t="str">
        <f t="shared" si="36"/>
        <v>105014</v>
      </c>
      <c r="F145" s="4">
        <v>2000</v>
      </c>
      <c r="G145" s="4">
        <v>1</v>
      </c>
      <c r="H145" s="4">
        <v>1</v>
      </c>
      <c r="I145" s="4" t="str">
        <f t="shared" si="37"/>
        <v>1:105014:2000:1:1</v>
      </c>
    </row>
    <row r="146" spans="2:9">
      <c r="B146" s="4" t="s">
        <v>444</v>
      </c>
      <c r="C146" s="4" t="s">
        <v>936</v>
      </c>
      <c r="D146" s="4">
        <v>1</v>
      </c>
      <c r="E146" s="4" t="str">
        <f t="shared" si="36"/>
        <v>105015</v>
      </c>
      <c r="F146" s="4">
        <v>2000</v>
      </c>
      <c r="G146" s="4">
        <v>1</v>
      </c>
      <c r="H146" s="4">
        <v>1</v>
      </c>
      <c r="I146" s="4" t="str">
        <f t="shared" si="37"/>
        <v>1:105015:2000:1:1</v>
      </c>
    </row>
    <row r="148" spans="2:11">
      <c r="B148" s="4" t="s">
        <v>446</v>
      </c>
      <c r="C148" s="4" t="s">
        <v>937</v>
      </c>
      <c r="D148" s="4">
        <v>1</v>
      </c>
      <c r="E148" s="4" t="str">
        <f t="shared" ref="E148:E152" si="38">C148</f>
        <v>106011</v>
      </c>
      <c r="F148" s="4">
        <v>2000</v>
      </c>
      <c r="G148" s="4">
        <v>1</v>
      </c>
      <c r="H148" s="4">
        <v>1</v>
      </c>
      <c r="I148" s="4" t="str">
        <f t="shared" ref="I148:I152" si="39">D148&amp;":"&amp;E148&amp;":"&amp;F148&amp;":"&amp;G148&amp;":"&amp;H148</f>
        <v>1:106011:2000:1:1</v>
      </c>
      <c r="J148" s="4" t="s">
        <v>938</v>
      </c>
      <c r="K148" s="4" t="str">
        <f>I148&amp;","&amp;I149&amp;","&amp;I150&amp;","&amp;I151&amp;","&amp;I152</f>
        <v>1:106011:2000:1:1,1:106012:2000:1:1,1:106013:2000:1:1,1:106014:2000:1:1,1:106015:2000:1:1</v>
      </c>
    </row>
    <row r="149" spans="2:9">
      <c r="B149" s="4" t="s">
        <v>448</v>
      </c>
      <c r="C149" s="4" t="s">
        <v>939</v>
      </c>
      <c r="D149" s="4">
        <v>1</v>
      </c>
      <c r="E149" s="4" t="str">
        <f t="shared" si="38"/>
        <v>106012</v>
      </c>
      <c r="F149" s="4">
        <v>2000</v>
      </c>
      <c r="G149" s="4">
        <v>1</v>
      </c>
      <c r="H149" s="4">
        <v>1</v>
      </c>
      <c r="I149" s="4" t="str">
        <f t="shared" si="39"/>
        <v>1:106012:2000:1:1</v>
      </c>
    </row>
    <row r="150" spans="2:9">
      <c r="B150" s="4" t="s">
        <v>450</v>
      </c>
      <c r="C150" s="4" t="s">
        <v>940</v>
      </c>
      <c r="D150" s="4">
        <v>1</v>
      </c>
      <c r="E150" s="4" t="str">
        <f t="shared" si="38"/>
        <v>106013</v>
      </c>
      <c r="F150" s="4">
        <v>2000</v>
      </c>
      <c r="G150" s="4">
        <v>1</v>
      </c>
      <c r="H150" s="4">
        <v>1</v>
      </c>
      <c r="I150" s="4" t="str">
        <f t="shared" si="39"/>
        <v>1:106013:2000:1:1</v>
      </c>
    </row>
    <row r="151" spans="2:9">
      <c r="B151" s="4" t="s">
        <v>452</v>
      </c>
      <c r="C151" s="4" t="s">
        <v>941</v>
      </c>
      <c r="D151" s="4">
        <v>1</v>
      </c>
      <c r="E151" s="4" t="str">
        <f t="shared" si="38"/>
        <v>106014</v>
      </c>
      <c r="F151" s="4">
        <v>2000</v>
      </c>
      <c r="G151" s="4">
        <v>1</v>
      </c>
      <c r="H151" s="4">
        <v>1</v>
      </c>
      <c r="I151" s="4" t="str">
        <f t="shared" si="39"/>
        <v>1:106014:2000:1:1</v>
      </c>
    </row>
    <row r="152" spans="2:9">
      <c r="B152" s="4" t="s">
        <v>454</v>
      </c>
      <c r="C152" s="4" t="s">
        <v>942</v>
      </c>
      <c r="D152" s="4">
        <v>1</v>
      </c>
      <c r="E152" s="4" t="str">
        <f t="shared" si="38"/>
        <v>106015</v>
      </c>
      <c r="F152" s="4">
        <v>2000</v>
      </c>
      <c r="G152" s="4">
        <v>1</v>
      </c>
      <c r="H152" s="4">
        <v>1</v>
      </c>
      <c r="I152" s="4" t="str">
        <f t="shared" si="39"/>
        <v>1:106015:2000:1:1</v>
      </c>
    </row>
    <row r="154" spans="2:11">
      <c r="B154" s="4" t="s">
        <v>456</v>
      </c>
      <c r="C154" s="4" t="s">
        <v>943</v>
      </c>
      <c r="D154" s="4">
        <v>1</v>
      </c>
      <c r="E154" s="4" t="str">
        <f t="shared" ref="E154:E158" si="40">C154</f>
        <v>107011</v>
      </c>
      <c r="F154" s="4">
        <v>2000</v>
      </c>
      <c r="G154" s="4">
        <v>1</v>
      </c>
      <c r="H154" s="4">
        <v>1</v>
      </c>
      <c r="I154" s="4" t="str">
        <f t="shared" ref="I154:I158" si="41">D154&amp;":"&amp;E154&amp;":"&amp;F154&amp;":"&amp;G154&amp;":"&amp;H154</f>
        <v>1:107011:2000:1:1</v>
      </c>
      <c r="J154" s="4" t="s">
        <v>944</v>
      </c>
      <c r="K154" s="4" t="str">
        <f>I154&amp;","&amp;I155&amp;","&amp;I156&amp;","&amp;I157&amp;","&amp;I158</f>
        <v>1:107011:2000:1:1,1:107012:2000:1:1,1:107013:2000:1:1,1:107014:2000:1:1,1:107015:2000:1:1</v>
      </c>
    </row>
    <row r="155" spans="2:9">
      <c r="B155" s="4" t="s">
        <v>458</v>
      </c>
      <c r="C155" s="4" t="s">
        <v>945</v>
      </c>
      <c r="D155" s="4">
        <v>1</v>
      </c>
      <c r="E155" s="4" t="str">
        <f t="shared" si="40"/>
        <v>107012</v>
      </c>
      <c r="F155" s="4">
        <v>2000</v>
      </c>
      <c r="G155" s="4">
        <v>1</v>
      </c>
      <c r="H155" s="4">
        <v>1</v>
      </c>
      <c r="I155" s="4" t="str">
        <f t="shared" si="41"/>
        <v>1:107012:2000:1:1</v>
      </c>
    </row>
    <row r="156" spans="2:9">
      <c r="B156" s="4" t="s">
        <v>460</v>
      </c>
      <c r="C156" s="4" t="s">
        <v>946</v>
      </c>
      <c r="D156" s="4">
        <v>1</v>
      </c>
      <c r="E156" s="4" t="str">
        <f t="shared" si="40"/>
        <v>107013</v>
      </c>
      <c r="F156" s="4">
        <v>2000</v>
      </c>
      <c r="G156" s="4">
        <v>1</v>
      </c>
      <c r="H156" s="4">
        <v>1</v>
      </c>
      <c r="I156" s="4" t="str">
        <f t="shared" si="41"/>
        <v>1:107013:2000:1:1</v>
      </c>
    </row>
    <row r="157" spans="2:9">
      <c r="B157" s="4" t="s">
        <v>462</v>
      </c>
      <c r="C157" s="4" t="s">
        <v>947</v>
      </c>
      <c r="D157" s="4">
        <v>1</v>
      </c>
      <c r="E157" s="4" t="str">
        <f t="shared" si="40"/>
        <v>107014</v>
      </c>
      <c r="F157" s="4">
        <v>2000</v>
      </c>
      <c r="G157" s="4">
        <v>1</v>
      </c>
      <c r="H157" s="4">
        <v>1</v>
      </c>
      <c r="I157" s="4" t="str">
        <f t="shared" si="41"/>
        <v>1:107014:2000:1:1</v>
      </c>
    </row>
    <row r="158" spans="2:9">
      <c r="B158" s="4" t="s">
        <v>464</v>
      </c>
      <c r="C158" s="4" t="s">
        <v>948</v>
      </c>
      <c r="D158" s="4">
        <v>1</v>
      </c>
      <c r="E158" s="4" t="str">
        <f t="shared" si="40"/>
        <v>107015</v>
      </c>
      <c r="F158" s="4">
        <v>2000</v>
      </c>
      <c r="G158" s="4">
        <v>1</v>
      </c>
      <c r="H158" s="4">
        <v>1</v>
      </c>
      <c r="I158" s="4" t="str">
        <f t="shared" si="41"/>
        <v>1:107015:2000:1:1</v>
      </c>
    </row>
    <row r="160" spans="2:11">
      <c r="B160" s="4" t="s">
        <v>466</v>
      </c>
      <c r="C160" s="4" t="s">
        <v>949</v>
      </c>
      <c r="D160" s="4">
        <v>1</v>
      </c>
      <c r="E160" s="4" t="str">
        <f t="shared" ref="E160:E164" si="42">C160</f>
        <v>108011</v>
      </c>
      <c r="F160" s="4">
        <v>2000</v>
      </c>
      <c r="G160" s="4">
        <v>1</v>
      </c>
      <c r="H160" s="4">
        <v>1</v>
      </c>
      <c r="I160" s="4" t="str">
        <f t="shared" ref="I160:I164" si="43">D160&amp;":"&amp;E160&amp;":"&amp;F160&amp;":"&amp;G160&amp;":"&amp;H160</f>
        <v>1:108011:2000:1:1</v>
      </c>
      <c r="J160" s="4" t="s">
        <v>950</v>
      </c>
      <c r="K160" s="4" t="str">
        <f>I160&amp;","&amp;I161&amp;","&amp;I162&amp;","&amp;I163&amp;","&amp;I164</f>
        <v>1:108011:2000:1:1,1:108012:2000:1:1,1:108013:2000:1:1,1:108014:2000:1:1,1:108015:2000:1:1</v>
      </c>
    </row>
    <row r="161" spans="2:9">
      <c r="B161" s="4" t="s">
        <v>468</v>
      </c>
      <c r="C161" s="4" t="s">
        <v>951</v>
      </c>
      <c r="D161" s="4">
        <v>1</v>
      </c>
      <c r="E161" s="4" t="str">
        <f t="shared" si="42"/>
        <v>108012</v>
      </c>
      <c r="F161" s="4">
        <v>2000</v>
      </c>
      <c r="G161" s="4">
        <v>1</v>
      </c>
      <c r="H161" s="4">
        <v>1</v>
      </c>
      <c r="I161" s="4" t="str">
        <f t="shared" si="43"/>
        <v>1:108012:2000:1:1</v>
      </c>
    </row>
    <row r="162" spans="2:9">
      <c r="B162" s="4" t="s">
        <v>470</v>
      </c>
      <c r="C162" s="4" t="s">
        <v>952</v>
      </c>
      <c r="D162" s="4">
        <v>1</v>
      </c>
      <c r="E162" s="4" t="str">
        <f t="shared" si="42"/>
        <v>108013</v>
      </c>
      <c r="F162" s="4">
        <v>2000</v>
      </c>
      <c r="G162" s="4">
        <v>1</v>
      </c>
      <c r="H162" s="4">
        <v>1</v>
      </c>
      <c r="I162" s="4" t="str">
        <f t="shared" si="43"/>
        <v>1:108013:2000:1:1</v>
      </c>
    </row>
    <row r="163" spans="2:9">
      <c r="B163" s="4" t="s">
        <v>472</v>
      </c>
      <c r="C163" s="4" t="s">
        <v>953</v>
      </c>
      <c r="D163" s="4">
        <v>1</v>
      </c>
      <c r="E163" s="4" t="str">
        <f t="shared" si="42"/>
        <v>108014</v>
      </c>
      <c r="F163" s="4">
        <v>2000</v>
      </c>
      <c r="G163" s="4">
        <v>1</v>
      </c>
      <c r="H163" s="4">
        <v>1</v>
      </c>
      <c r="I163" s="4" t="str">
        <f t="shared" si="43"/>
        <v>1:108014:2000:1:1</v>
      </c>
    </row>
    <row r="164" spans="2:9">
      <c r="B164" s="4" t="s">
        <v>474</v>
      </c>
      <c r="C164" s="4" t="s">
        <v>954</v>
      </c>
      <c r="D164" s="4">
        <v>1</v>
      </c>
      <c r="E164" s="4" t="str">
        <f t="shared" si="42"/>
        <v>108015</v>
      </c>
      <c r="F164" s="4">
        <v>2000</v>
      </c>
      <c r="G164" s="4">
        <v>1</v>
      </c>
      <c r="H164" s="4">
        <v>1</v>
      </c>
      <c r="I164" s="4" t="str">
        <f t="shared" si="43"/>
        <v>1:108015:2000:1:1</v>
      </c>
    </row>
    <row r="166" spans="2:11">
      <c r="B166" s="4" t="s">
        <v>476</v>
      </c>
      <c r="C166" s="4" t="s">
        <v>955</v>
      </c>
      <c r="D166" s="4">
        <v>1</v>
      </c>
      <c r="E166" s="4" t="str">
        <f t="shared" ref="E166:E236" si="44">C166</f>
        <v>103021</v>
      </c>
      <c r="F166" s="4">
        <v>2000</v>
      </c>
      <c r="G166" s="4">
        <v>1</v>
      </c>
      <c r="H166" s="4">
        <v>1</v>
      </c>
      <c r="I166" s="4" t="str">
        <f t="shared" ref="I166:I236" si="45">D166&amp;":"&amp;E166&amp;":"&amp;F166&amp;":"&amp;G166&amp;":"&amp;H166</f>
        <v>1:103021:2000:1:1</v>
      </c>
      <c r="J166" s="4" t="s">
        <v>956</v>
      </c>
      <c r="K166" s="4" t="str">
        <f>I166&amp;","&amp;I167&amp;","&amp;I168&amp;","&amp;I169&amp;","&amp;I170</f>
        <v>1:103021:2000:1:1,1:103022:2000:1:1,1:103023:2000:1:1,1:103024:2000:1:1,1:103025:2000:1:1</v>
      </c>
    </row>
    <row r="167" spans="2:9">
      <c r="B167" s="4" t="s">
        <v>478</v>
      </c>
      <c r="C167" s="4" t="s">
        <v>957</v>
      </c>
      <c r="D167" s="4">
        <v>1</v>
      </c>
      <c r="E167" s="4" t="str">
        <f t="shared" si="44"/>
        <v>103022</v>
      </c>
      <c r="F167" s="4">
        <v>2000</v>
      </c>
      <c r="G167" s="4">
        <v>1</v>
      </c>
      <c r="H167" s="4">
        <v>1</v>
      </c>
      <c r="I167" s="4" t="str">
        <f t="shared" si="45"/>
        <v>1:103022:2000:1:1</v>
      </c>
    </row>
    <row r="168" spans="2:9">
      <c r="B168" s="4" t="s">
        <v>480</v>
      </c>
      <c r="C168" s="4" t="s">
        <v>958</v>
      </c>
      <c r="D168" s="4">
        <v>1</v>
      </c>
      <c r="E168" s="4" t="str">
        <f t="shared" si="44"/>
        <v>103023</v>
      </c>
      <c r="F168" s="4">
        <v>2000</v>
      </c>
      <c r="G168" s="4">
        <v>1</v>
      </c>
      <c r="H168" s="4">
        <v>1</v>
      </c>
      <c r="I168" s="4" t="str">
        <f t="shared" si="45"/>
        <v>1:103023:2000:1:1</v>
      </c>
    </row>
    <row r="169" spans="2:9">
      <c r="B169" s="4" t="s">
        <v>482</v>
      </c>
      <c r="C169" s="4" t="s">
        <v>959</v>
      </c>
      <c r="D169" s="4">
        <v>1</v>
      </c>
      <c r="E169" s="4" t="str">
        <f t="shared" si="44"/>
        <v>103024</v>
      </c>
      <c r="F169" s="4">
        <v>2000</v>
      </c>
      <c r="G169" s="4">
        <v>1</v>
      </c>
      <c r="H169" s="4">
        <v>1</v>
      </c>
      <c r="I169" s="4" t="str">
        <f t="shared" si="45"/>
        <v>1:103024:2000:1:1</v>
      </c>
    </row>
    <row r="170" spans="2:9">
      <c r="B170" s="4" t="s">
        <v>484</v>
      </c>
      <c r="C170" s="4" t="s">
        <v>960</v>
      </c>
      <c r="D170" s="4">
        <v>1</v>
      </c>
      <c r="E170" s="4" t="str">
        <f t="shared" si="44"/>
        <v>103025</v>
      </c>
      <c r="F170" s="4">
        <v>2000</v>
      </c>
      <c r="G170" s="4">
        <v>1</v>
      </c>
      <c r="H170" s="4">
        <v>1</v>
      </c>
      <c r="I170" s="4" t="str">
        <f t="shared" si="45"/>
        <v>1:103025:2000:1:1</v>
      </c>
    </row>
    <row r="172" spans="2:11">
      <c r="B172" s="4" t="s">
        <v>486</v>
      </c>
      <c r="C172" s="4" t="s">
        <v>961</v>
      </c>
      <c r="D172" s="4">
        <v>1</v>
      </c>
      <c r="E172" s="4" t="str">
        <f t="shared" si="44"/>
        <v>104021</v>
      </c>
      <c r="F172" s="4">
        <v>2000</v>
      </c>
      <c r="G172" s="4">
        <v>1</v>
      </c>
      <c r="H172" s="4">
        <v>1</v>
      </c>
      <c r="I172" s="4" t="str">
        <f t="shared" si="45"/>
        <v>1:104021:2000:1:1</v>
      </c>
      <c r="J172" s="4" t="s">
        <v>962</v>
      </c>
      <c r="K172" s="4" t="str">
        <f>I172&amp;","&amp;I173&amp;","&amp;I174&amp;","&amp;I175&amp;","&amp;I176</f>
        <v>1:104021:2000:1:1,1:104022:2000:1:1,1:104023:2000:1:1,1:104024:2000:1:1,1:104025:2000:1:1</v>
      </c>
    </row>
    <row r="173" spans="2:9">
      <c r="B173" s="4" t="s">
        <v>488</v>
      </c>
      <c r="C173" s="4" t="s">
        <v>963</v>
      </c>
      <c r="D173" s="4">
        <v>1</v>
      </c>
      <c r="E173" s="4" t="str">
        <f t="shared" si="44"/>
        <v>104022</v>
      </c>
      <c r="F173" s="4">
        <v>2000</v>
      </c>
      <c r="G173" s="4">
        <v>1</v>
      </c>
      <c r="H173" s="4">
        <v>1</v>
      </c>
      <c r="I173" s="4" t="str">
        <f t="shared" si="45"/>
        <v>1:104022:2000:1:1</v>
      </c>
    </row>
    <row r="174" spans="2:9">
      <c r="B174" s="4" t="s">
        <v>490</v>
      </c>
      <c r="C174" s="4" t="s">
        <v>964</v>
      </c>
      <c r="D174" s="4">
        <v>1</v>
      </c>
      <c r="E174" s="4" t="str">
        <f t="shared" si="44"/>
        <v>104023</v>
      </c>
      <c r="F174" s="4">
        <v>2000</v>
      </c>
      <c r="G174" s="4">
        <v>1</v>
      </c>
      <c r="H174" s="4">
        <v>1</v>
      </c>
      <c r="I174" s="4" t="str">
        <f t="shared" si="45"/>
        <v>1:104023:2000:1:1</v>
      </c>
    </row>
    <row r="175" spans="2:9">
      <c r="B175" s="4" t="s">
        <v>492</v>
      </c>
      <c r="C175" s="4" t="s">
        <v>965</v>
      </c>
      <c r="D175" s="4">
        <v>1</v>
      </c>
      <c r="E175" s="4" t="str">
        <f t="shared" si="44"/>
        <v>104024</v>
      </c>
      <c r="F175" s="4">
        <v>2000</v>
      </c>
      <c r="G175" s="4">
        <v>1</v>
      </c>
      <c r="H175" s="4">
        <v>1</v>
      </c>
      <c r="I175" s="4" t="str">
        <f t="shared" si="45"/>
        <v>1:104024:2000:1:1</v>
      </c>
    </row>
    <row r="176" spans="2:9">
      <c r="B176" s="4" t="s">
        <v>494</v>
      </c>
      <c r="C176" s="4" t="s">
        <v>966</v>
      </c>
      <c r="D176" s="4">
        <v>1</v>
      </c>
      <c r="E176" s="4" t="str">
        <f t="shared" si="44"/>
        <v>104025</v>
      </c>
      <c r="F176" s="4">
        <v>2000</v>
      </c>
      <c r="G176" s="4">
        <v>1</v>
      </c>
      <c r="H176" s="4">
        <v>1</v>
      </c>
      <c r="I176" s="4" t="str">
        <f t="shared" si="45"/>
        <v>1:104025:2000:1:1</v>
      </c>
    </row>
    <row r="178" spans="2:11">
      <c r="B178" s="4" t="s">
        <v>496</v>
      </c>
      <c r="C178" s="4" t="s">
        <v>967</v>
      </c>
      <c r="D178" s="4">
        <v>1</v>
      </c>
      <c r="E178" s="4" t="str">
        <f t="shared" si="44"/>
        <v>105021</v>
      </c>
      <c r="F178" s="4">
        <v>2000</v>
      </c>
      <c r="G178" s="4">
        <v>1</v>
      </c>
      <c r="H178" s="4">
        <v>1</v>
      </c>
      <c r="I178" s="4" t="str">
        <f t="shared" si="45"/>
        <v>1:105021:2000:1:1</v>
      </c>
      <c r="J178" s="4" t="s">
        <v>968</v>
      </c>
      <c r="K178" s="4" t="str">
        <f>I178&amp;","&amp;I179&amp;","&amp;I180&amp;","&amp;I181&amp;","&amp;I182</f>
        <v>1:105021:2000:1:1,1:105022:2000:1:1,1:105023:2000:1:1,1:105024:2000:1:1,1:105025:2000:1:1</v>
      </c>
    </row>
    <row r="179" spans="2:9">
      <c r="B179" s="4" t="s">
        <v>498</v>
      </c>
      <c r="C179" s="4" t="s">
        <v>969</v>
      </c>
      <c r="D179" s="4">
        <v>1</v>
      </c>
      <c r="E179" s="4" t="str">
        <f t="shared" si="44"/>
        <v>105022</v>
      </c>
      <c r="F179" s="4">
        <v>2000</v>
      </c>
      <c r="G179" s="4">
        <v>1</v>
      </c>
      <c r="H179" s="4">
        <v>1</v>
      </c>
      <c r="I179" s="4" t="str">
        <f t="shared" si="45"/>
        <v>1:105022:2000:1:1</v>
      </c>
    </row>
    <row r="180" spans="2:9">
      <c r="B180" s="4" t="s">
        <v>500</v>
      </c>
      <c r="C180" s="4" t="s">
        <v>970</v>
      </c>
      <c r="D180" s="4">
        <v>1</v>
      </c>
      <c r="E180" s="4" t="str">
        <f t="shared" si="44"/>
        <v>105023</v>
      </c>
      <c r="F180" s="4">
        <v>2000</v>
      </c>
      <c r="G180" s="4">
        <v>1</v>
      </c>
      <c r="H180" s="4">
        <v>1</v>
      </c>
      <c r="I180" s="4" t="str">
        <f t="shared" si="45"/>
        <v>1:105023:2000:1:1</v>
      </c>
    </row>
    <row r="181" spans="2:9">
      <c r="B181" s="4" t="s">
        <v>502</v>
      </c>
      <c r="C181" s="4" t="s">
        <v>971</v>
      </c>
      <c r="D181" s="4">
        <v>1</v>
      </c>
      <c r="E181" s="4" t="str">
        <f t="shared" si="44"/>
        <v>105024</v>
      </c>
      <c r="F181" s="4">
        <v>2000</v>
      </c>
      <c r="G181" s="4">
        <v>1</v>
      </c>
      <c r="H181" s="4">
        <v>1</v>
      </c>
      <c r="I181" s="4" t="str">
        <f t="shared" si="45"/>
        <v>1:105024:2000:1:1</v>
      </c>
    </row>
    <row r="182" spans="2:9">
      <c r="B182" s="4" t="s">
        <v>504</v>
      </c>
      <c r="C182" s="4" t="s">
        <v>972</v>
      </c>
      <c r="D182" s="4">
        <v>1</v>
      </c>
      <c r="E182" s="4" t="str">
        <f t="shared" si="44"/>
        <v>105025</v>
      </c>
      <c r="F182" s="4">
        <v>2000</v>
      </c>
      <c r="G182" s="4">
        <v>1</v>
      </c>
      <c r="H182" s="4">
        <v>1</v>
      </c>
      <c r="I182" s="4" t="str">
        <f t="shared" si="45"/>
        <v>1:105025:2000:1:1</v>
      </c>
    </row>
    <row r="184" spans="2:11">
      <c r="B184" s="4" t="s">
        <v>506</v>
      </c>
      <c r="C184" s="4" t="s">
        <v>973</v>
      </c>
      <c r="D184" s="4">
        <v>1</v>
      </c>
      <c r="E184" s="4" t="str">
        <f t="shared" si="44"/>
        <v>106021</v>
      </c>
      <c r="F184" s="4">
        <v>2000</v>
      </c>
      <c r="G184" s="4">
        <v>1</v>
      </c>
      <c r="H184" s="4">
        <v>1</v>
      </c>
      <c r="I184" s="4" t="str">
        <f t="shared" si="45"/>
        <v>1:106021:2000:1:1</v>
      </c>
      <c r="J184" s="4" t="s">
        <v>974</v>
      </c>
      <c r="K184" s="4" t="str">
        <f>I184&amp;","&amp;I185&amp;","&amp;I186&amp;","&amp;I187&amp;","&amp;I188</f>
        <v>1:106021:2000:1:1,1:106022:2000:1:1,1:106023:2000:1:1,1:106024:2000:1:1,1:106025:2000:1:1</v>
      </c>
    </row>
    <row r="185" spans="2:9">
      <c r="B185" s="4" t="s">
        <v>508</v>
      </c>
      <c r="C185" s="4" t="s">
        <v>975</v>
      </c>
      <c r="D185" s="4">
        <v>1</v>
      </c>
      <c r="E185" s="4" t="str">
        <f t="shared" si="44"/>
        <v>106022</v>
      </c>
      <c r="F185" s="4">
        <v>2000</v>
      </c>
      <c r="G185" s="4">
        <v>1</v>
      </c>
      <c r="H185" s="4">
        <v>1</v>
      </c>
      <c r="I185" s="4" t="str">
        <f t="shared" si="45"/>
        <v>1:106022:2000:1:1</v>
      </c>
    </row>
    <row r="186" spans="2:9">
      <c r="B186" s="4" t="s">
        <v>510</v>
      </c>
      <c r="C186" s="4" t="s">
        <v>976</v>
      </c>
      <c r="D186" s="4">
        <v>1</v>
      </c>
      <c r="E186" s="4" t="str">
        <f t="shared" si="44"/>
        <v>106023</v>
      </c>
      <c r="F186" s="4">
        <v>2000</v>
      </c>
      <c r="G186" s="4">
        <v>1</v>
      </c>
      <c r="H186" s="4">
        <v>1</v>
      </c>
      <c r="I186" s="4" t="str">
        <f t="shared" si="45"/>
        <v>1:106023:2000:1:1</v>
      </c>
    </row>
    <row r="187" spans="2:9">
      <c r="B187" s="4" t="s">
        <v>512</v>
      </c>
      <c r="C187" s="4" t="s">
        <v>977</v>
      </c>
      <c r="D187" s="4">
        <v>1</v>
      </c>
      <c r="E187" s="4" t="str">
        <f t="shared" si="44"/>
        <v>106024</v>
      </c>
      <c r="F187" s="4">
        <v>2000</v>
      </c>
      <c r="G187" s="4">
        <v>1</v>
      </c>
      <c r="H187" s="4">
        <v>1</v>
      </c>
      <c r="I187" s="4" t="str">
        <f t="shared" si="45"/>
        <v>1:106024:2000:1:1</v>
      </c>
    </row>
    <row r="188" spans="2:9">
      <c r="B188" s="4" t="s">
        <v>514</v>
      </c>
      <c r="C188" s="4" t="s">
        <v>978</v>
      </c>
      <c r="D188" s="4">
        <v>1</v>
      </c>
      <c r="E188" s="4" t="str">
        <f t="shared" si="44"/>
        <v>106025</v>
      </c>
      <c r="F188" s="4">
        <v>2000</v>
      </c>
      <c r="G188" s="4">
        <v>1</v>
      </c>
      <c r="H188" s="4">
        <v>1</v>
      </c>
      <c r="I188" s="4" t="str">
        <f t="shared" si="45"/>
        <v>1:106025:2000:1:1</v>
      </c>
    </row>
    <row r="190" spans="2:11">
      <c r="B190" s="4" t="s">
        <v>516</v>
      </c>
      <c r="C190" s="4" t="s">
        <v>979</v>
      </c>
      <c r="D190" s="4">
        <v>1</v>
      </c>
      <c r="E190" s="4" t="str">
        <f t="shared" si="44"/>
        <v>107021</v>
      </c>
      <c r="F190" s="4">
        <v>2000</v>
      </c>
      <c r="G190" s="4">
        <v>1</v>
      </c>
      <c r="H190" s="4">
        <v>1</v>
      </c>
      <c r="I190" s="4" t="str">
        <f t="shared" si="45"/>
        <v>1:107021:2000:1:1</v>
      </c>
      <c r="J190" s="4" t="s">
        <v>980</v>
      </c>
      <c r="K190" s="4" t="str">
        <f>I190&amp;","&amp;I191&amp;","&amp;I192&amp;","&amp;I193&amp;","&amp;I194</f>
        <v>1:107021:2000:1:1,1:107022:2000:1:1,1:107023:2000:1:1,1:107024:2000:1:1,1:107025:2000:1:1</v>
      </c>
    </row>
    <row r="191" spans="2:9">
      <c r="B191" s="4" t="s">
        <v>518</v>
      </c>
      <c r="C191" s="4" t="s">
        <v>981</v>
      </c>
      <c r="D191" s="4">
        <v>1</v>
      </c>
      <c r="E191" s="4" t="str">
        <f t="shared" si="44"/>
        <v>107022</v>
      </c>
      <c r="F191" s="4">
        <v>2000</v>
      </c>
      <c r="G191" s="4">
        <v>1</v>
      </c>
      <c r="H191" s="4">
        <v>1</v>
      </c>
      <c r="I191" s="4" t="str">
        <f t="shared" si="45"/>
        <v>1:107022:2000:1:1</v>
      </c>
    </row>
    <row r="192" spans="2:9">
      <c r="B192" s="4" t="s">
        <v>520</v>
      </c>
      <c r="C192" s="4" t="s">
        <v>982</v>
      </c>
      <c r="D192" s="4">
        <v>1</v>
      </c>
      <c r="E192" s="4" t="str">
        <f t="shared" si="44"/>
        <v>107023</v>
      </c>
      <c r="F192" s="4">
        <v>2000</v>
      </c>
      <c r="G192" s="4">
        <v>1</v>
      </c>
      <c r="H192" s="4">
        <v>1</v>
      </c>
      <c r="I192" s="4" t="str">
        <f t="shared" si="45"/>
        <v>1:107023:2000:1:1</v>
      </c>
    </row>
    <row r="193" spans="2:9">
      <c r="B193" s="4" t="s">
        <v>522</v>
      </c>
      <c r="C193" s="4" t="s">
        <v>983</v>
      </c>
      <c r="D193" s="4">
        <v>1</v>
      </c>
      <c r="E193" s="4" t="str">
        <f t="shared" si="44"/>
        <v>107024</v>
      </c>
      <c r="F193" s="4">
        <v>2000</v>
      </c>
      <c r="G193" s="4">
        <v>1</v>
      </c>
      <c r="H193" s="4">
        <v>1</v>
      </c>
      <c r="I193" s="4" t="str">
        <f t="shared" si="45"/>
        <v>1:107024:2000:1:1</v>
      </c>
    </row>
    <row r="194" spans="2:9">
      <c r="B194" s="4" t="s">
        <v>524</v>
      </c>
      <c r="C194" s="4" t="s">
        <v>984</v>
      </c>
      <c r="D194" s="4">
        <v>1</v>
      </c>
      <c r="E194" s="4" t="str">
        <f t="shared" si="44"/>
        <v>107025</v>
      </c>
      <c r="F194" s="4">
        <v>2000</v>
      </c>
      <c r="G194" s="4">
        <v>1</v>
      </c>
      <c r="H194" s="4">
        <v>1</v>
      </c>
      <c r="I194" s="4" t="str">
        <f t="shared" si="45"/>
        <v>1:107025:2000:1:1</v>
      </c>
    </row>
    <row r="196" spans="2:11">
      <c r="B196" s="4" t="s">
        <v>526</v>
      </c>
      <c r="C196" s="4" t="s">
        <v>985</v>
      </c>
      <c r="D196" s="4">
        <v>1</v>
      </c>
      <c r="E196" s="4" t="str">
        <f t="shared" si="44"/>
        <v>108021</v>
      </c>
      <c r="F196" s="4">
        <v>2000</v>
      </c>
      <c r="G196" s="4">
        <v>1</v>
      </c>
      <c r="H196" s="4">
        <v>1</v>
      </c>
      <c r="I196" s="4" t="str">
        <f t="shared" si="45"/>
        <v>1:108021:2000:1:1</v>
      </c>
      <c r="J196" s="4" t="s">
        <v>986</v>
      </c>
      <c r="K196" s="4" t="str">
        <f>I196&amp;","&amp;I197&amp;","&amp;I198&amp;","&amp;I199&amp;","&amp;I200</f>
        <v>1:108021:2000:1:1,1:108022:2000:1:1,1:108023:2000:1:1,1:108024:2000:1:1,1:108025:2000:1:1</v>
      </c>
    </row>
    <row r="197" spans="2:9">
      <c r="B197" s="4" t="s">
        <v>528</v>
      </c>
      <c r="C197" s="4" t="s">
        <v>987</v>
      </c>
      <c r="D197" s="4">
        <v>1</v>
      </c>
      <c r="E197" s="4" t="str">
        <f t="shared" si="44"/>
        <v>108022</v>
      </c>
      <c r="F197" s="4">
        <v>2000</v>
      </c>
      <c r="G197" s="4">
        <v>1</v>
      </c>
      <c r="H197" s="4">
        <v>1</v>
      </c>
      <c r="I197" s="4" t="str">
        <f t="shared" si="45"/>
        <v>1:108022:2000:1:1</v>
      </c>
    </row>
    <row r="198" spans="2:9">
      <c r="B198" s="4" t="s">
        <v>530</v>
      </c>
      <c r="C198" s="4" t="s">
        <v>988</v>
      </c>
      <c r="D198" s="4">
        <v>1</v>
      </c>
      <c r="E198" s="4" t="str">
        <f t="shared" si="44"/>
        <v>108023</v>
      </c>
      <c r="F198" s="4">
        <v>2000</v>
      </c>
      <c r="G198" s="4">
        <v>1</v>
      </c>
      <c r="H198" s="4">
        <v>1</v>
      </c>
      <c r="I198" s="4" t="str">
        <f t="shared" si="45"/>
        <v>1:108023:2000:1:1</v>
      </c>
    </row>
    <row r="199" spans="2:9">
      <c r="B199" s="4" t="s">
        <v>532</v>
      </c>
      <c r="C199" s="4" t="s">
        <v>989</v>
      </c>
      <c r="D199" s="4">
        <v>1</v>
      </c>
      <c r="E199" s="4" t="str">
        <f t="shared" si="44"/>
        <v>108024</v>
      </c>
      <c r="F199" s="4">
        <v>2000</v>
      </c>
      <c r="G199" s="4">
        <v>1</v>
      </c>
      <c r="H199" s="4">
        <v>1</v>
      </c>
      <c r="I199" s="4" t="str">
        <f t="shared" si="45"/>
        <v>1:108024:2000:1:1</v>
      </c>
    </row>
    <row r="200" spans="2:9">
      <c r="B200" s="4" t="s">
        <v>534</v>
      </c>
      <c r="C200" s="4" t="s">
        <v>990</v>
      </c>
      <c r="D200" s="4">
        <v>1</v>
      </c>
      <c r="E200" s="4" t="str">
        <f t="shared" si="44"/>
        <v>108025</v>
      </c>
      <c r="F200" s="4">
        <v>2000</v>
      </c>
      <c r="G200" s="4">
        <v>1</v>
      </c>
      <c r="H200" s="4">
        <v>1</v>
      </c>
      <c r="I200" s="4" t="str">
        <f t="shared" si="45"/>
        <v>1:108025:2000:1:1</v>
      </c>
    </row>
    <row r="202" spans="2:11">
      <c r="B202" s="4" t="s">
        <v>536</v>
      </c>
      <c r="C202" s="4" t="s">
        <v>991</v>
      </c>
      <c r="D202" s="4">
        <v>1</v>
      </c>
      <c r="E202" s="4" t="str">
        <f t="shared" si="44"/>
        <v>103031</v>
      </c>
      <c r="F202" s="4">
        <v>2000</v>
      </c>
      <c r="G202" s="4">
        <v>1</v>
      </c>
      <c r="H202" s="4">
        <v>1</v>
      </c>
      <c r="I202" s="4" t="str">
        <f t="shared" si="45"/>
        <v>1:103031:2000:1:1</v>
      </c>
      <c r="J202" s="4" t="s">
        <v>992</v>
      </c>
      <c r="K202" s="4" t="str">
        <f>I202&amp;","&amp;I203&amp;","&amp;I204&amp;","&amp;I205&amp;","&amp;I206</f>
        <v>1:103031:2000:1:1,1:103032:2000:1:1,1:103033:2000:1:1,1:103034:2000:1:1,1:103035:2000:1:1</v>
      </c>
    </row>
    <row r="203" spans="2:9">
      <c r="B203" s="4" t="s">
        <v>538</v>
      </c>
      <c r="C203" s="4" t="s">
        <v>993</v>
      </c>
      <c r="D203" s="4">
        <v>1</v>
      </c>
      <c r="E203" s="4" t="str">
        <f t="shared" si="44"/>
        <v>103032</v>
      </c>
      <c r="F203" s="4">
        <v>2000</v>
      </c>
      <c r="G203" s="4">
        <v>1</v>
      </c>
      <c r="H203" s="4">
        <v>1</v>
      </c>
      <c r="I203" s="4" t="str">
        <f t="shared" si="45"/>
        <v>1:103032:2000:1:1</v>
      </c>
    </row>
    <row r="204" spans="2:9">
      <c r="B204" s="4" t="s">
        <v>540</v>
      </c>
      <c r="C204" s="4" t="s">
        <v>994</v>
      </c>
      <c r="D204" s="4">
        <v>1</v>
      </c>
      <c r="E204" s="4" t="str">
        <f t="shared" si="44"/>
        <v>103033</v>
      </c>
      <c r="F204" s="4">
        <v>2000</v>
      </c>
      <c r="G204" s="4">
        <v>1</v>
      </c>
      <c r="H204" s="4">
        <v>1</v>
      </c>
      <c r="I204" s="4" t="str">
        <f t="shared" si="45"/>
        <v>1:103033:2000:1:1</v>
      </c>
    </row>
    <row r="205" spans="2:9">
      <c r="B205" s="4" t="s">
        <v>542</v>
      </c>
      <c r="C205" s="4" t="s">
        <v>995</v>
      </c>
      <c r="D205" s="4">
        <v>1</v>
      </c>
      <c r="E205" s="4" t="str">
        <f t="shared" si="44"/>
        <v>103034</v>
      </c>
      <c r="F205" s="4">
        <v>2000</v>
      </c>
      <c r="G205" s="4">
        <v>1</v>
      </c>
      <c r="H205" s="4">
        <v>1</v>
      </c>
      <c r="I205" s="4" t="str">
        <f t="shared" si="45"/>
        <v>1:103034:2000:1:1</v>
      </c>
    </row>
    <row r="206" spans="2:9">
      <c r="B206" s="4" t="s">
        <v>544</v>
      </c>
      <c r="C206" s="4" t="s">
        <v>996</v>
      </c>
      <c r="D206" s="4">
        <v>1</v>
      </c>
      <c r="E206" s="4" t="str">
        <f t="shared" si="44"/>
        <v>103035</v>
      </c>
      <c r="F206" s="4">
        <v>2000</v>
      </c>
      <c r="G206" s="4">
        <v>1</v>
      </c>
      <c r="H206" s="4">
        <v>1</v>
      </c>
      <c r="I206" s="4" t="str">
        <f t="shared" si="45"/>
        <v>1:103035:2000:1:1</v>
      </c>
    </row>
    <row r="208" spans="2:11">
      <c r="B208" s="4" t="s">
        <v>546</v>
      </c>
      <c r="C208" s="4" t="s">
        <v>997</v>
      </c>
      <c r="D208" s="4">
        <v>1</v>
      </c>
      <c r="E208" s="4" t="str">
        <f t="shared" si="44"/>
        <v>104031</v>
      </c>
      <c r="F208" s="4">
        <v>2000</v>
      </c>
      <c r="G208" s="4">
        <v>1</v>
      </c>
      <c r="H208" s="4">
        <v>1</v>
      </c>
      <c r="I208" s="4" t="str">
        <f t="shared" si="45"/>
        <v>1:104031:2000:1:1</v>
      </c>
      <c r="J208" s="4" t="s">
        <v>998</v>
      </c>
      <c r="K208" s="4" t="str">
        <f>I208&amp;","&amp;I209&amp;","&amp;I210&amp;","&amp;I211&amp;","&amp;I212</f>
        <v>1:104031:2000:1:1,1:104032:2000:1:1,1:104033:2000:1:1,1:104034:2000:1:1,1:104035:2000:1:1</v>
      </c>
    </row>
    <row r="209" spans="2:9">
      <c r="B209" s="4" t="s">
        <v>548</v>
      </c>
      <c r="C209" s="4" t="s">
        <v>999</v>
      </c>
      <c r="D209" s="4">
        <v>1</v>
      </c>
      <c r="E209" s="4" t="str">
        <f t="shared" si="44"/>
        <v>104032</v>
      </c>
      <c r="F209" s="4">
        <v>2000</v>
      </c>
      <c r="G209" s="4">
        <v>1</v>
      </c>
      <c r="H209" s="4">
        <v>1</v>
      </c>
      <c r="I209" s="4" t="str">
        <f t="shared" si="45"/>
        <v>1:104032:2000:1:1</v>
      </c>
    </row>
    <row r="210" spans="2:9">
      <c r="B210" s="4" t="s">
        <v>550</v>
      </c>
      <c r="C210" s="4" t="s">
        <v>1000</v>
      </c>
      <c r="D210" s="4">
        <v>1</v>
      </c>
      <c r="E210" s="4" t="str">
        <f t="shared" si="44"/>
        <v>104033</v>
      </c>
      <c r="F210" s="4">
        <v>2000</v>
      </c>
      <c r="G210" s="4">
        <v>1</v>
      </c>
      <c r="H210" s="4">
        <v>1</v>
      </c>
      <c r="I210" s="4" t="str">
        <f t="shared" si="45"/>
        <v>1:104033:2000:1:1</v>
      </c>
    </row>
    <row r="211" spans="2:9">
      <c r="B211" s="4" t="s">
        <v>552</v>
      </c>
      <c r="C211" s="4" t="s">
        <v>1001</v>
      </c>
      <c r="D211" s="4">
        <v>1</v>
      </c>
      <c r="E211" s="4" t="str">
        <f t="shared" si="44"/>
        <v>104034</v>
      </c>
      <c r="F211" s="4">
        <v>2000</v>
      </c>
      <c r="G211" s="4">
        <v>1</v>
      </c>
      <c r="H211" s="4">
        <v>1</v>
      </c>
      <c r="I211" s="4" t="str">
        <f t="shared" si="45"/>
        <v>1:104034:2000:1:1</v>
      </c>
    </row>
    <row r="212" spans="2:9">
      <c r="B212" s="4" t="s">
        <v>554</v>
      </c>
      <c r="C212" s="4" t="s">
        <v>1002</v>
      </c>
      <c r="D212" s="4">
        <v>1</v>
      </c>
      <c r="E212" s="4" t="str">
        <f t="shared" si="44"/>
        <v>104035</v>
      </c>
      <c r="F212" s="4">
        <v>2000</v>
      </c>
      <c r="G212" s="4">
        <v>1</v>
      </c>
      <c r="H212" s="4">
        <v>1</v>
      </c>
      <c r="I212" s="4" t="str">
        <f t="shared" si="45"/>
        <v>1:104035:2000:1:1</v>
      </c>
    </row>
    <row r="214" spans="2:11">
      <c r="B214" s="4" t="s">
        <v>556</v>
      </c>
      <c r="C214" s="4" t="s">
        <v>1003</v>
      </c>
      <c r="D214" s="4">
        <v>1</v>
      </c>
      <c r="E214" s="4" t="str">
        <f t="shared" si="44"/>
        <v>105031</v>
      </c>
      <c r="F214" s="4">
        <v>2000</v>
      </c>
      <c r="G214" s="4">
        <v>1</v>
      </c>
      <c r="H214" s="4">
        <v>1</v>
      </c>
      <c r="I214" s="4" t="str">
        <f t="shared" si="45"/>
        <v>1:105031:2000:1:1</v>
      </c>
      <c r="J214" s="4" t="s">
        <v>1004</v>
      </c>
      <c r="K214" s="4" t="str">
        <f>I214&amp;","&amp;I215&amp;","&amp;I216&amp;","&amp;I217&amp;","&amp;I218</f>
        <v>1:105031:2000:1:1,1:105032:2000:1:1,1:105033:2000:1:1,1:105034:2000:1:1,1:105035:2000:1:1</v>
      </c>
    </row>
    <row r="215" spans="2:9">
      <c r="B215" s="4" t="s">
        <v>558</v>
      </c>
      <c r="C215" s="4" t="s">
        <v>1005</v>
      </c>
      <c r="D215" s="4">
        <v>1</v>
      </c>
      <c r="E215" s="4" t="str">
        <f t="shared" si="44"/>
        <v>105032</v>
      </c>
      <c r="F215" s="4">
        <v>2000</v>
      </c>
      <c r="G215" s="4">
        <v>1</v>
      </c>
      <c r="H215" s="4">
        <v>1</v>
      </c>
      <c r="I215" s="4" t="str">
        <f t="shared" si="45"/>
        <v>1:105032:2000:1:1</v>
      </c>
    </row>
    <row r="216" spans="2:9">
      <c r="B216" s="4" t="s">
        <v>560</v>
      </c>
      <c r="C216" s="4" t="s">
        <v>1006</v>
      </c>
      <c r="D216" s="4">
        <v>1</v>
      </c>
      <c r="E216" s="4" t="str">
        <f t="shared" si="44"/>
        <v>105033</v>
      </c>
      <c r="F216" s="4">
        <v>2000</v>
      </c>
      <c r="G216" s="4">
        <v>1</v>
      </c>
      <c r="H216" s="4">
        <v>1</v>
      </c>
      <c r="I216" s="4" t="str">
        <f t="shared" si="45"/>
        <v>1:105033:2000:1:1</v>
      </c>
    </row>
    <row r="217" spans="2:9">
      <c r="B217" s="4" t="s">
        <v>562</v>
      </c>
      <c r="C217" s="4" t="s">
        <v>1007</v>
      </c>
      <c r="D217" s="4">
        <v>1</v>
      </c>
      <c r="E217" s="4" t="str">
        <f t="shared" si="44"/>
        <v>105034</v>
      </c>
      <c r="F217" s="4">
        <v>2000</v>
      </c>
      <c r="G217" s="4">
        <v>1</v>
      </c>
      <c r="H217" s="4">
        <v>1</v>
      </c>
      <c r="I217" s="4" t="str">
        <f t="shared" si="45"/>
        <v>1:105034:2000:1:1</v>
      </c>
    </row>
    <row r="218" spans="2:9">
      <c r="B218" s="4" t="s">
        <v>564</v>
      </c>
      <c r="C218" s="4" t="s">
        <v>1008</v>
      </c>
      <c r="D218" s="4">
        <v>1</v>
      </c>
      <c r="E218" s="4" t="str">
        <f t="shared" si="44"/>
        <v>105035</v>
      </c>
      <c r="F218" s="4">
        <v>2000</v>
      </c>
      <c r="G218" s="4">
        <v>1</v>
      </c>
      <c r="H218" s="4">
        <v>1</v>
      </c>
      <c r="I218" s="4" t="str">
        <f t="shared" si="45"/>
        <v>1:105035:2000:1:1</v>
      </c>
    </row>
    <row r="220" spans="2:11">
      <c r="B220" s="4" t="s">
        <v>566</v>
      </c>
      <c r="C220" s="4" t="s">
        <v>1009</v>
      </c>
      <c r="D220" s="4">
        <v>1</v>
      </c>
      <c r="E220" s="4" t="str">
        <f t="shared" si="44"/>
        <v>106031</v>
      </c>
      <c r="F220" s="4">
        <v>2000</v>
      </c>
      <c r="G220" s="4">
        <v>1</v>
      </c>
      <c r="H220" s="4">
        <v>1</v>
      </c>
      <c r="I220" s="4" t="str">
        <f t="shared" si="45"/>
        <v>1:106031:2000:1:1</v>
      </c>
      <c r="J220" s="4" t="s">
        <v>1010</v>
      </c>
      <c r="K220" s="4" t="str">
        <f>I220&amp;","&amp;I221&amp;","&amp;I222&amp;","&amp;I223&amp;","&amp;I224</f>
        <v>1:106031:2000:1:1,1:106032:2000:1:1,1:106033:2000:1:1,1:106034:2000:1:1,1:106035:2000:1:1</v>
      </c>
    </row>
    <row r="221" spans="2:9">
      <c r="B221" s="4" t="s">
        <v>568</v>
      </c>
      <c r="C221" s="4" t="s">
        <v>1011</v>
      </c>
      <c r="D221" s="4">
        <v>1</v>
      </c>
      <c r="E221" s="4" t="str">
        <f t="shared" si="44"/>
        <v>106032</v>
      </c>
      <c r="F221" s="4">
        <v>2000</v>
      </c>
      <c r="G221" s="4">
        <v>1</v>
      </c>
      <c r="H221" s="4">
        <v>1</v>
      </c>
      <c r="I221" s="4" t="str">
        <f t="shared" si="45"/>
        <v>1:106032:2000:1:1</v>
      </c>
    </row>
    <row r="222" spans="2:9">
      <c r="B222" s="4" t="s">
        <v>570</v>
      </c>
      <c r="C222" s="4" t="s">
        <v>1012</v>
      </c>
      <c r="D222" s="4">
        <v>1</v>
      </c>
      <c r="E222" s="4" t="str">
        <f t="shared" si="44"/>
        <v>106033</v>
      </c>
      <c r="F222" s="4">
        <v>2000</v>
      </c>
      <c r="G222" s="4">
        <v>1</v>
      </c>
      <c r="H222" s="4">
        <v>1</v>
      </c>
      <c r="I222" s="4" t="str">
        <f t="shared" si="45"/>
        <v>1:106033:2000:1:1</v>
      </c>
    </row>
    <row r="223" spans="2:9">
      <c r="B223" s="4" t="s">
        <v>572</v>
      </c>
      <c r="C223" s="4" t="s">
        <v>1013</v>
      </c>
      <c r="D223" s="4">
        <v>1</v>
      </c>
      <c r="E223" s="4" t="str">
        <f t="shared" si="44"/>
        <v>106034</v>
      </c>
      <c r="F223" s="4">
        <v>2000</v>
      </c>
      <c r="G223" s="4">
        <v>1</v>
      </c>
      <c r="H223" s="4">
        <v>1</v>
      </c>
      <c r="I223" s="4" t="str">
        <f t="shared" si="45"/>
        <v>1:106034:2000:1:1</v>
      </c>
    </row>
    <row r="224" spans="2:9">
      <c r="B224" s="4" t="s">
        <v>574</v>
      </c>
      <c r="C224" s="4" t="s">
        <v>1014</v>
      </c>
      <c r="D224" s="4">
        <v>1</v>
      </c>
      <c r="E224" s="4" t="str">
        <f t="shared" si="44"/>
        <v>106035</v>
      </c>
      <c r="F224" s="4">
        <v>2000</v>
      </c>
      <c r="G224" s="4">
        <v>1</v>
      </c>
      <c r="H224" s="4">
        <v>1</v>
      </c>
      <c r="I224" s="4" t="str">
        <f t="shared" si="45"/>
        <v>1:106035:2000:1:1</v>
      </c>
    </row>
    <row r="226" spans="2:11">
      <c r="B226" s="4" t="s">
        <v>576</v>
      </c>
      <c r="C226" s="4" t="s">
        <v>1015</v>
      </c>
      <c r="D226" s="4">
        <v>1</v>
      </c>
      <c r="E226" s="4" t="str">
        <f t="shared" si="44"/>
        <v>107031</v>
      </c>
      <c r="F226" s="4">
        <v>2000</v>
      </c>
      <c r="G226" s="4">
        <v>1</v>
      </c>
      <c r="H226" s="4">
        <v>1</v>
      </c>
      <c r="I226" s="4" t="str">
        <f t="shared" si="45"/>
        <v>1:107031:2000:1:1</v>
      </c>
      <c r="J226" s="4" t="s">
        <v>1016</v>
      </c>
      <c r="K226" s="4" t="str">
        <f>I226&amp;","&amp;I227&amp;","&amp;I228&amp;","&amp;I229&amp;","&amp;I230</f>
        <v>1:107031:2000:1:1,1:107032:2000:1:1,1:107033:2000:1:1,1:107034:2000:1:1,1:107035:2000:1:1</v>
      </c>
    </row>
    <row r="227" spans="2:9">
      <c r="B227" s="4" t="s">
        <v>578</v>
      </c>
      <c r="C227" s="4" t="s">
        <v>1017</v>
      </c>
      <c r="D227" s="4">
        <v>1</v>
      </c>
      <c r="E227" s="4" t="str">
        <f t="shared" si="44"/>
        <v>107032</v>
      </c>
      <c r="F227" s="4">
        <v>2000</v>
      </c>
      <c r="G227" s="4">
        <v>1</v>
      </c>
      <c r="H227" s="4">
        <v>1</v>
      </c>
      <c r="I227" s="4" t="str">
        <f t="shared" si="45"/>
        <v>1:107032:2000:1:1</v>
      </c>
    </row>
    <row r="228" spans="2:9">
      <c r="B228" s="4" t="s">
        <v>580</v>
      </c>
      <c r="C228" s="4" t="s">
        <v>1018</v>
      </c>
      <c r="D228" s="4">
        <v>1</v>
      </c>
      <c r="E228" s="4" t="str">
        <f t="shared" si="44"/>
        <v>107033</v>
      </c>
      <c r="F228" s="4">
        <v>2000</v>
      </c>
      <c r="G228" s="4">
        <v>1</v>
      </c>
      <c r="H228" s="4">
        <v>1</v>
      </c>
      <c r="I228" s="4" t="str">
        <f t="shared" si="45"/>
        <v>1:107033:2000:1:1</v>
      </c>
    </row>
    <row r="229" spans="2:9">
      <c r="B229" s="4" t="s">
        <v>582</v>
      </c>
      <c r="C229" s="4" t="s">
        <v>1019</v>
      </c>
      <c r="D229" s="4">
        <v>1</v>
      </c>
      <c r="E229" s="4" t="str">
        <f t="shared" si="44"/>
        <v>107034</v>
      </c>
      <c r="F229" s="4">
        <v>2000</v>
      </c>
      <c r="G229" s="4">
        <v>1</v>
      </c>
      <c r="H229" s="4">
        <v>1</v>
      </c>
      <c r="I229" s="4" t="str">
        <f t="shared" si="45"/>
        <v>1:107034:2000:1:1</v>
      </c>
    </row>
    <row r="230" spans="2:9">
      <c r="B230" s="4" t="s">
        <v>584</v>
      </c>
      <c r="C230" s="4" t="s">
        <v>1020</v>
      </c>
      <c r="D230" s="4">
        <v>1</v>
      </c>
      <c r="E230" s="4" t="str">
        <f t="shared" si="44"/>
        <v>107035</v>
      </c>
      <c r="F230" s="4">
        <v>2000</v>
      </c>
      <c r="G230" s="4">
        <v>1</v>
      </c>
      <c r="H230" s="4">
        <v>1</v>
      </c>
      <c r="I230" s="4" t="str">
        <f t="shared" si="45"/>
        <v>1:107035:2000:1:1</v>
      </c>
    </row>
    <row r="232" spans="2:11">
      <c r="B232" s="4" t="s">
        <v>586</v>
      </c>
      <c r="C232" s="4" t="s">
        <v>1021</v>
      </c>
      <c r="D232" s="4">
        <v>1</v>
      </c>
      <c r="E232" s="4" t="str">
        <f t="shared" si="44"/>
        <v>108031</v>
      </c>
      <c r="F232" s="4">
        <v>2000</v>
      </c>
      <c r="G232" s="4">
        <v>1</v>
      </c>
      <c r="H232" s="4">
        <v>1</v>
      </c>
      <c r="I232" s="4" t="str">
        <f t="shared" si="45"/>
        <v>1:108031:2000:1:1</v>
      </c>
      <c r="J232" s="4" t="s">
        <v>1022</v>
      </c>
      <c r="K232" s="4" t="str">
        <f>I232&amp;","&amp;I233&amp;","&amp;I234&amp;","&amp;I235&amp;","&amp;I236</f>
        <v>1:108031:2000:1:1,1:108032:2000:1:1,1:108033:2000:1:1,1:108034:2000:1:1,1:108035:2000:1:1</v>
      </c>
    </row>
    <row r="233" spans="2:9">
      <c r="B233" s="4" t="s">
        <v>588</v>
      </c>
      <c r="C233" s="4" t="s">
        <v>1023</v>
      </c>
      <c r="D233" s="4">
        <v>1</v>
      </c>
      <c r="E233" s="4" t="str">
        <f t="shared" si="44"/>
        <v>108032</v>
      </c>
      <c r="F233" s="4">
        <v>2000</v>
      </c>
      <c r="G233" s="4">
        <v>1</v>
      </c>
      <c r="H233" s="4">
        <v>1</v>
      </c>
      <c r="I233" s="4" t="str">
        <f t="shared" si="45"/>
        <v>1:108032:2000:1:1</v>
      </c>
    </row>
    <row r="234" spans="2:9">
      <c r="B234" s="4" t="s">
        <v>590</v>
      </c>
      <c r="C234" s="4" t="s">
        <v>1024</v>
      </c>
      <c r="D234" s="4">
        <v>1</v>
      </c>
      <c r="E234" s="4" t="str">
        <f t="shared" si="44"/>
        <v>108033</v>
      </c>
      <c r="F234" s="4">
        <v>2000</v>
      </c>
      <c r="G234" s="4">
        <v>1</v>
      </c>
      <c r="H234" s="4">
        <v>1</v>
      </c>
      <c r="I234" s="4" t="str">
        <f t="shared" si="45"/>
        <v>1:108033:2000:1:1</v>
      </c>
    </row>
    <row r="235" spans="2:9">
      <c r="B235" s="4" t="s">
        <v>592</v>
      </c>
      <c r="C235" s="4" t="s">
        <v>1025</v>
      </c>
      <c r="D235" s="4">
        <v>1</v>
      </c>
      <c r="E235" s="4" t="str">
        <f t="shared" si="44"/>
        <v>108034</v>
      </c>
      <c r="F235" s="4">
        <v>2000</v>
      </c>
      <c r="G235" s="4">
        <v>1</v>
      </c>
      <c r="H235" s="4">
        <v>1</v>
      </c>
      <c r="I235" s="4" t="str">
        <f t="shared" si="45"/>
        <v>1:108034:2000:1:1</v>
      </c>
    </row>
    <row r="236" spans="2:9">
      <c r="B236" s="4" t="s">
        <v>594</v>
      </c>
      <c r="C236" s="4" t="s">
        <v>1026</v>
      </c>
      <c r="D236" s="4">
        <v>1</v>
      </c>
      <c r="E236" s="4" t="str">
        <f t="shared" si="44"/>
        <v>108035</v>
      </c>
      <c r="F236" s="4">
        <v>2000</v>
      </c>
      <c r="G236" s="4">
        <v>1</v>
      </c>
      <c r="H236" s="4">
        <v>1</v>
      </c>
      <c r="I236" s="4" t="str">
        <f t="shared" si="45"/>
        <v>1:108035:2000:1:1</v>
      </c>
    </row>
    <row r="237" s="5" customFormat="1"/>
    <row r="239" spans="2:11">
      <c r="B239" s="4" t="s">
        <v>416</v>
      </c>
      <c r="C239" s="4" t="s">
        <v>919</v>
      </c>
      <c r="D239" s="4">
        <v>1</v>
      </c>
      <c r="E239" s="4" t="str">
        <f t="shared" ref="E239:E243" si="46">C239</f>
        <v>103011</v>
      </c>
      <c r="F239" s="4">
        <v>1250</v>
      </c>
      <c r="G239" s="4">
        <v>1</v>
      </c>
      <c r="H239" s="4">
        <v>1</v>
      </c>
      <c r="I239" s="4" t="str">
        <f t="shared" ref="I239:I243" si="47">D239&amp;":"&amp;E239&amp;":"&amp;F239&amp;":"&amp;G239&amp;":"&amp;H239</f>
        <v>1:103011:1250:1:1</v>
      </c>
      <c r="J239" s="4" t="s">
        <v>1027</v>
      </c>
      <c r="K239" s="4" t="str">
        <f>I239&amp;","&amp;I240&amp;","&amp;I241&amp;","&amp;I242&amp;","&amp;I243&amp;","&amp;I244&amp;","&amp;I245&amp;","&amp;I246</f>
        <v>1:103011:1250:1:1,1:103012:1250:1:1,1:103013:1250:1:1,1:103014:1250:1:1,1:103015:1250:1:1,1:103018:1250:1:1,1:103016:1250:1:1,1:103017:1250:1:1</v>
      </c>
    </row>
    <row r="240" spans="2:9">
      <c r="B240" s="4" t="s">
        <v>418</v>
      </c>
      <c r="C240" s="4" t="s">
        <v>921</v>
      </c>
      <c r="D240" s="4">
        <v>1</v>
      </c>
      <c r="E240" s="4" t="str">
        <f t="shared" si="46"/>
        <v>103012</v>
      </c>
      <c r="F240" s="4">
        <v>1250</v>
      </c>
      <c r="G240" s="4">
        <v>1</v>
      </c>
      <c r="H240" s="4">
        <v>1</v>
      </c>
      <c r="I240" s="4" t="str">
        <f t="shared" si="47"/>
        <v>1:103012:1250:1:1</v>
      </c>
    </row>
    <row r="241" spans="2:9">
      <c r="B241" s="4" t="s">
        <v>420</v>
      </c>
      <c r="C241" s="4" t="s">
        <v>922</v>
      </c>
      <c r="D241" s="4">
        <v>1</v>
      </c>
      <c r="E241" s="4" t="str">
        <f t="shared" si="46"/>
        <v>103013</v>
      </c>
      <c r="F241" s="4">
        <v>1250</v>
      </c>
      <c r="G241" s="4">
        <v>1</v>
      </c>
      <c r="H241" s="4">
        <v>1</v>
      </c>
      <c r="I241" s="4" t="str">
        <f t="shared" si="47"/>
        <v>1:103013:1250:1:1</v>
      </c>
    </row>
    <row r="242" spans="2:9">
      <c r="B242" s="4" t="s">
        <v>422</v>
      </c>
      <c r="C242" s="4" t="s">
        <v>923</v>
      </c>
      <c r="D242" s="4">
        <v>1</v>
      </c>
      <c r="E242" s="4" t="str">
        <f t="shared" si="46"/>
        <v>103014</v>
      </c>
      <c r="F242" s="4">
        <v>1250</v>
      </c>
      <c r="G242" s="4">
        <v>1</v>
      </c>
      <c r="H242" s="4">
        <v>1</v>
      </c>
      <c r="I242" s="4" t="str">
        <f t="shared" si="47"/>
        <v>1:103014:1250:1:1</v>
      </c>
    </row>
    <row r="243" spans="2:9">
      <c r="B243" s="4" t="s">
        <v>424</v>
      </c>
      <c r="C243" s="4" t="s">
        <v>924</v>
      </c>
      <c r="D243" s="4">
        <v>1</v>
      </c>
      <c r="E243" s="4" t="str">
        <f t="shared" si="46"/>
        <v>103015</v>
      </c>
      <c r="F243" s="4">
        <v>1250</v>
      </c>
      <c r="G243" s="4">
        <v>1</v>
      </c>
      <c r="H243" s="4">
        <v>1</v>
      </c>
      <c r="I243" s="4" t="str">
        <f t="shared" si="47"/>
        <v>1:103015:1250:1:1</v>
      </c>
    </row>
    <row r="244" spans="2:9">
      <c r="B244" s="4" t="s">
        <v>295</v>
      </c>
      <c r="C244" s="4" t="s">
        <v>859</v>
      </c>
      <c r="D244" s="4">
        <v>1</v>
      </c>
      <c r="E244" s="4" t="str">
        <f t="shared" ref="E244:E354" si="48">C244</f>
        <v>103018</v>
      </c>
      <c r="F244" s="4">
        <v>1250</v>
      </c>
      <c r="G244" s="4">
        <v>1</v>
      </c>
      <c r="H244" s="4">
        <v>1</v>
      </c>
      <c r="I244" s="4" t="str">
        <f t="shared" ref="I244:I354" si="49">D244&amp;":"&amp;E244&amp;":"&amp;F244&amp;":"&amp;G244&amp;":"&amp;H244</f>
        <v>1:103018:1250:1:1</v>
      </c>
    </row>
    <row r="245" spans="2:9">
      <c r="B245" s="4" t="s">
        <v>297</v>
      </c>
      <c r="C245" s="4" t="s">
        <v>861</v>
      </c>
      <c r="D245" s="4">
        <v>1</v>
      </c>
      <c r="E245" s="4" t="str">
        <f t="shared" si="48"/>
        <v>103016</v>
      </c>
      <c r="F245" s="4">
        <v>1250</v>
      </c>
      <c r="G245" s="4">
        <v>1</v>
      </c>
      <c r="H245" s="4">
        <v>1</v>
      </c>
      <c r="I245" s="4" t="str">
        <f t="shared" si="49"/>
        <v>1:103016:1250:1:1</v>
      </c>
    </row>
    <row r="246" spans="2:9">
      <c r="B246" s="4" t="s">
        <v>299</v>
      </c>
      <c r="C246" s="4" t="s">
        <v>862</v>
      </c>
      <c r="D246" s="4">
        <v>1</v>
      </c>
      <c r="E246" s="4" t="str">
        <f t="shared" si="48"/>
        <v>103017</v>
      </c>
      <c r="F246" s="4">
        <v>1250</v>
      </c>
      <c r="G246" s="4">
        <v>1</v>
      </c>
      <c r="H246" s="4">
        <v>1</v>
      </c>
      <c r="I246" s="4" t="str">
        <f t="shared" si="49"/>
        <v>1:103017:1250:1:1</v>
      </c>
    </row>
    <row r="248" spans="2:11">
      <c r="B248" s="4" t="s">
        <v>426</v>
      </c>
      <c r="C248" s="4" t="s">
        <v>925</v>
      </c>
      <c r="D248" s="4">
        <v>1</v>
      </c>
      <c r="E248" s="4" t="str">
        <f t="shared" ref="E248:E255" si="50">C248</f>
        <v>104011</v>
      </c>
      <c r="F248" s="4">
        <v>1250</v>
      </c>
      <c r="G248" s="4">
        <v>1</v>
      </c>
      <c r="H248" s="4">
        <v>1</v>
      </c>
      <c r="I248" s="4" t="str">
        <f t="shared" ref="I248:I255" si="51">D248&amp;":"&amp;E248&amp;":"&amp;F248&amp;":"&amp;G248&amp;":"&amp;H248</f>
        <v>1:104011:1250:1:1</v>
      </c>
      <c r="J248" s="4" t="s">
        <v>1028</v>
      </c>
      <c r="K248" s="4" t="str">
        <f>I248&amp;","&amp;I249&amp;","&amp;I250&amp;","&amp;I251&amp;","&amp;I252&amp;","&amp;I253&amp;","&amp;I254&amp;","&amp;I255</f>
        <v>1:104011:1250:1:1,1:104012:1250:1:1,1:104013:1250:1:1,1:104014:1250:1:1,1:104015:1250:1:1,1:104018:1250:1:1,1:104016:1250:1:1,1:104017:1250:1:1</v>
      </c>
    </row>
    <row r="249" spans="2:9">
      <c r="B249" s="4" t="s">
        <v>428</v>
      </c>
      <c r="C249" s="4" t="s">
        <v>927</v>
      </c>
      <c r="D249" s="4">
        <v>1</v>
      </c>
      <c r="E249" s="4" t="str">
        <f t="shared" si="50"/>
        <v>104012</v>
      </c>
      <c r="F249" s="4">
        <v>1250</v>
      </c>
      <c r="G249" s="4">
        <v>1</v>
      </c>
      <c r="H249" s="4">
        <v>1</v>
      </c>
      <c r="I249" s="4" t="str">
        <f t="shared" si="51"/>
        <v>1:104012:1250:1:1</v>
      </c>
    </row>
    <row r="250" spans="2:9">
      <c r="B250" s="4" t="s">
        <v>430</v>
      </c>
      <c r="C250" s="4" t="s">
        <v>928</v>
      </c>
      <c r="D250" s="4">
        <v>1</v>
      </c>
      <c r="E250" s="4" t="str">
        <f t="shared" si="50"/>
        <v>104013</v>
      </c>
      <c r="F250" s="4">
        <v>1250</v>
      </c>
      <c r="G250" s="4">
        <v>1</v>
      </c>
      <c r="H250" s="4">
        <v>1</v>
      </c>
      <c r="I250" s="4" t="str">
        <f t="shared" si="51"/>
        <v>1:104013:1250:1:1</v>
      </c>
    </row>
    <row r="251" spans="2:9">
      <c r="B251" s="4" t="s">
        <v>432</v>
      </c>
      <c r="C251" s="4" t="s">
        <v>929</v>
      </c>
      <c r="D251" s="4">
        <v>1</v>
      </c>
      <c r="E251" s="4" t="str">
        <f t="shared" si="50"/>
        <v>104014</v>
      </c>
      <c r="F251" s="4">
        <v>1250</v>
      </c>
      <c r="G251" s="4">
        <v>1</v>
      </c>
      <c r="H251" s="4">
        <v>1</v>
      </c>
      <c r="I251" s="4" t="str">
        <f t="shared" si="51"/>
        <v>1:104014:1250:1:1</v>
      </c>
    </row>
    <row r="252" spans="2:9">
      <c r="B252" s="4" t="s">
        <v>434</v>
      </c>
      <c r="C252" s="4" t="s">
        <v>930</v>
      </c>
      <c r="D252" s="4">
        <v>1</v>
      </c>
      <c r="E252" s="4" t="str">
        <f t="shared" si="50"/>
        <v>104015</v>
      </c>
      <c r="F252" s="4">
        <v>1250</v>
      </c>
      <c r="G252" s="4">
        <v>1</v>
      </c>
      <c r="H252" s="4">
        <v>1</v>
      </c>
      <c r="I252" s="4" t="str">
        <f t="shared" si="51"/>
        <v>1:104015:1250:1:1</v>
      </c>
    </row>
    <row r="253" spans="2:9">
      <c r="B253" s="4" t="s">
        <v>316</v>
      </c>
      <c r="C253" s="4" t="s">
        <v>869</v>
      </c>
      <c r="D253" s="4">
        <v>1</v>
      </c>
      <c r="E253" s="4" t="str">
        <f t="shared" si="50"/>
        <v>104018</v>
      </c>
      <c r="F253" s="4">
        <v>1250</v>
      </c>
      <c r="G253" s="4">
        <v>1</v>
      </c>
      <c r="H253" s="4">
        <v>1</v>
      </c>
      <c r="I253" s="4" t="str">
        <f t="shared" si="51"/>
        <v>1:104018:1250:1:1</v>
      </c>
    </row>
    <row r="254" spans="2:9">
      <c r="B254" s="4" t="s">
        <v>319</v>
      </c>
      <c r="C254" s="4" t="s">
        <v>871</v>
      </c>
      <c r="D254" s="4">
        <v>1</v>
      </c>
      <c r="E254" s="4" t="str">
        <f t="shared" si="50"/>
        <v>104016</v>
      </c>
      <c r="F254" s="4">
        <v>1250</v>
      </c>
      <c r="G254" s="4">
        <v>1</v>
      </c>
      <c r="H254" s="4">
        <v>1</v>
      </c>
      <c r="I254" s="4" t="str">
        <f t="shared" si="51"/>
        <v>1:104016:1250:1:1</v>
      </c>
    </row>
    <row r="255" spans="2:9">
      <c r="B255" s="4" t="s">
        <v>322</v>
      </c>
      <c r="C255" s="4" t="s">
        <v>872</v>
      </c>
      <c r="D255" s="4">
        <v>1</v>
      </c>
      <c r="E255" s="4" t="str">
        <f t="shared" si="50"/>
        <v>104017</v>
      </c>
      <c r="F255" s="4">
        <v>1250</v>
      </c>
      <c r="G255" s="4">
        <v>1</v>
      </c>
      <c r="H255" s="4">
        <v>1</v>
      </c>
      <c r="I255" s="4" t="str">
        <f t="shared" si="51"/>
        <v>1:104017:1250:1:1</v>
      </c>
    </row>
    <row r="257" spans="2:11">
      <c r="B257" s="4" t="s">
        <v>436</v>
      </c>
      <c r="C257" s="4" t="s">
        <v>931</v>
      </c>
      <c r="D257" s="4">
        <v>1</v>
      </c>
      <c r="E257" s="4" t="str">
        <f t="shared" ref="E257:E264" si="52">C257</f>
        <v>105011</v>
      </c>
      <c r="F257" s="4">
        <v>1250</v>
      </c>
      <c r="G257" s="4">
        <v>1</v>
      </c>
      <c r="H257" s="4">
        <v>1</v>
      </c>
      <c r="I257" s="4" t="str">
        <f t="shared" ref="I257:I264" si="53">D257&amp;":"&amp;E257&amp;":"&amp;F257&amp;":"&amp;G257&amp;":"&amp;H257</f>
        <v>1:105011:1250:1:1</v>
      </c>
      <c r="J257" s="4" t="s">
        <v>1029</v>
      </c>
      <c r="K257" s="4" t="str">
        <f>I257&amp;","&amp;I258&amp;","&amp;I259&amp;","&amp;I260&amp;","&amp;I261&amp;","&amp;I262&amp;","&amp;I263&amp;","&amp;I264</f>
        <v>1:105011:1250:1:1,1:105012:1250:1:1,1:105013:1250:1:1,1:105014:1250:1:1,1:105015:1250:1:1,1:105018:1250:1:1,1:105016:1250:1:1,1:105017:1250:1:1</v>
      </c>
    </row>
    <row r="258" spans="2:9">
      <c r="B258" s="4" t="s">
        <v>438</v>
      </c>
      <c r="C258" s="4" t="s">
        <v>933</v>
      </c>
      <c r="D258" s="4">
        <v>1</v>
      </c>
      <c r="E258" s="4" t="str">
        <f t="shared" si="52"/>
        <v>105012</v>
      </c>
      <c r="F258" s="4">
        <v>1250</v>
      </c>
      <c r="G258" s="4">
        <v>1</v>
      </c>
      <c r="H258" s="4">
        <v>1</v>
      </c>
      <c r="I258" s="4" t="str">
        <f t="shared" si="53"/>
        <v>1:105012:1250:1:1</v>
      </c>
    </row>
    <row r="259" spans="2:9">
      <c r="B259" s="4" t="s">
        <v>440</v>
      </c>
      <c r="C259" s="4" t="s">
        <v>934</v>
      </c>
      <c r="D259" s="4">
        <v>1</v>
      </c>
      <c r="E259" s="4" t="str">
        <f t="shared" si="52"/>
        <v>105013</v>
      </c>
      <c r="F259" s="4">
        <v>1250</v>
      </c>
      <c r="G259" s="4">
        <v>1</v>
      </c>
      <c r="H259" s="4">
        <v>1</v>
      </c>
      <c r="I259" s="4" t="str">
        <f t="shared" si="53"/>
        <v>1:105013:1250:1:1</v>
      </c>
    </row>
    <row r="260" spans="2:9">
      <c r="B260" s="4" t="s">
        <v>442</v>
      </c>
      <c r="C260" s="4" t="s">
        <v>935</v>
      </c>
      <c r="D260" s="4">
        <v>1</v>
      </c>
      <c r="E260" s="4" t="str">
        <f t="shared" si="52"/>
        <v>105014</v>
      </c>
      <c r="F260" s="4">
        <v>1250</v>
      </c>
      <c r="G260" s="4">
        <v>1</v>
      </c>
      <c r="H260" s="4">
        <v>1</v>
      </c>
      <c r="I260" s="4" t="str">
        <f t="shared" si="53"/>
        <v>1:105014:1250:1:1</v>
      </c>
    </row>
    <row r="261" spans="2:9">
      <c r="B261" s="4" t="s">
        <v>444</v>
      </c>
      <c r="C261" s="4" t="s">
        <v>936</v>
      </c>
      <c r="D261" s="4">
        <v>1</v>
      </c>
      <c r="E261" s="4" t="str">
        <f t="shared" si="52"/>
        <v>105015</v>
      </c>
      <c r="F261" s="4">
        <v>1250</v>
      </c>
      <c r="G261" s="4">
        <v>1</v>
      </c>
      <c r="H261" s="4">
        <v>1</v>
      </c>
      <c r="I261" s="4" t="str">
        <f t="shared" si="53"/>
        <v>1:105015:1250:1:1</v>
      </c>
    </row>
    <row r="262" spans="2:9">
      <c r="B262" s="4" t="s">
        <v>337</v>
      </c>
      <c r="C262" s="4" t="s">
        <v>879</v>
      </c>
      <c r="D262" s="4">
        <v>1</v>
      </c>
      <c r="E262" s="4" t="str">
        <f t="shared" si="52"/>
        <v>105018</v>
      </c>
      <c r="F262" s="4">
        <v>1250</v>
      </c>
      <c r="G262" s="4">
        <v>1</v>
      </c>
      <c r="H262" s="4">
        <v>1</v>
      </c>
      <c r="I262" s="4" t="str">
        <f t="shared" si="53"/>
        <v>1:105018:1250:1:1</v>
      </c>
    </row>
    <row r="263" spans="2:9">
      <c r="B263" s="4" t="s">
        <v>339</v>
      </c>
      <c r="C263" s="4" t="s">
        <v>881</v>
      </c>
      <c r="D263" s="4">
        <v>1</v>
      </c>
      <c r="E263" s="4" t="str">
        <f t="shared" si="52"/>
        <v>105016</v>
      </c>
      <c r="F263" s="4">
        <v>1250</v>
      </c>
      <c r="G263" s="4">
        <v>1</v>
      </c>
      <c r="H263" s="4">
        <v>1</v>
      </c>
      <c r="I263" s="4" t="str">
        <f t="shared" si="53"/>
        <v>1:105016:1250:1:1</v>
      </c>
    </row>
    <row r="264" spans="2:9">
      <c r="B264" s="4" t="s">
        <v>341</v>
      </c>
      <c r="C264" s="4" t="s">
        <v>882</v>
      </c>
      <c r="D264" s="4">
        <v>1</v>
      </c>
      <c r="E264" s="4" t="str">
        <f t="shared" si="52"/>
        <v>105017</v>
      </c>
      <c r="F264" s="4">
        <v>1250</v>
      </c>
      <c r="G264" s="4">
        <v>1</v>
      </c>
      <c r="H264" s="4">
        <v>1</v>
      </c>
      <c r="I264" s="4" t="str">
        <f t="shared" si="53"/>
        <v>1:105017:1250:1:1</v>
      </c>
    </row>
    <row r="266" spans="2:11">
      <c r="B266" s="4" t="s">
        <v>446</v>
      </c>
      <c r="C266" s="4" t="s">
        <v>937</v>
      </c>
      <c r="D266" s="4">
        <v>1</v>
      </c>
      <c r="E266" s="4" t="str">
        <f t="shared" ref="E266:E273" si="54">C266</f>
        <v>106011</v>
      </c>
      <c r="F266" s="4">
        <v>1250</v>
      </c>
      <c r="G266" s="4">
        <v>1</v>
      </c>
      <c r="H266" s="4">
        <v>1</v>
      </c>
      <c r="I266" s="4" t="str">
        <f t="shared" ref="I266:I273" si="55">D266&amp;":"&amp;E266&amp;":"&amp;F266&amp;":"&amp;G266&amp;":"&amp;H266</f>
        <v>1:106011:1250:1:1</v>
      </c>
      <c r="J266" s="4" t="s">
        <v>1030</v>
      </c>
      <c r="K266" s="4" t="str">
        <f>I266&amp;","&amp;I267&amp;","&amp;I268&amp;","&amp;I269&amp;","&amp;I270&amp;","&amp;I271&amp;","&amp;I272&amp;","&amp;I273</f>
        <v>1:106011:1250:1:1,1:106012:1250:1:1,1:106013:1250:1:1,1:106014:1250:1:1,1:106015:1250:1:1,1:106018:1250:1:1,1:106016:1250:1:1,1:106017:1250:1:1</v>
      </c>
    </row>
    <row r="267" spans="2:9">
      <c r="B267" s="4" t="s">
        <v>448</v>
      </c>
      <c r="C267" s="4" t="s">
        <v>939</v>
      </c>
      <c r="D267" s="4">
        <v>1</v>
      </c>
      <c r="E267" s="4" t="str">
        <f t="shared" si="54"/>
        <v>106012</v>
      </c>
      <c r="F267" s="4">
        <v>1250</v>
      </c>
      <c r="G267" s="4">
        <v>1</v>
      </c>
      <c r="H267" s="4">
        <v>1</v>
      </c>
      <c r="I267" s="4" t="str">
        <f t="shared" si="55"/>
        <v>1:106012:1250:1:1</v>
      </c>
    </row>
    <row r="268" spans="2:9">
      <c r="B268" s="4" t="s">
        <v>450</v>
      </c>
      <c r="C268" s="4" t="s">
        <v>940</v>
      </c>
      <c r="D268" s="4">
        <v>1</v>
      </c>
      <c r="E268" s="4" t="str">
        <f t="shared" si="54"/>
        <v>106013</v>
      </c>
      <c r="F268" s="4">
        <v>1250</v>
      </c>
      <c r="G268" s="4">
        <v>1</v>
      </c>
      <c r="H268" s="4">
        <v>1</v>
      </c>
      <c r="I268" s="4" t="str">
        <f t="shared" si="55"/>
        <v>1:106013:1250:1:1</v>
      </c>
    </row>
    <row r="269" spans="2:9">
      <c r="B269" s="4" t="s">
        <v>452</v>
      </c>
      <c r="C269" s="4" t="s">
        <v>941</v>
      </c>
      <c r="D269" s="4">
        <v>1</v>
      </c>
      <c r="E269" s="4" t="str">
        <f t="shared" si="54"/>
        <v>106014</v>
      </c>
      <c r="F269" s="4">
        <v>1250</v>
      </c>
      <c r="G269" s="4">
        <v>1</v>
      </c>
      <c r="H269" s="4">
        <v>1</v>
      </c>
      <c r="I269" s="4" t="str">
        <f t="shared" si="55"/>
        <v>1:106014:1250:1:1</v>
      </c>
    </row>
    <row r="270" spans="2:9">
      <c r="B270" s="4" t="s">
        <v>454</v>
      </c>
      <c r="C270" s="4" t="s">
        <v>942</v>
      </c>
      <c r="D270" s="4">
        <v>1</v>
      </c>
      <c r="E270" s="4" t="str">
        <f t="shared" si="54"/>
        <v>106015</v>
      </c>
      <c r="F270" s="4">
        <v>1250</v>
      </c>
      <c r="G270" s="4">
        <v>1</v>
      </c>
      <c r="H270" s="4">
        <v>1</v>
      </c>
      <c r="I270" s="4" t="str">
        <f t="shared" si="55"/>
        <v>1:106015:1250:1:1</v>
      </c>
    </row>
    <row r="271" spans="2:9">
      <c r="B271" s="4" t="s">
        <v>362</v>
      </c>
      <c r="C271" s="4" t="s">
        <v>889</v>
      </c>
      <c r="D271" s="4">
        <v>1</v>
      </c>
      <c r="E271" s="4" t="str">
        <f t="shared" si="54"/>
        <v>106018</v>
      </c>
      <c r="F271" s="4">
        <v>1250</v>
      </c>
      <c r="G271" s="4">
        <v>1</v>
      </c>
      <c r="H271" s="4">
        <v>1</v>
      </c>
      <c r="I271" s="4" t="str">
        <f t="shared" si="55"/>
        <v>1:106018:1250:1:1</v>
      </c>
    </row>
    <row r="272" spans="2:9">
      <c r="B272" s="4" t="s">
        <v>364</v>
      </c>
      <c r="C272" s="4" t="s">
        <v>891</v>
      </c>
      <c r="D272" s="4">
        <v>1</v>
      </c>
      <c r="E272" s="4" t="str">
        <f t="shared" si="54"/>
        <v>106016</v>
      </c>
      <c r="F272" s="4">
        <v>1250</v>
      </c>
      <c r="G272" s="4">
        <v>1</v>
      </c>
      <c r="H272" s="4">
        <v>1</v>
      </c>
      <c r="I272" s="4" t="str">
        <f t="shared" si="55"/>
        <v>1:106016:1250:1:1</v>
      </c>
    </row>
    <row r="273" spans="2:9">
      <c r="B273" s="4" t="s">
        <v>366</v>
      </c>
      <c r="C273" s="4" t="s">
        <v>892</v>
      </c>
      <c r="D273" s="4">
        <v>1</v>
      </c>
      <c r="E273" s="4" t="str">
        <f t="shared" si="54"/>
        <v>106017</v>
      </c>
      <c r="F273" s="4">
        <v>1250</v>
      </c>
      <c r="G273" s="4">
        <v>1</v>
      </c>
      <c r="H273" s="4">
        <v>1</v>
      </c>
      <c r="I273" s="4" t="str">
        <f t="shared" si="55"/>
        <v>1:106017:1250:1:1</v>
      </c>
    </row>
    <row r="275" spans="2:11">
      <c r="B275" s="4" t="s">
        <v>456</v>
      </c>
      <c r="C275" s="4" t="s">
        <v>943</v>
      </c>
      <c r="D275" s="4">
        <v>1</v>
      </c>
      <c r="E275" s="4" t="str">
        <f t="shared" ref="E275:E282" si="56">C275</f>
        <v>107011</v>
      </c>
      <c r="F275" s="4">
        <v>1250</v>
      </c>
      <c r="G275" s="4">
        <v>1</v>
      </c>
      <c r="H275" s="4">
        <v>1</v>
      </c>
      <c r="I275" s="4" t="str">
        <f t="shared" ref="I275:I282" si="57">D275&amp;":"&amp;E275&amp;":"&amp;F275&amp;":"&amp;G275&amp;":"&amp;H275</f>
        <v>1:107011:1250:1:1</v>
      </c>
      <c r="J275" s="4" t="s">
        <v>1031</v>
      </c>
      <c r="K275" s="4" t="str">
        <f>I275&amp;","&amp;I276&amp;","&amp;I277&amp;","&amp;I278&amp;","&amp;I279&amp;","&amp;I280&amp;","&amp;I281&amp;","&amp;I282</f>
        <v>1:107011:1250:1:1,1:107012:1250:1:1,1:107013:1250:1:1,1:107014:1250:1:1,1:107015:1250:1:1,1:107018:1250:1:1,1:107016:1250:1:1,1:107017:1250:1:1</v>
      </c>
    </row>
    <row r="276" spans="2:9">
      <c r="B276" s="4" t="s">
        <v>458</v>
      </c>
      <c r="C276" s="4" t="s">
        <v>945</v>
      </c>
      <c r="D276" s="4">
        <v>1</v>
      </c>
      <c r="E276" s="4" t="str">
        <f t="shared" si="56"/>
        <v>107012</v>
      </c>
      <c r="F276" s="4">
        <v>1250</v>
      </c>
      <c r="G276" s="4">
        <v>1</v>
      </c>
      <c r="H276" s="4">
        <v>1</v>
      </c>
      <c r="I276" s="4" t="str">
        <f t="shared" si="57"/>
        <v>1:107012:1250:1:1</v>
      </c>
    </row>
    <row r="277" spans="2:9">
      <c r="B277" s="4" t="s">
        <v>460</v>
      </c>
      <c r="C277" s="4" t="s">
        <v>946</v>
      </c>
      <c r="D277" s="4">
        <v>1</v>
      </c>
      <c r="E277" s="4" t="str">
        <f t="shared" si="56"/>
        <v>107013</v>
      </c>
      <c r="F277" s="4">
        <v>1250</v>
      </c>
      <c r="G277" s="4">
        <v>1</v>
      </c>
      <c r="H277" s="4">
        <v>1</v>
      </c>
      <c r="I277" s="4" t="str">
        <f t="shared" si="57"/>
        <v>1:107013:1250:1:1</v>
      </c>
    </row>
    <row r="278" spans="2:9">
      <c r="B278" s="4" t="s">
        <v>462</v>
      </c>
      <c r="C278" s="4" t="s">
        <v>947</v>
      </c>
      <c r="D278" s="4">
        <v>1</v>
      </c>
      <c r="E278" s="4" t="str">
        <f t="shared" si="56"/>
        <v>107014</v>
      </c>
      <c r="F278" s="4">
        <v>1250</v>
      </c>
      <c r="G278" s="4">
        <v>1</v>
      </c>
      <c r="H278" s="4">
        <v>1</v>
      </c>
      <c r="I278" s="4" t="str">
        <f t="shared" si="57"/>
        <v>1:107014:1250:1:1</v>
      </c>
    </row>
    <row r="279" spans="2:9">
      <c r="B279" s="4" t="s">
        <v>464</v>
      </c>
      <c r="C279" s="4" t="s">
        <v>948</v>
      </c>
      <c r="D279" s="4">
        <v>1</v>
      </c>
      <c r="E279" s="4" t="str">
        <f t="shared" si="56"/>
        <v>107015</v>
      </c>
      <c r="F279" s="4">
        <v>1250</v>
      </c>
      <c r="G279" s="4">
        <v>1</v>
      </c>
      <c r="H279" s="4">
        <v>1</v>
      </c>
      <c r="I279" s="4" t="str">
        <f t="shared" si="57"/>
        <v>1:107015:1250:1:1</v>
      </c>
    </row>
    <row r="280" spans="2:9">
      <c r="B280" s="4" t="s">
        <v>380</v>
      </c>
      <c r="C280" s="4" t="s">
        <v>899</v>
      </c>
      <c r="D280" s="4">
        <v>1</v>
      </c>
      <c r="E280" s="4" t="str">
        <f t="shared" si="56"/>
        <v>107018</v>
      </c>
      <c r="F280" s="4">
        <v>1250</v>
      </c>
      <c r="G280" s="4">
        <v>1</v>
      </c>
      <c r="H280" s="4">
        <v>1</v>
      </c>
      <c r="I280" s="4" t="str">
        <f t="shared" si="57"/>
        <v>1:107018:1250:1:1</v>
      </c>
    </row>
    <row r="281" spans="2:9">
      <c r="B281" s="4" t="s">
        <v>382</v>
      </c>
      <c r="C281" s="4" t="s">
        <v>901</v>
      </c>
      <c r="D281" s="4">
        <v>1</v>
      </c>
      <c r="E281" s="4" t="str">
        <f t="shared" si="56"/>
        <v>107016</v>
      </c>
      <c r="F281" s="4">
        <v>1250</v>
      </c>
      <c r="G281" s="4">
        <v>1</v>
      </c>
      <c r="H281" s="4">
        <v>1</v>
      </c>
      <c r="I281" s="4" t="str">
        <f t="shared" si="57"/>
        <v>1:107016:1250:1:1</v>
      </c>
    </row>
    <row r="282" spans="2:9">
      <c r="B282" s="4" t="s">
        <v>384</v>
      </c>
      <c r="C282" s="4" t="s">
        <v>902</v>
      </c>
      <c r="D282" s="4">
        <v>1</v>
      </c>
      <c r="E282" s="4" t="str">
        <f t="shared" si="56"/>
        <v>107017</v>
      </c>
      <c r="F282" s="4">
        <v>1250</v>
      </c>
      <c r="G282" s="4">
        <v>1</v>
      </c>
      <c r="H282" s="4">
        <v>1</v>
      </c>
      <c r="I282" s="4" t="str">
        <f t="shared" si="57"/>
        <v>1:107017:1250:1:1</v>
      </c>
    </row>
    <row r="284" spans="2:11">
      <c r="B284" s="4" t="s">
        <v>466</v>
      </c>
      <c r="C284" s="4" t="s">
        <v>949</v>
      </c>
      <c r="D284" s="4">
        <v>1</v>
      </c>
      <c r="E284" s="4" t="str">
        <f t="shared" ref="E284:E291" si="58">C284</f>
        <v>108011</v>
      </c>
      <c r="F284" s="4">
        <v>1250</v>
      </c>
      <c r="G284" s="4">
        <v>1</v>
      </c>
      <c r="H284" s="4">
        <v>1</v>
      </c>
      <c r="I284" s="4" t="str">
        <f t="shared" ref="I284:I291" si="59">D284&amp;":"&amp;E284&amp;":"&amp;F284&amp;":"&amp;G284&amp;":"&amp;H284</f>
        <v>1:108011:1250:1:1</v>
      </c>
      <c r="J284" s="4" t="s">
        <v>1032</v>
      </c>
      <c r="K284" s="4" t="str">
        <f>I284&amp;","&amp;I285&amp;","&amp;I286&amp;","&amp;I287&amp;","&amp;I288&amp;","&amp;I289&amp;","&amp;I290&amp;","&amp;I291</f>
        <v>1:108011:1250:1:1,1:108012:1250:1:1,1:108013:1250:1:1,1:108014:1250:1:1,1:108015:1250:1:1,1:108018:1250:1:1,1:108016:1250:1:1,1:108017:1250:1:1</v>
      </c>
    </row>
    <row r="285" spans="2:9">
      <c r="B285" s="4" t="s">
        <v>468</v>
      </c>
      <c r="C285" s="4" t="s">
        <v>951</v>
      </c>
      <c r="D285" s="4">
        <v>1</v>
      </c>
      <c r="E285" s="4" t="str">
        <f t="shared" si="58"/>
        <v>108012</v>
      </c>
      <c r="F285" s="4">
        <v>1250</v>
      </c>
      <c r="G285" s="4">
        <v>1</v>
      </c>
      <c r="H285" s="4">
        <v>1</v>
      </c>
      <c r="I285" s="4" t="str">
        <f t="shared" si="59"/>
        <v>1:108012:1250:1:1</v>
      </c>
    </row>
    <row r="286" spans="2:9">
      <c r="B286" s="4" t="s">
        <v>470</v>
      </c>
      <c r="C286" s="4" t="s">
        <v>952</v>
      </c>
      <c r="D286" s="4">
        <v>1</v>
      </c>
      <c r="E286" s="4" t="str">
        <f t="shared" si="58"/>
        <v>108013</v>
      </c>
      <c r="F286" s="4">
        <v>1250</v>
      </c>
      <c r="G286" s="4">
        <v>1</v>
      </c>
      <c r="H286" s="4">
        <v>1</v>
      </c>
      <c r="I286" s="4" t="str">
        <f t="shared" si="59"/>
        <v>1:108013:1250:1:1</v>
      </c>
    </row>
    <row r="287" spans="2:9">
      <c r="B287" s="4" t="s">
        <v>472</v>
      </c>
      <c r="C287" s="4" t="s">
        <v>953</v>
      </c>
      <c r="D287" s="4">
        <v>1</v>
      </c>
      <c r="E287" s="4" t="str">
        <f t="shared" si="58"/>
        <v>108014</v>
      </c>
      <c r="F287" s="4">
        <v>1250</v>
      </c>
      <c r="G287" s="4">
        <v>1</v>
      </c>
      <c r="H287" s="4">
        <v>1</v>
      </c>
      <c r="I287" s="4" t="str">
        <f t="shared" si="59"/>
        <v>1:108014:1250:1:1</v>
      </c>
    </row>
    <row r="288" spans="2:9">
      <c r="B288" s="4" t="s">
        <v>474</v>
      </c>
      <c r="C288" s="4" t="s">
        <v>954</v>
      </c>
      <c r="D288" s="4">
        <v>1</v>
      </c>
      <c r="E288" s="4" t="str">
        <f t="shared" si="58"/>
        <v>108015</v>
      </c>
      <c r="F288" s="4">
        <v>1250</v>
      </c>
      <c r="G288" s="4">
        <v>1</v>
      </c>
      <c r="H288" s="4">
        <v>1</v>
      </c>
      <c r="I288" s="4" t="str">
        <f t="shared" si="59"/>
        <v>1:108015:1250:1:1</v>
      </c>
    </row>
    <row r="289" spans="2:9">
      <c r="B289" s="4" t="s">
        <v>398</v>
      </c>
      <c r="C289" s="4" t="s">
        <v>909</v>
      </c>
      <c r="D289" s="4">
        <v>1</v>
      </c>
      <c r="E289" s="4" t="str">
        <f t="shared" si="58"/>
        <v>108018</v>
      </c>
      <c r="F289" s="4">
        <v>1250</v>
      </c>
      <c r="G289" s="4">
        <v>1</v>
      </c>
      <c r="H289" s="4">
        <v>1</v>
      </c>
      <c r="I289" s="4" t="str">
        <f t="shared" si="59"/>
        <v>1:108018:1250:1:1</v>
      </c>
    </row>
    <row r="290" spans="2:9">
      <c r="B290" s="4" t="s">
        <v>400</v>
      </c>
      <c r="C290" s="4" t="s">
        <v>911</v>
      </c>
      <c r="D290" s="4">
        <v>1</v>
      </c>
      <c r="E290" s="4" t="str">
        <f t="shared" si="58"/>
        <v>108016</v>
      </c>
      <c r="F290" s="4">
        <v>1250</v>
      </c>
      <c r="G290" s="4">
        <v>1</v>
      </c>
      <c r="H290" s="4">
        <v>1</v>
      </c>
      <c r="I290" s="4" t="str">
        <f t="shared" si="59"/>
        <v>1:108016:1250:1:1</v>
      </c>
    </row>
    <row r="291" spans="2:9">
      <c r="B291" s="4" t="s">
        <v>402</v>
      </c>
      <c r="C291" s="4" t="s">
        <v>912</v>
      </c>
      <c r="D291" s="4">
        <v>1</v>
      </c>
      <c r="E291" s="4" t="str">
        <f t="shared" si="58"/>
        <v>108017</v>
      </c>
      <c r="F291" s="4">
        <v>1250</v>
      </c>
      <c r="G291" s="4">
        <v>1</v>
      </c>
      <c r="H291" s="4">
        <v>1</v>
      </c>
      <c r="I291" s="4" t="str">
        <f t="shared" si="59"/>
        <v>1:108017:1250:1:1</v>
      </c>
    </row>
    <row r="293" spans="2:11">
      <c r="B293" s="4" t="s">
        <v>476</v>
      </c>
      <c r="C293" s="4" t="s">
        <v>955</v>
      </c>
      <c r="D293" s="4">
        <v>1</v>
      </c>
      <c r="E293" s="4" t="str">
        <f>C293</f>
        <v>103021</v>
      </c>
      <c r="F293" s="4">
        <v>1250</v>
      </c>
      <c r="G293" s="4">
        <v>1</v>
      </c>
      <c r="H293" s="4">
        <v>1</v>
      </c>
      <c r="I293" s="4" t="str">
        <f t="shared" ref="I293:I297" si="60">D293&amp;":"&amp;E293&amp;":"&amp;F293&amp;":"&amp;G293&amp;":"&amp;H293</f>
        <v>1:103021:1250:1:1</v>
      </c>
      <c r="J293" s="4" t="s">
        <v>1033</v>
      </c>
      <c r="K293" s="4" t="str">
        <f>I293&amp;","&amp;I294&amp;","&amp;I295&amp;","&amp;I296&amp;","&amp;I297&amp;","&amp;I298&amp;","&amp;I299&amp;","&amp;I300</f>
        <v>1:103021:1250:1:1,1:103022:1250:1:1,1:103023:1250:1:1,1:103024:1250:1:1,1:103025:1250:1:1,1:103028:1250:1:1,1:103026:1250:1:1,1:103027:1250:1:1</v>
      </c>
    </row>
    <row r="294" spans="2:9">
      <c r="B294" s="4" t="s">
        <v>478</v>
      </c>
      <c r="C294" s="4" t="s">
        <v>957</v>
      </c>
      <c r="D294" s="4">
        <v>1</v>
      </c>
      <c r="E294" s="4" t="str">
        <f>C294</f>
        <v>103022</v>
      </c>
      <c r="F294" s="4">
        <v>1250</v>
      </c>
      <c r="G294" s="4">
        <v>1</v>
      </c>
      <c r="H294" s="4">
        <v>1</v>
      </c>
      <c r="I294" s="4" t="str">
        <f t="shared" si="60"/>
        <v>1:103022:1250:1:1</v>
      </c>
    </row>
    <row r="295" spans="2:9">
      <c r="B295" s="4" t="s">
        <v>480</v>
      </c>
      <c r="C295" s="4" t="s">
        <v>958</v>
      </c>
      <c r="D295" s="4">
        <v>1</v>
      </c>
      <c r="E295" s="4" t="str">
        <f>C295</f>
        <v>103023</v>
      </c>
      <c r="F295" s="4">
        <v>1250</v>
      </c>
      <c r="G295" s="4">
        <v>1</v>
      </c>
      <c r="H295" s="4">
        <v>1</v>
      </c>
      <c r="I295" s="4" t="str">
        <f t="shared" si="60"/>
        <v>1:103023:1250:1:1</v>
      </c>
    </row>
    <row r="296" spans="2:9">
      <c r="B296" s="4" t="s">
        <v>482</v>
      </c>
      <c r="C296" s="4" t="s">
        <v>959</v>
      </c>
      <c r="D296" s="4">
        <v>1</v>
      </c>
      <c r="E296" s="4" t="str">
        <f>C296</f>
        <v>103024</v>
      </c>
      <c r="F296" s="4">
        <v>1250</v>
      </c>
      <c r="G296" s="4">
        <v>1</v>
      </c>
      <c r="H296" s="4">
        <v>1</v>
      </c>
      <c r="I296" s="4" t="str">
        <f t="shared" si="60"/>
        <v>1:103024:1250:1:1</v>
      </c>
    </row>
    <row r="297" spans="2:9">
      <c r="B297" s="4" t="s">
        <v>484</v>
      </c>
      <c r="C297" s="4" t="s">
        <v>960</v>
      </c>
      <c r="D297" s="4">
        <v>1</v>
      </c>
      <c r="E297" s="4" t="str">
        <f>C297</f>
        <v>103025</v>
      </c>
      <c r="F297" s="4">
        <v>1250</v>
      </c>
      <c r="G297" s="4">
        <v>1</v>
      </c>
      <c r="H297" s="4">
        <v>1</v>
      </c>
      <c r="I297" s="4" t="str">
        <f t="shared" si="60"/>
        <v>1:103025:1250:1:1</v>
      </c>
    </row>
    <row r="298" spans="2:9">
      <c r="B298" s="4" t="s">
        <v>301</v>
      </c>
      <c r="C298" s="4" t="s">
        <v>863</v>
      </c>
      <c r="D298" s="4">
        <v>1</v>
      </c>
      <c r="E298" s="4" t="str">
        <f t="shared" si="48"/>
        <v>103028</v>
      </c>
      <c r="F298" s="4">
        <v>1250</v>
      </c>
      <c r="G298" s="4">
        <v>1</v>
      </c>
      <c r="H298" s="4">
        <v>1</v>
      </c>
      <c r="I298" s="4" t="str">
        <f t="shared" si="49"/>
        <v>1:103028:1250:1:1</v>
      </c>
    </row>
    <row r="299" spans="2:9">
      <c r="B299" s="4" t="s">
        <v>303</v>
      </c>
      <c r="C299" s="4" t="s">
        <v>864</v>
      </c>
      <c r="D299" s="4">
        <v>1</v>
      </c>
      <c r="E299" s="4" t="str">
        <f t="shared" si="48"/>
        <v>103026</v>
      </c>
      <c r="F299" s="4">
        <v>1250</v>
      </c>
      <c r="G299" s="4">
        <v>1</v>
      </c>
      <c r="H299" s="4">
        <v>1</v>
      </c>
      <c r="I299" s="4" t="str">
        <f t="shared" si="49"/>
        <v>1:103026:1250:1:1</v>
      </c>
    </row>
    <row r="300" spans="2:9">
      <c r="B300" s="4" t="s">
        <v>305</v>
      </c>
      <c r="C300" s="4" t="s">
        <v>865</v>
      </c>
      <c r="D300" s="4">
        <v>1</v>
      </c>
      <c r="E300" s="4" t="str">
        <f t="shared" si="48"/>
        <v>103027</v>
      </c>
      <c r="F300" s="4">
        <v>1250</v>
      </c>
      <c r="G300" s="4">
        <v>1</v>
      </c>
      <c r="H300" s="4">
        <v>1</v>
      </c>
      <c r="I300" s="4" t="str">
        <f t="shared" si="49"/>
        <v>1:103027:1250:1:1</v>
      </c>
    </row>
    <row r="302" spans="2:11">
      <c r="B302" s="4" t="s">
        <v>486</v>
      </c>
      <c r="C302" s="4" t="s">
        <v>961</v>
      </c>
      <c r="D302" s="4">
        <v>1</v>
      </c>
      <c r="E302" s="4" t="str">
        <f t="shared" ref="E302:E309" si="61">C302</f>
        <v>104021</v>
      </c>
      <c r="F302" s="4">
        <v>1250</v>
      </c>
      <c r="G302" s="4">
        <v>1</v>
      </c>
      <c r="H302" s="4">
        <v>1</v>
      </c>
      <c r="I302" s="4" t="str">
        <f t="shared" ref="I302:I309" si="62">D302&amp;":"&amp;E302&amp;":"&amp;F302&amp;":"&amp;G302&amp;":"&amp;H302</f>
        <v>1:104021:1250:1:1</v>
      </c>
      <c r="J302" s="4" t="s">
        <v>1034</v>
      </c>
      <c r="K302" s="4" t="str">
        <f>I302&amp;","&amp;I303&amp;","&amp;I304&amp;","&amp;I305&amp;","&amp;I306&amp;","&amp;I307&amp;","&amp;I308&amp;","&amp;I309</f>
        <v>1:104021:1250:1:1,1:104022:1250:1:1,1:104023:1250:1:1,1:104024:1250:1:1,1:104025:1250:1:1,1:104028:1250:1:1,1:104026:1250:1:1,1:104027:1250:1:1</v>
      </c>
    </row>
    <row r="303" spans="2:9">
      <c r="B303" s="4" t="s">
        <v>488</v>
      </c>
      <c r="C303" s="4" t="s">
        <v>963</v>
      </c>
      <c r="D303" s="4">
        <v>1</v>
      </c>
      <c r="E303" s="4" t="str">
        <f t="shared" si="61"/>
        <v>104022</v>
      </c>
      <c r="F303" s="4">
        <v>1250</v>
      </c>
      <c r="G303" s="4">
        <v>1</v>
      </c>
      <c r="H303" s="4">
        <v>1</v>
      </c>
      <c r="I303" s="4" t="str">
        <f t="shared" si="62"/>
        <v>1:104022:1250:1:1</v>
      </c>
    </row>
    <row r="304" spans="2:9">
      <c r="B304" s="4" t="s">
        <v>490</v>
      </c>
      <c r="C304" s="4" t="s">
        <v>964</v>
      </c>
      <c r="D304" s="4">
        <v>1</v>
      </c>
      <c r="E304" s="4" t="str">
        <f t="shared" si="61"/>
        <v>104023</v>
      </c>
      <c r="F304" s="4">
        <v>1250</v>
      </c>
      <c r="G304" s="4">
        <v>1</v>
      </c>
      <c r="H304" s="4">
        <v>1</v>
      </c>
      <c r="I304" s="4" t="str">
        <f t="shared" si="62"/>
        <v>1:104023:1250:1:1</v>
      </c>
    </row>
    <row r="305" spans="2:9">
      <c r="B305" s="4" t="s">
        <v>492</v>
      </c>
      <c r="C305" s="4" t="s">
        <v>965</v>
      </c>
      <c r="D305" s="4">
        <v>1</v>
      </c>
      <c r="E305" s="4" t="str">
        <f t="shared" si="61"/>
        <v>104024</v>
      </c>
      <c r="F305" s="4">
        <v>1250</v>
      </c>
      <c r="G305" s="4">
        <v>1</v>
      </c>
      <c r="H305" s="4">
        <v>1</v>
      </c>
      <c r="I305" s="4" t="str">
        <f t="shared" si="62"/>
        <v>1:104024:1250:1:1</v>
      </c>
    </row>
    <row r="306" spans="2:9">
      <c r="B306" s="4" t="s">
        <v>494</v>
      </c>
      <c r="C306" s="4" t="s">
        <v>966</v>
      </c>
      <c r="D306" s="4">
        <v>1</v>
      </c>
      <c r="E306" s="4" t="str">
        <f t="shared" si="61"/>
        <v>104025</v>
      </c>
      <c r="F306" s="4">
        <v>1250</v>
      </c>
      <c r="G306" s="4">
        <v>1</v>
      </c>
      <c r="H306" s="4">
        <v>1</v>
      </c>
      <c r="I306" s="4" t="str">
        <f t="shared" si="62"/>
        <v>1:104025:1250:1:1</v>
      </c>
    </row>
    <row r="307" spans="2:9">
      <c r="B307" s="4" t="s">
        <v>324</v>
      </c>
      <c r="C307" s="4" t="s">
        <v>873</v>
      </c>
      <c r="D307" s="4">
        <v>1</v>
      </c>
      <c r="E307" s="4" t="str">
        <f t="shared" si="61"/>
        <v>104028</v>
      </c>
      <c r="F307" s="4">
        <v>1250</v>
      </c>
      <c r="G307" s="4">
        <v>1</v>
      </c>
      <c r="H307" s="4">
        <v>1</v>
      </c>
      <c r="I307" s="4" t="str">
        <f t="shared" si="62"/>
        <v>1:104028:1250:1:1</v>
      </c>
    </row>
    <row r="308" spans="2:9">
      <c r="B308" s="4" t="s">
        <v>326</v>
      </c>
      <c r="C308" s="4" t="s">
        <v>874</v>
      </c>
      <c r="D308" s="4">
        <v>1</v>
      </c>
      <c r="E308" s="4" t="str">
        <f t="shared" si="61"/>
        <v>104026</v>
      </c>
      <c r="F308" s="4">
        <v>1250</v>
      </c>
      <c r="G308" s="4">
        <v>1</v>
      </c>
      <c r="H308" s="4">
        <v>1</v>
      </c>
      <c r="I308" s="4" t="str">
        <f t="shared" si="62"/>
        <v>1:104026:1250:1:1</v>
      </c>
    </row>
    <row r="309" spans="2:9">
      <c r="B309" s="4" t="s">
        <v>329</v>
      </c>
      <c r="C309" s="4" t="s">
        <v>875</v>
      </c>
      <c r="D309" s="4">
        <v>1</v>
      </c>
      <c r="E309" s="4" t="str">
        <f t="shared" si="61"/>
        <v>104027</v>
      </c>
      <c r="F309" s="4">
        <v>1250</v>
      </c>
      <c r="G309" s="4">
        <v>1</v>
      </c>
      <c r="H309" s="4">
        <v>1</v>
      </c>
      <c r="I309" s="4" t="str">
        <f t="shared" si="62"/>
        <v>1:104027:1250:1:1</v>
      </c>
    </row>
    <row r="311" spans="2:11">
      <c r="B311" s="4" t="s">
        <v>496</v>
      </c>
      <c r="C311" s="4" t="s">
        <v>967</v>
      </c>
      <c r="D311" s="4">
        <v>1</v>
      </c>
      <c r="E311" s="4" t="str">
        <f t="shared" ref="E311:E318" si="63">C311</f>
        <v>105021</v>
      </c>
      <c r="F311" s="4">
        <v>1250</v>
      </c>
      <c r="G311" s="4">
        <v>1</v>
      </c>
      <c r="H311" s="4">
        <v>1</v>
      </c>
      <c r="I311" s="4" t="str">
        <f t="shared" ref="I311:I318" si="64">D311&amp;":"&amp;E311&amp;":"&amp;F311&amp;":"&amp;G311&amp;":"&amp;H311</f>
        <v>1:105021:1250:1:1</v>
      </c>
      <c r="J311" s="4" t="s">
        <v>1035</v>
      </c>
      <c r="K311" s="4" t="str">
        <f>I311&amp;","&amp;I312&amp;","&amp;I313&amp;","&amp;I314&amp;","&amp;I315&amp;","&amp;I316&amp;","&amp;I317&amp;","&amp;I318</f>
        <v>1:105021:1250:1:1,1:105022:1250:1:1,1:105023:1250:1:1,1:105024:1250:1:1,1:105025:1250:1:1,1:105028:1250:1:1,1:105026:1250:1:1,1:105027:1250:1:1</v>
      </c>
    </row>
    <row r="312" spans="2:9">
      <c r="B312" s="4" t="s">
        <v>498</v>
      </c>
      <c r="C312" s="4" t="s">
        <v>969</v>
      </c>
      <c r="D312" s="4">
        <v>1</v>
      </c>
      <c r="E312" s="4" t="str">
        <f t="shared" si="63"/>
        <v>105022</v>
      </c>
      <c r="F312" s="4">
        <v>1250</v>
      </c>
      <c r="G312" s="4">
        <v>1</v>
      </c>
      <c r="H312" s="4">
        <v>1</v>
      </c>
      <c r="I312" s="4" t="str">
        <f t="shared" si="64"/>
        <v>1:105022:1250:1:1</v>
      </c>
    </row>
    <row r="313" spans="2:9">
      <c r="B313" s="4" t="s">
        <v>500</v>
      </c>
      <c r="C313" s="4" t="s">
        <v>970</v>
      </c>
      <c r="D313" s="4">
        <v>1</v>
      </c>
      <c r="E313" s="4" t="str">
        <f t="shared" si="63"/>
        <v>105023</v>
      </c>
      <c r="F313" s="4">
        <v>1250</v>
      </c>
      <c r="G313" s="4">
        <v>1</v>
      </c>
      <c r="H313" s="4">
        <v>1</v>
      </c>
      <c r="I313" s="4" t="str">
        <f t="shared" si="64"/>
        <v>1:105023:1250:1:1</v>
      </c>
    </row>
    <row r="314" spans="2:9">
      <c r="B314" s="4" t="s">
        <v>502</v>
      </c>
      <c r="C314" s="4" t="s">
        <v>971</v>
      </c>
      <c r="D314" s="4">
        <v>1</v>
      </c>
      <c r="E314" s="4" t="str">
        <f t="shared" si="63"/>
        <v>105024</v>
      </c>
      <c r="F314" s="4">
        <v>1250</v>
      </c>
      <c r="G314" s="4">
        <v>1</v>
      </c>
      <c r="H314" s="4">
        <v>1</v>
      </c>
      <c r="I314" s="4" t="str">
        <f t="shared" si="64"/>
        <v>1:105024:1250:1:1</v>
      </c>
    </row>
    <row r="315" spans="2:9">
      <c r="B315" s="4" t="s">
        <v>504</v>
      </c>
      <c r="C315" s="4" t="s">
        <v>972</v>
      </c>
      <c r="D315" s="4">
        <v>1</v>
      </c>
      <c r="E315" s="4" t="str">
        <f t="shared" si="63"/>
        <v>105025</v>
      </c>
      <c r="F315" s="4">
        <v>1250</v>
      </c>
      <c r="G315" s="4">
        <v>1</v>
      </c>
      <c r="H315" s="4">
        <v>1</v>
      </c>
      <c r="I315" s="4" t="str">
        <f t="shared" si="64"/>
        <v>1:105025:1250:1:1</v>
      </c>
    </row>
    <row r="316" spans="2:9">
      <c r="B316" s="4" t="s">
        <v>343</v>
      </c>
      <c r="C316" s="4" t="s">
        <v>883</v>
      </c>
      <c r="D316" s="4">
        <v>1</v>
      </c>
      <c r="E316" s="4" t="str">
        <f t="shared" si="63"/>
        <v>105028</v>
      </c>
      <c r="F316" s="4">
        <v>1250</v>
      </c>
      <c r="G316" s="4">
        <v>1</v>
      </c>
      <c r="H316" s="4">
        <v>1</v>
      </c>
      <c r="I316" s="4" t="str">
        <f t="shared" si="64"/>
        <v>1:105028:1250:1:1</v>
      </c>
    </row>
    <row r="317" spans="2:9">
      <c r="B317" s="4" t="s">
        <v>345</v>
      </c>
      <c r="C317" s="4" t="s">
        <v>884</v>
      </c>
      <c r="D317" s="4">
        <v>1</v>
      </c>
      <c r="E317" s="4" t="str">
        <f t="shared" si="63"/>
        <v>105026</v>
      </c>
      <c r="F317" s="4">
        <v>1250</v>
      </c>
      <c r="G317" s="4">
        <v>1</v>
      </c>
      <c r="H317" s="4">
        <v>1</v>
      </c>
      <c r="I317" s="4" t="str">
        <f t="shared" si="64"/>
        <v>1:105026:1250:1:1</v>
      </c>
    </row>
    <row r="318" spans="2:9">
      <c r="B318" s="4" t="s">
        <v>347</v>
      </c>
      <c r="C318" s="4" t="s">
        <v>885</v>
      </c>
      <c r="D318" s="4">
        <v>1</v>
      </c>
      <c r="E318" s="4" t="str">
        <f t="shared" si="63"/>
        <v>105027</v>
      </c>
      <c r="F318" s="4">
        <v>1250</v>
      </c>
      <c r="G318" s="4">
        <v>1</v>
      </c>
      <c r="H318" s="4">
        <v>1</v>
      </c>
      <c r="I318" s="4" t="str">
        <f t="shared" si="64"/>
        <v>1:105027:1250:1:1</v>
      </c>
    </row>
    <row r="320" spans="2:11">
      <c r="B320" s="4" t="s">
        <v>506</v>
      </c>
      <c r="C320" s="4" t="s">
        <v>973</v>
      </c>
      <c r="D320" s="4">
        <v>1</v>
      </c>
      <c r="E320" s="4" t="str">
        <f t="shared" ref="E320:E327" si="65">C320</f>
        <v>106021</v>
      </c>
      <c r="F320" s="4">
        <v>1250</v>
      </c>
      <c r="G320" s="4">
        <v>1</v>
      </c>
      <c r="H320" s="4">
        <v>1</v>
      </c>
      <c r="I320" s="4" t="str">
        <f t="shared" ref="I320:I327" si="66">D320&amp;":"&amp;E320&amp;":"&amp;F320&amp;":"&amp;G320&amp;":"&amp;H320</f>
        <v>1:106021:1250:1:1</v>
      </c>
      <c r="J320" s="4" t="s">
        <v>1036</v>
      </c>
      <c r="K320" s="4" t="str">
        <f>I320&amp;","&amp;I321&amp;","&amp;I322&amp;","&amp;I323&amp;","&amp;I324&amp;","&amp;I325&amp;","&amp;I326&amp;","&amp;I327</f>
        <v>1:106021:1250:1:1,1:106022:1250:1:1,1:106023:1250:1:1,1:106024:1250:1:1,1:106025:1250:1:1,1:106028:1250:1:1,1:106026:1250:1:1,1:106027:1250:1:1</v>
      </c>
    </row>
    <row r="321" spans="2:9">
      <c r="B321" s="4" t="s">
        <v>508</v>
      </c>
      <c r="C321" s="4" t="s">
        <v>975</v>
      </c>
      <c r="D321" s="4">
        <v>1</v>
      </c>
      <c r="E321" s="4" t="str">
        <f t="shared" si="65"/>
        <v>106022</v>
      </c>
      <c r="F321" s="4">
        <v>1250</v>
      </c>
      <c r="G321" s="4">
        <v>1</v>
      </c>
      <c r="H321" s="4">
        <v>1</v>
      </c>
      <c r="I321" s="4" t="str">
        <f t="shared" si="66"/>
        <v>1:106022:1250:1:1</v>
      </c>
    </row>
    <row r="322" spans="2:9">
      <c r="B322" s="4" t="s">
        <v>510</v>
      </c>
      <c r="C322" s="4" t="s">
        <v>976</v>
      </c>
      <c r="D322" s="4">
        <v>1</v>
      </c>
      <c r="E322" s="4" t="str">
        <f t="shared" si="65"/>
        <v>106023</v>
      </c>
      <c r="F322" s="4">
        <v>1250</v>
      </c>
      <c r="G322" s="4">
        <v>1</v>
      </c>
      <c r="H322" s="4">
        <v>1</v>
      </c>
      <c r="I322" s="4" t="str">
        <f t="shared" si="66"/>
        <v>1:106023:1250:1:1</v>
      </c>
    </row>
    <row r="323" spans="2:9">
      <c r="B323" s="4" t="s">
        <v>512</v>
      </c>
      <c r="C323" s="4" t="s">
        <v>977</v>
      </c>
      <c r="D323" s="4">
        <v>1</v>
      </c>
      <c r="E323" s="4" t="str">
        <f t="shared" si="65"/>
        <v>106024</v>
      </c>
      <c r="F323" s="4">
        <v>1250</v>
      </c>
      <c r="G323" s="4">
        <v>1</v>
      </c>
      <c r="H323" s="4">
        <v>1</v>
      </c>
      <c r="I323" s="4" t="str">
        <f t="shared" si="66"/>
        <v>1:106024:1250:1:1</v>
      </c>
    </row>
    <row r="324" spans="2:9">
      <c r="B324" s="4" t="s">
        <v>514</v>
      </c>
      <c r="C324" s="4" t="s">
        <v>978</v>
      </c>
      <c r="D324" s="4">
        <v>1</v>
      </c>
      <c r="E324" s="4" t="str">
        <f t="shared" si="65"/>
        <v>106025</v>
      </c>
      <c r="F324" s="4">
        <v>1250</v>
      </c>
      <c r="G324" s="4">
        <v>1</v>
      </c>
      <c r="H324" s="4">
        <v>1</v>
      </c>
      <c r="I324" s="4" t="str">
        <f t="shared" si="66"/>
        <v>1:106025:1250:1:1</v>
      </c>
    </row>
    <row r="325" spans="2:9">
      <c r="B325" s="4" t="s">
        <v>368</v>
      </c>
      <c r="C325" s="4" t="s">
        <v>893</v>
      </c>
      <c r="D325" s="4">
        <v>1</v>
      </c>
      <c r="E325" s="4" t="str">
        <f t="shared" si="65"/>
        <v>106028</v>
      </c>
      <c r="F325" s="4">
        <v>1250</v>
      </c>
      <c r="G325" s="4">
        <v>1</v>
      </c>
      <c r="H325" s="4">
        <v>1</v>
      </c>
      <c r="I325" s="4" t="str">
        <f t="shared" si="66"/>
        <v>1:106028:1250:1:1</v>
      </c>
    </row>
    <row r="326" spans="2:9">
      <c r="B326" s="4" t="s">
        <v>370</v>
      </c>
      <c r="C326" s="4" t="s">
        <v>894</v>
      </c>
      <c r="D326" s="4">
        <v>1</v>
      </c>
      <c r="E326" s="4" t="str">
        <f t="shared" si="65"/>
        <v>106026</v>
      </c>
      <c r="F326" s="4">
        <v>1250</v>
      </c>
      <c r="G326" s="4">
        <v>1</v>
      </c>
      <c r="H326" s="4">
        <v>1</v>
      </c>
      <c r="I326" s="4" t="str">
        <f t="shared" si="66"/>
        <v>1:106026:1250:1:1</v>
      </c>
    </row>
    <row r="327" spans="2:9">
      <c r="B327" s="4" t="s">
        <v>372</v>
      </c>
      <c r="C327" s="4" t="s">
        <v>895</v>
      </c>
      <c r="D327" s="4">
        <v>1</v>
      </c>
      <c r="E327" s="4" t="str">
        <f t="shared" si="65"/>
        <v>106027</v>
      </c>
      <c r="F327" s="4">
        <v>1250</v>
      </c>
      <c r="G327" s="4">
        <v>1</v>
      </c>
      <c r="H327" s="4">
        <v>1</v>
      </c>
      <c r="I327" s="4" t="str">
        <f t="shared" si="66"/>
        <v>1:106027:1250:1:1</v>
      </c>
    </row>
    <row r="329" spans="2:11">
      <c r="B329" s="4" t="s">
        <v>516</v>
      </c>
      <c r="C329" s="4" t="s">
        <v>979</v>
      </c>
      <c r="D329" s="4">
        <v>1</v>
      </c>
      <c r="E329" s="4" t="str">
        <f t="shared" ref="E329:E336" si="67">C329</f>
        <v>107021</v>
      </c>
      <c r="F329" s="4">
        <v>1250</v>
      </c>
      <c r="G329" s="4">
        <v>1</v>
      </c>
      <c r="H329" s="4">
        <v>1</v>
      </c>
      <c r="I329" s="4" t="str">
        <f t="shared" ref="I329:I336" si="68">D329&amp;":"&amp;E329&amp;":"&amp;F329&amp;":"&amp;G329&amp;":"&amp;H329</f>
        <v>1:107021:1250:1:1</v>
      </c>
      <c r="J329" s="4" t="s">
        <v>1037</v>
      </c>
      <c r="K329" s="4" t="str">
        <f>I329&amp;","&amp;I330&amp;","&amp;I331&amp;","&amp;I332&amp;","&amp;I333&amp;","&amp;I334&amp;","&amp;I335&amp;","&amp;I336</f>
        <v>1:107021:1250:1:1,1:107022:1250:1:1,1:107023:1250:1:1,1:107024:1250:1:1,1:107025:1250:1:1,1:107028:1250:1:1,1:107026:1250:1:1,1:107027:1250:1:1</v>
      </c>
    </row>
    <row r="330" spans="2:9">
      <c r="B330" s="4" t="s">
        <v>518</v>
      </c>
      <c r="C330" s="4" t="s">
        <v>981</v>
      </c>
      <c r="D330" s="4">
        <v>1</v>
      </c>
      <c r="E330" s="4" t="str">
        <f t="shared" si="67"/>
        <v>107022</v>
      </c>
      <c r="F330" s="4">
        <v>1250</v>
      </c>
      <c r="G330" s="4">
        <v>1</v>
      </c>
      <c r="H330" s="4">
        <v>1</v>
      </c>
      <c r="I330" s="4" t="str">
        <f t="shared" si="68"/>
        <v>1:107022:1250:1:1</v>
      </c>
    </row>
    <row r="331" spans="2:9">
      <c r="B331" s="4" t="s">
        <v>520</v>
      </c>
      <c r="C331" s="4" t="s">
        <v>982</v>
      </c>
      <c r="D331" s="4">
        <v>1</v>
      </c>
      <c r="E331" s="4" t="str">
        <f t="shared" si="67"/>
        <v>107023</v>
      </c>
      <c r="F331" s="4">
        <v>1250</v>
      </c>
      <c r="G331" s="4">
        <v>1</v>
      </c>
      <c r="H331" s="4">
        <v>1</v>
      </c>
      <c r="I331" s="4" t="str">
        <f t="shared" si="68"/>
        <v>1:107023:1250:1:1</v>
      </c>
    </row>
    <row r="332" spans="2:9">
      <c r="B332" s="4" t="s">
        <v>522</v>
      </c>
      <c r="C332" s="4" t="s">
        <v>983</v>
      </c>
      <c r="D332" s="4">
        <v>1</v>
      </c>
      <c r="E332" s="4" t="str">
        <f t="shared" si="67"/>
        <v>107024</v>
      </c>
      <c r="F332" s="4">
        <v>1250</v>
      </c>
      <c r="G332" s="4">
        <v>1</v>
      </c>
      <c r="H332" s="4">
        <v>1</v>
      </c>
      <c r="I332" s="4" t="str">
        <f t="shared" si="68"/>
        <v>1:107024:1250:1:1</v>
      </c>
    </row>
    <row r="333" spans="2:9">
      <c r="B333" s="4" t="s">
        <v>524</v>
      </c>
      <c r="C333" s="4" t="s">
        <v>984</v>
      </c>
      <c r="D333" s="4">
        <v>1</v>
      </c>
      <c r="E333" s="4" t="str">
        <f t="shared" si="67"/>
        <v>107025</v>
      </c>
      <c r="F333" s="4">
        <v>1250</v>
      </c>
      <c r="G333" s="4">
        <v>1</v>
      </c>
      <c r="H333" s="4">
        <v>1</v>
      </c>
      <c r="I333" s="4" t="str">
        <f t="shared" si="68"/>
        <v>1:107025:1250:1:1</v>
      </c>
    </row>
    <row r="334" spans="2:9">
      <c r="B334" s="4" t="s">
        <v>386</v>
      </c>
      <c r="C334" s="4" t="s">
        <v>903</v>
      </c>
      <c r="D334" s="4">
        <v>1</v>
      </c>
      <c r="E334" s="4" t="str">
        <f t="shared" si="67"/>
        <v>107028</v>
      </c>
      <c r="F334" s="4">
        <v>1250</v>
      </c>
      <c r="G334" s="4">
        <v>1</v>
      </c>
      <c r="H334" s="4">
        <v>1</v>
      </c>
      <c r="I334" s="4" t="str">
        <f t="shared" si="68"/>
        <v>1:107028:1250:1:1</v>
      </c>
    </row>
    <row r="335" spans="2:9">
      <c r="B335" s="4" t="s">
        <v>388</v>
      </c>
      <c r="C335" s="4" t="s">
        <v>904</v>
      </c>
      <c r="D335" s="4">
        <v>1</v>
      </c>
      <c r="E335" s="4" t="str">
        <f t="shared" si="67"/>
        <v>107026</v>
      </c>
      <c r="F335" s="4">
        <v>1250</v>
      </c>
      <c r="G335" s="4">
        <v>1</v>
      </c>
      <c r="H335" s="4">
        <v>1</v>
      </c>
      <c r="I335" s="4" t="str">
        <f t="shared" si="68"/>
        <v>1:107026:1250:1:1</v>
      </c>
    </row>
    <row r="336" spans="2:9">
      <c r="B336" s="4" t="s">
        <v>390</v>
      </c>
      <c r="C336" s="4" t="s">
        <v>905</v>
      </c>
      <c r="D336" s="4">
        <v>1</v>
      </c>
      <c r="E336" s="4" t="str">
        <f t="shared" si="67"/>
        <v>107027</v>
      </c>
      <c r="F336" s="4">
        <v>1250</v>
      </c>
      <c r="G336" s="4">
        <v>1</v>
      </c>
      <c r="H336" s="4">
        <v>1</v>
      </c>
      <c r="I336" s="4" t="str">
        <f t="shared" si="68"/>
        <v>1:107027:1250:1:1</v>
      </c>
    </row>
    <row r="338" spans="2:11">
      <c r="B338" s="4" t="s">
        <v>526</v>
      </c>
      <c r="C338" s="4" t="s">
        <v>985</v>
      </c>
      <c r="D338" s="4">
        <v>1</v>
      </c>
      <c r="E338" s="4" t="str">
        <f t="shared" ref="E338:E345" si="69">C338</f>
        <v>108021</v>
      </c>
      <c r="F338" s="4">
        <v>1250</v>
      </c>
      <c r="G338" s="4">
        <v>1</v>
      </c>
      <c r="H338" s="4">
        <v>1</v>
      </c>
      <c r="I338" s="4" t="str">
        <f t="shared" ref="I338:I345" si="70">D338&amp;":"&amp;E338&amp;":"&amp;F338&amp;":"&amp;G338&amp;":"&amp;H338</f>
        <v>1:108021:1250:1:1</v>
      </c>
      <c r="J338" s="4" t="s">
        <v>1038</v>
      </c>
      <c r="K338" s="4" t="str">
        <f>I338&amp;","&amp;I339&amp;","&amp;I340&amp;","&amp;I341&amp;","&amp;I342&amp;","&amp;I343&amp;","&amp;I344&amp;","&amp;I345</f>
        <v>1:108021:1250:1:1,1:108022:1250:1:1,1:108023:1250:1:1,1:108024:1250:1:1,1:108025:1250:1:1,1:108028:1250:1:1,1:108026:1250:1:1,1:108027:1250:1:1</v>
      </c>
    </row>
    <row r="339" spans="2:9">
      <c r="B339" s="4" t="s">
        <v>528</v>
      </c>
      <c r="C339" s="4" t="s">
        <v>987</v>
      </c>
      <c r="D339" s="4">
        <v>1</v>
      </c>
      <c r="E339" s="4" t="str">
        <f t="shared" si="69"/>
        <v>108022</v>
      </c>
      <c r="F339" s="4">
        <v>1250</v>
      </c>
      <c r="G339" s="4">
        <v>1</v>
      </c>
      <c r="H339" s="4">
        <v>1</v>
      </c>
      <c r="I339" s="4" t="str">
        <f t="shared" si="70"/>
        <v>1:108022:1250:1:1</v>
      </c>
    </row>
    <row r="340" spans="2:9">
      <c r="B340" s="4" t="s">
        <v>530</v>
      </c>
      <c r="C340" s="4" t="s">
        <v>988</v>
      </c>
      <c r="D340" s="4">
        <v>1</v>
      </c>
      <c r="E340" s="4" t="str">
        <f t="shared" si="69"/>
        <v>108023</v>
      </c>
      <c r="F340" s="4">
        <v>1250</v>
      </c>
      <c r="G340" s="4">
        <v>1</v>
      </c>
      <c r="H340" s="4">
        <v>1</v>
      </c>
      <c r="I340" s="4" t="str">
        <f t="shared" si="70"/>
        <v>1:108023:1250:1:1</v>
      </c>
    </row>
    <row r="341" spans="2:9">
      <c r="B341" s="4" t="s">
        <v>532</v>
      </c>
      <c r="C341" s="4" t="s">
        <v>989</v>
      </c>
      <c r="D341" s="4">
        <v>1</v>
      </c>
      <c r="E341" s="4" t="str">
        <f t="shared" si="69"/>
        <v>108024</v>
      </c>
      <c r="F341" s="4">
        <v>1250</v>
      </c>
      <c r="G341" s="4">
        <v>1</v>
      </c>
      <c r="H341" s="4">
        <v>1</v>
      </c>
      <c r="I341" s="4" t="str">
        <f t="shared" si="70"/>
        <v>1:108024:1250:1:1</v>
      </c>
    </row>
    <row r="342" spans="2:9">
      <c r="B342" s="4" t="s">
        <v>534</v>
      </c>
      <c r="C342" s="4" t="s">
        <v>990</v>
      </c>
      <c r="D342" s="4">
        <v>1</v>
      </c>
      <c r="E342" s="4" t="str">
        <f t="shared" si="69"/>
        <v>108025</v>
      </c>
      <c r="F342" s="4">
        <v>1250</v>
      </c>
      <c r="G342" s="4">
        <v>1</v>
      </c>
      <c r="H342" s="4">
        <v>1</v>
      </c>
      <c r="I342" s="4" t="str">
        <f t="shared" si="70"/>
        <v>1:108025:1250:1:1</v>
      </c>
    </row>
    <row r="343" spans="2:9">
      <c r="B343" s="4" t="s">
        <v>404</v>
      </c>
      <c r="C343" s="4" t="s">
        <v>913</v>
      </c>
      <c r="D343" s="4">
        <v>1</v>
      </c>
      <c r="E343" s="4" t="str">
        <f t="shared" si="69"/>
        <v>108028</v>
      </c>
      <c r="F343" s="4">
        <v>1250</v>
      </c>
      <c r="G343" s="4">
        <v>1</v>
      </c>
      <c r="H343" s="4">
        <v>1</v>
      </c>
      <c r="I343" s="4" t="str">
        <f t="shared" si="70"/>
        <v>1:108028:1250:1:1</v>
      </c>
    </row>
    <row r="344" spans="2:9">
      <c r="B344" s="4" t="s">
        <v>406</v>
      </c>
      <c r="C344" s="4" t="s">
        <v>914</v>
      </c>
      <c r="D344" s="4">
        <v>1</v>
      </c>
      <c r="E344" s="4" t="str">
        <f t="shared" si="69"/>
        <v>108026</v>
      </c>
      <c r="F344" s="4">
        <v>1250</v>
      </c>
      <c r="G344" s="4">
        <v>1</v>
      </c>
      <c r="H344" s="4">
        <v>1</v>
      </c>
      <c r="I344" s="4" t="str">
        <f t="shared" si="70"/>
        <v>1:108026:1250:1:1</v>
      </c>
    </row>
    <row r="345" spans="2:9">
      <c r="B345" s="4" t="s">
        <v>408</v>
      </c>
      <c r="C345" s="4" t="s">
        <v>915</v>
      </c>
      <c r="D345" s="4">
        <v>1</v>
      </c>
      <c r="E345" s="4" t="str">
        <f t="shared" si="69"/>
        <v>108027</v>
      </c>
      <c r="F345" s="4">
        <v>1250</v>
      </c>
      <c r="G345" s="4">
        <v>1</v>
      </c>
      <c r="H345" s="4">
        <v>1</v>
      </c>
      <c r="I345" s="4" t="str">
        <f t="shared" si="70"/>
        <v>1:108027:1250:1:1</v>
      </c>
    </row>
    <row r="347" spans="2:11">
      <c r="B347" s="4" t="s">
        <v>536</v>
      </c>
      <c r="C347" s="4" t="s">
        <v>991</v>
      </c>
      <c r="D347" s="4">
        <v>1</v>
      </c>
      <c r="E347" s="4" t="str">
        <f>C347</f>
        <v>103031</v>
      </c>
      <c r="F347" s="4">
        <v>1250</v>
      </c>
      <c r="G347" s="4">
        <v>1</v>
      </c>
      <c r="H347" s="4">
        <v>1</v>
      </c>
      <c r="I347" s="4" t="str">
        <f t="shared" ref="I347:I351" si="71">D347&amp;":"&amp;E347&amp;":"&amp;F347&amp;":"&amp;G347&amp;":"&amp;H347</f>
        <v>1:103031:1250:1:1</v>
      </c>
      <c r="J347" s="4" t="s">
        <v>1039</v>
      </c>
      <c r="K347" s="4" t="str">
        <f>I347&amp;","&amp;I348&amp;","&amp;I349&amp;","&amp;I350&amp;","&amp;I351&amp;","&amp;I352&amp;","&amp;I353&amp;","&amp;I354</f>
        <v>1:103031:1250:1:1,1:103032:1250:1:1,1:103033:1250:1:1,1:103034:1250:1:1,1:103035:1250:1:1,1:103038:1250:1:1,1:103036:1250:1:1,1:103037:1250:1:1</v>
      </c>
    </row>
    <row r="348" spans="2:9">
      <c r="B348" s="4" t="s">
        <v>538</v>
      </c>
      <c r="C348" s="4" t="s">
        <v>993</v>
      </c>
      <c r="D348" s="4">
        <v>1</v>
      </c>
      <c r="E348" s="4" t="str">
        <f>C348</f>
        <v>103032</v>
      </c>
      <c r="F348" s="4">
        <v>1250</v>
      </c>
      <c r="G348" s="4">
        <v>1</v>
      </c>
      <c r="H348" s="4">
        <v>1</v>
      </c>
      <c r="I348" s="4" t="str">
        <f t="shared" si="71"/>
        <v>1:103032:1250:1:1</v>
      </c>
    </row>
    <row r="349" spans="2:9">
      <c r="B349" s="4" t="s">
        <v>540</v>
      </c>
      <c r="C349" s="4" t="s">
        <v>994</v>
      </c>
      <c r="D349" s="4">
        <v>1</v>
      </c>
      <c r="E349" s="4" t="str">
        <f>C349</f>
        <v>103033</v>
      </c>
      <c r="F349" s="4">
        <v>1250</v>
      </c>
      <c r="G349" s="4">
        <v>1</v>
      </c>
      <c r="H349" s="4">
        <v>1</v>
      </c>
      <c r="I349" s="4" t="str">
        <f t="shared" si="71"/>
        <v>1:103033:1250:1:1</v>
      </c>
    </row>
    <row r="350" spans="2:9">
      <c r="B350" s="4" t="s">
        <v>542</v>
      </c>
      <c r="C350" s="4" t="s">
        <v>995</v>
      </c>
      <c r="D350" s="4">
        <v>1</v>
      </c>
      <c r="E350" s="4" t="str">
        <f>C350</f>
        <v>103034</v>
      </c>
      <c r="F350" s="4">
        <v>1250</v>
      </c>
      <c r="G350" s="4">
        <v>1</v>
      </c>
      <c r="H350" s="4">
        <v>1</v>
      </c>
      <c r="I350" s="4" t="str">
        <f t="shared" si="71"/>
        <v>1:103034:1250:1:1</v>
      </c>
    </row>
    <row r="351" spans="2:9">
      <c r="B351" s="4" t="s">
        <v>544</v>
      </c>
      <c r="C351" s="4" t="s">
        <v>996</v>
      </c>
      <c r="D351" s="4">
        <v>1</v>
      </c>
      <c r="E351" s="4" t="str">
        <f>C351</f>
        <v>103035</v>
      </c>
      <c r="F351" s="4">
        <v>1250</v>
      </c>
      <c r="G351" s="4">
        <v>1</v>
      </c>
      <c r="H351" s="4">
        <v>1</v>
      </c>
      <c r="I351" s="4" t="str">
        <f t="shared" si="71"/>
        <v>1:103035:1250:1:1</v>
      </c>
    </row>
    <row r="352" spans="2:9">
      <c r="B352" s="4" t="s">
        <v>307</v>
      </c>
      <c r="C352" s="4" t="s">
        <v>866</v>
      </c>
      <c r="D352" s="4">
        <v>1</v>
      </c>
      <c r="E352" s="4" t="str">
        <f t="shared" si="48"/>
        <v>103038</v>
      </c>
      <c r="F352" s="4">
        <v>1250</v>
      </c>
      <c r="G352" s="4">
        <v>1</v>
      </c>
      <c r="H352" s="4">
        <v>1</v>
      </c>
      <c r="I352" s="4" t="str">
        <f t="shared" si="49"/>
        <v>1:103038:1250:1:1</v>
      </c>
    </row>
    <row r="353" spans="2:9">
      <c r="B353" s="4" t="s">
        <v>310</v>
      </c>
      <c r="C353" s="4" t="s">
        <v>867</v>
      </c>
      <c r="D353" s="4">
        <v>1</v>
      </c>
      <c r="E353" s="4" t="str">
        <f t="shared" si="48"/>
        <v>103036</v>
      </c>
      <c r="F353" s="4">
        <v>1250</v>
      </c>
      <c r="G353" s="4">
        <v>1</v>
      </c>
      <c r="H353" s="4">
        <v>1</v>
      </c>
      <c r="I353" s="4" t="str">
        <f t="shared" si="49"/>
        <v>1:103036:1250:1:1</v>
      </c>
    </row>
    <row r="354" spans="2:9">
      <c r="B354" s="4" t="s">
        <v>313</v>
      </c>
      <c r="C354" s="4" t="s">
        <v>868</v>
      </c>
      <c r="D354" s="4">
        <v>1</v>
      </c>
      <c r="E354" s="4" t="str">
        <f t="shared" si="48"/>
        <v>103037</v>
      </c>
      <c r="F354" s="4">
        <v>1250</v>
      </c>
      <c r="G354" s="4">
        <v>1</v>
      </c>
      <c r="H354" s="4">
        <v>1</v>
      </c>
      <c r="I354" s="4" t="str">
        <f t="shared" si="49"/>
        <v>1:103037:1250:1:1</v>
      </c>
    </row>
    <row r="356" spans="2:11">
      <c r="B356" s="4" t="s">
        <v>546</v>
      </c>
      <c r="C356" s="4" t="s">
        <v>997</v>
      </c>
      <c r="D356" s="4">
        <v>1</v>
      </c>
      <c r="E356" s="4" t="str">
        <f>C356</f>
        <v>104031</v>
      </c>
      <c r="F356" s="4">
        <v>1250</v>
      </c>
      <c r="G356" s="4">
        <v>1</v>
      </c>
      <c r="H356" s="4">
        <v>1</v>
      </c>
      <c r="I356" s="4" t="str">
        <f t="shared" ref="I356:I360" si="72">D356&amp;":"&amp;E356&amp;":"&amp;F356&amp;":"&amp;G356&amp;":"&amp;H356</f>
        <v>1:104031:1250:1:1</v>
      </c>
      <c r="J356" s="4" t="s">
        <v>1040</v>
      </c>
      <c r="K356" s="4" t="str">
        <f>I356&amp;","&amp;I357&amp;","&amp;I358&amp;","&amp;I359&amp;","&amp;I360&amp;","&amp;I361&amp;","&amp;I362&amp;","&amp;I363</f>
        <v>1:104031:1250:1:1,1:104032:1250:1:1,1:104033:1250:1:1,1:104034:1250:1:1,1:104035:1250:1:1,1:104038:1250:1:1,1:104036:1250:1:1,1:104037:1250:1:1</v>
      </c>
    </row>
    <row r="357" spans="2:9">
      <c r="B357" s="4" t="s">
        <v>548</v>
      </c>
      <c r="C357" s="4" t="s">
        <v>999</v>
      </c>
      <c r="D357" s="4">
        <v>1</v>
      </c>
      <c r="E357" s="4" t="str">
        <f>C357</f>
        <v>104032</v>
      </c>
      <c r="F357" s="4">
        <v>1250</v>
      </c>
      <c r="G357" s="4">
        <v>1</v>
      </c>
      <c r="H357" s="4">
        <v>1</v>
      </c>
      <c r="I357" s="4" t="str">
        <f t="shared" si="72"/>
        <v>1:104032:1250:1:1</v>
      </c>
    </row>
    <row r="358" spans="2:9">
      <c r="B358" s="4" t="s">
        <v>550</v>
      </c>
      <c r="C358" s="4" t="s">
        <v>1000</v>
      </c>
      <c r="D358" s="4">
        <v>1</v>
      </c>
      <c r="E358" s="4" t="str">
        <f>C358</f>
        <v>104033</v>
      </c>
      <c r="F358" s="4">
        <v>1250</v>
      </c>
      <c r="G358" s="4">
        <v>1</v>
      </c>
      <c r="H358" s="4">
        <v>1</v>
      </c>
      <c r="I358" s="4" t="str">
        <f t="shared" si="72"/>
        <v>1:104033:1250:1:1</v>
      </c>
    </row>
    <row r="359" spans="2:9">
      <c r="B359" s="4" t="s">
        <v>552</v>
      </c>
      <c r="C359" s="4" t="s">
        <v>1001</v>
      </c>
      <c r="D359" s="4">
        <v>1</v>
      </c>
      <c r="E359" s="4" t="str">
        <f>C359</f>
        <v>104034</v>
      </c>
      <c r="F359" s="4">
        <v>1250</v>
      </c>
      <c r="G359" s="4">
        <v>1</v>
      </c>
      <c r="H359" s="4">
        <v>1</v>
      </c>
      <c r="I359" s="4" t="str">
        <f t="shared" si="72"/>
        <v>1:104034:1250:1:1</v>
      </c>
    </row>
    <row r="360" spans="2:9">
      <c r="B360" s="4" t="s">
        <v>554</v>
      </c>
      <c r="C360" s="4" t="s">
        <v>1002</v>
      </c>
      <c r="D360" s="4">
        <v>1</v>
      </c>
      <c r="E360" s="4" t="str">
        <f>C360</f>
        <v>104035</v>
      </c>
      <c r="F360" s="4">
        <v>1250</v>
      </c>
      <c r="G360" s="4">
        <v>1</v>
      </c>
      <c r="H360" s="4">
        <v>1</v>
      </c>
      <c r="I360" s="4" t="str">
        <f t="shared" si="72"/>
        <v>1:104035:1250:1:1</v>
      </c>
    </row>
    <row r="361" spans="2:9">
      <c r="B361" s="4" t="s">
        <v>331</v>
      </c>
      <c r="C361" s="4" t="s">
        <v>876</v>
      </c>
      <c r="D361" s="4">
        <v>1</v>
      </c>
      <c r="E361" s="4" t="str">
        <f t="shared" ref="E361:E363" si="73">C361</f>
        <v>104038</v>
      </c>
      <c r="F361" s="4">
        <v>1250</v>
      </c>
      <c r="G361" s="4">
        <v>1</v>
      </c>
      <c r="H361" s="4">
        <v>1</v>
      </c>
      <c r="I361" s="4" t="str">
        <f t="shared" ref="I361:I363" si="74">D361&amp;":"&amp;E361&amp;":"&amp;F361&amp;":"&amp;G361&amp;":"&amp;H361</f>
        <v>1:104038:1250:1:1</v>
      </c>
    </row>
    <row r="362" spans="2:9">
      <c r="B362" s="4" t="s">
        <v>333</v>
      </c>
      <c r="C362" s="4" t="s">
        <v>877</v>
      </c>
      <c r="D362" s="4">
        <v>1</v>
      </c>
      <c r="E362" s="4" t="str">
        <f t="shared" si="73"/>
        <v>104036</v>
      </c>
      <c r="F362" s="4">
        <v>1250</v>
      </c>
      <c r="G362" s="4">
        <v>1</v>
      </c>
      <c r="H362" s="4">
        <v>1</v>
      </c>
      <c r="I362" s="4" t="str">
        <f t="shared" si="74"/>
        <v>1:104036:1250:1:1</v>
      </c>
    </row>
    <row r="363" spans="2:9">
      <c r="B363" s="4" t="s">
        <v>335</v>
      </c>
      <c r="C363" s="4" t="s">
        <v>878</v>
      </c>
      <c r="D363" s="4">
        <v>1</v>
      </c>
      <c r="E363" s="4" t="str">
        <f t="shared" si="73"/>
        <v>104037</v>
      </c>
      <c r="F363" s="4">
        <v>1250</v>
      </c>
      <c r="G363" s="4">
        <v>1</v>
      </c>
      <c r="H363" s="4">
        <v>1</v>
      </c>
      <c r="I363" s="4" t="str">
        <f t="shared" si="74"/>
        <v>1:104037:1250:1:1</v>
      </c>
    </row>
    <row r="365" spans="2:11">
      <c r="B365" s="4" t="s">
        <v>556</v>
      </c>
      <c r="C365" s="4" t="s">
        <v>1003</v>
      </c>
      <c r="D365" s="4">
        <v>1</v>
      </c>
      <c r="E365" s="4" t="str">
        <f>C365</f>
        <v>105031</v>
      </c>
      <c r="F365" s="4">
        <v>1250</v>
      </c>
      <c r="G365" s="4">
        <v>1</v>
      </c>
      <c r="H365" s="4">
        <v>1</v>
      </c>
      <c r="I365" s="4" t="str">
        <f t="shared" ref="I365:I369" si="75">D365&amp;":"&amp;E365&amp;":"&amp;F365&amp;":"&amp;G365&amp;":"&amp;H365</f>
        <v>1:105031:1250:1:1</v>
      </c>
      <c r="J365" s="4" t="s">
        <v>1041</v>
      </c>
      <c r="K365" s="4" t="str">
        <f>I365&amp;","&amp;I366&amp;","&amp;I367&amp;","&amp;I368&amp;","&amp;I369&amp;","&amp;I370&amp;","&amp;I371&amp;","&amp;I372</f>
        <v>1:105031:1250:1:1,1:105032:1250:1:1,1:105033:1250:1:1,1:105034:1250:1:1,1:105035:1250:1:1,1:105038:1250:1:1,1:105036:1250:1:1,1:105037:1250:1:1</v>
      </c>
    </row>
    <row r="366" spans="2:9">
      <c r="B366" s="4" t="s">
        <v>558</v>
      </c>
      <c r="C366" s="4" t="s">
        <v>1005</v>
      </c>
      <c r="D366" s="4">
        <v>1</v>
      </c>
      <c r="E366" s="4" t="str">
        <f>C366</f>
        <v>105032</v>
      </c>
      <c r="F366" s="4">
        <v>1250</v>
      </c>
      <c r="G366" s="4">
        <v>1</v>
      </c>
      <c r="H366" s="4">
        <v>1</v>
      </c>
      <c r="I366" s="4" t="str">
        <f t="shared" si="75"/>
        <v>1:105032:1250:1:1</v>
      </c>
    </row>
    <row r="367" spans="2:9">
      <c r="B367" s="4" t="s">
        <v>560</v>
      </c>
      <c r="C367" s="4" t="s">
        <v>1006</v>
      </c>
      <c r="D367" s="4">
        <v>1</v>
      </c>
      <c r="E367" s="4" t="str">
        <f>C367</f>
        <v>105033</v>
      </c>
      <c r="F367" s="4">
        <v>1250</v>
      </c>
      <c r="G367" s="4">
        <v>1</v>
      </c>
      <c r="H367" s="4">
        <v>1</v>
      </c>
      <c r="I367" s="4" t="str">
        <f t="shared" si="75"/>
        <v>1:105033:1250:1:1</v>
      </c>
    </row>
    <row r="368" spans="2:9">
      <c r="B368" s="4" t="s">
        <v>562</v>
      </c>
      <c r="C368" s="4" t="s">
        <v>1007</v>
      </c>
      <c r="D368" s="4">
        <v>1</v>
      </c>
      <c r="E368" s="4" t="str">
        <f>C368</f>
        <v>105034</v>
      </c>
      <c r="F368" s="4">
        <v>1250</v>
      </c>
      <c r="G368" s="4">
        <v>1</v>
      </c>
      <c r="H368" s="4">
        <v>1</v>
      </c>
      <c r="I368" s="4" t="str">
        <f t="shared" si="75"/>
        <v>1:105034:1250:1:1</v>
      </c>
    </row>
    <row r="369" spans="2:9">
      <c r="B369" s="4" t="s">
        <v>564</v>
      </c>
      <c r="C369" s="4" t="s">
        <v>1008</v>
      </c>
      <c r="D369" s="4">
        <v>1</v>
      </c>
      <c r="E369" s="4" t="str">
        <f>C369</f>
        <v>105035</v>
      </c>
      <c r="F369" s="4">
        <v>1250</v>
      </c>
      <c r="G369" s="4">
        <v>1</v>
      </c>
      <c r="H369" s="4">
        <v>1</v>
      </c>
      <c r="I369" s="4" t="str">
        <f t="shared" si="75"/>
        <v>1:105035:1250:1:1</v>
      </c>
    </row>
    <row r="370" spans="2:9">
      <c r="B370" s="4" t="s">
        <v>349</v>
      </c>
      <c r="C370" s="4" t="s">
        <v>886</v>
      </c>
      <c r="D370" s="4">
        <v>1</v>
      </c>
      <c r="E370" s="4" t="str">
        <f t="shared" ref="E370:E372" si="76">C370</f>
        <v>105038</v>
      </c>
      <c r="F370" s="4">
        <v>1250</v>
      </c>
      <c r="G370" s="4">
        <v>1</v>
      </c>
      <c r="H370" s="4">
        <v>1</v>
      </c>
      <c r="I370" s="4" t="str">
        <f t="shared" ref="I370:I372" si="77">D370&amp;":"&amp;E370&amp;":"&amp;F370&amp;":"&amp;G370&amp;":"&amp;H370</f>
        <v>1:105038:1250:1:1</v>
      </c>
    </row>
    <row r="371" spans="2:9">
      <c r="B371" s="4" t="s">
        <v>351</v>
      </c>
      <c r="C371" s="4" t="s">
        <v>887</v>
      </c>
      <c r="D371" s="4">
        <v>1</v>
      </c>
      <c r="E371" s="4" t="str">
        <f t="shared" si="76"/>
        <v>105036</v>
      </c>
      <c r="F371" s="4">
        <v>1250</v>
      </c>
      <c r="G371" s="4">
        <v>1</v>
      </c>
      <c r="H371" s="4">
        <v>1</v>
      </c>
      <c r="I371" s="4" t="str">
        <f t="shared" si="77"/>
        <v>1:105036:1250:1:1</v>
      </c>
    </row>
    <row r="372" spans="2:9">
      <c r="B372" s="4" t="s">
        <v>360</v>
      </c>
      <c r="C372" s="4" t="s">
        <v>888</v>
      </c>
      <c r="D372" s="4">
        <v>1</v>
      </c>
      <c r="E372" s="4" t="str">
        <f t="shared" si="76"/>
        <v>105037</v>
      </c>
      <c r="F372" s="4">
        <v>1250</v>
      </c>
      <c r="G372" s="4">
        <v>1</v>
      </c>
      <c r="H372" s="4">
        <v>1</v>
      </c>
      <c r="I372" s="4" t="str">
        <f t="shared" si="77"/>
        <v>1:105037:1250:1:1</v>
      </c>
    </row>
    <row r="374" spans="2:11">
      <c r="B374" s="4" t="s">
        <v>566</v>
      </c>
      <c r="C374" s="4" t="s">
        <v>1009</v>
      </c>
      <c r="D374" s="4">
        <v>1</v>
      </c>
      <c r="E374" s="4" t="str">
        <f>C374</f>
        <v>106031</v>
      </c>
      <c r="F374" s="4">
        <v>1250</v>
      </c>
      <c r="G374" s="4">
        <v>1</v>
      </c>
      <c r="H374" s="4">
        <v>1</v>
      </c>
      <c r="I374" s="4" t="str">
        <f t="shared" ref="I374:I378" si="78">D374&amp;":"&amp;E374&amp;":"&amp;F374&amp;":"&amp;G374&amp;":"&amp;H374</f>
        <v>1:106031:1250:1:1</v>
      </c>
      <c r="J374" s="4" t="s">
        <v>1042</v>
      </c>
      <c r="K374" s="4" t="str">
        <f>I374&amp;","&amp;I375&amp;","&amp;I376&amp;","&amp;I377&amp;","&amp;I378&amp;","&amp;I379&amp;","&amp;I380&amp;","&amp;I381</f>
        <v>1:106031:1250:1:1,1:106032:1250:1:1,1:106033:1250:1:1,1:106034:1250:1:1,1:106035:1250:1:1,1:106038:1250:1:1,1:106036:1250:1:1,1:106037:1250:1:1</v>
      </c>
    </row>
    <row r="375" spans="2:9">
      <c r="B375" s="4" t="s">
        <v>568</v>
      </c>
      <c r="C375" s="4" t="s">
        <v>1011</v>
      </c>
      <c r="D375" s="4">
        <v>1</v>
      </c>
      <c r="E375" s="4" t="str">
        <f>C375</f>
        <v>106032</v>
      </c>
      <c r="F375" s="4">
        <v>1250</v>
      </c>
      <c r="G375" s="4">
        <v>1</v>
      </c>
      <c r="H375" s="4">
        <v>1</v>
      </c>
      <c r="I375" s="4" t="str">
        <f t="shared" si="78"/>
        <v>1:106032:1250:1:1</v>
      </c>
    </row>
    <row r="376" spans="2:9">
      <c r="B376" s="4" t="s">
        <v>570</v>
      </c>
      <c r="C376" s="4" t="s">
        <v>1012</v>
      </c>
      <c r="D376" s="4">
        <v>1</v>
      </c>
      <c r="E376" s="4" t="str">
        <f>C376</f>
        <v>106033</v>
      </c>
      <c r="F376" s="4">
        <v>1250</v>
      </c>
      <c r="G376" s="4">
        <v>1</v>
      </c>
      <c r="H376" s="4">
        <v>1</v>
      </c>
      <c r="I376" s="4" t="str">
        <f t="shared" si="78"/>
        <v>1:106033:1250:1:1</v>
      </c>
    </row>
    <row r="377" spans="2:9">
      <c r="B377" s="4" t="s">
        <v>572</v>
      </c>
      <c r="C377" s="4" t="s">
        <v>1013</v>
      </c>
      <c r="D377" s="4">
        <v>1</v>
      </c>
      <c r="E377" s="4" t="str">
        <f>C377</f>
        <v>106034</v>
      </c>
      <c r="F377" s="4">
        <v>1250</v>
      </c>
      <c r="G377" s="4">
        <v>1</v>
      </c>
      <c r="H377" s="4">
        <v>1</v>
      </c>
      <c r="I377" s="4" t="str">
        <f t="shared" si="78"/>
        <v>1:106034:1250:1:1</v>
      </c>
    </row>
    <row r="378" spans="2:9">
      <c r="B378" s="4" t="s">
        <v>574</v>
      </c>
      <c r="C378" s="4" t="s">
        <v>1014</v>
      </c>
      <c r="D378" s="4">
        <v>1</v>
      </c>
      <c r="E378" s="4" t="str">
        <f>C378</f>
        <v>106035</v>
      </c>
      <c r="F378" s="4">
        <v>1250</v>
      </c>
      <c r="G378" s="4">
        <v>1</v>
      </c>
      <c r="H378" s="4">
        <v>1</v>
      </c>
      <c r="I378" s="4" t="str">
        <f t="shared" si="78"/>
        <v>1:106035:1250:1:1</v>
      </c>
    </row>
    <row r="379" spans="2:9">
      <c r="B379" s="4" t="s">
        <v>374</v>
      </c>
      <c r="C379" s="4" t="s">
        <v>896</v>
      </c>
      <c r="D379" s="4">
        <v>1</v>
      </c>
      <c r="E379" s="4" t="str">
        <f t="shared" ref="E379:E381" si="79">C379</f>
        <v>106038</v>
      </c>
      <c r="F379" s="4">
        <v>1250</v>
      </c>
      <c r="G379" s="4">
        <v>1</v>
      </c>
      <c r="H379" s="4">
        <v>1</v>
      </c>
      <c r="I379" s="4" t="str">
        <f t="shared" ref="I379:I381" si="80">D379&amp;":"&amp;E379&amp;":"&amp;F379&amp;":"&amp;G379&amp;":"&amp;H379</f>
        <v>1:106038:1250:1:1</v>
      </c>
    </row>
    <row r="380" spans="2:9">
      <c r="B380" s="4" t="s">
        <v>376</v>
      </c>
      <c r="C380" s="4" t="s">
        <v>897</v>
      </c>
      <c r="D380" s="4">
        <v>1</v>
      </c>
      <c r="E380" s="4" t="str">
        <f t="shared" si="79"/>
        <v>106036</v>
      </c>
      <c r="F380" s="4">
        <v>1250</v>
      </c>
      <c r="G380" s="4">
        <v>1</v>
      </c>
      <c r="H380" s="4">
        <v>1</v>
      </c>
      <c r="I380" s="4" t="str">
        <f t="shared" si="80"/>
        <v>1:106036:1250:1:1</v>
      </c>
    </row>
    <row r="381" spans="2:9">
      <c r="B381" s="4" t="s">
        <v>378</v>
      </c>
      <c r="C381" s="4" t="s">
        <v>898</v>
      </c>
      <c r="D381" s="4">
        <v>1</v>
      </c>
      <c r="E381" s="4" t="str">
        <f t="shared" si="79"/>
        <v>106037</v>
      </c>
      <c r="F381" s="4">
        <v>1250</v>
      </c>
      <c r="G381" s="4">
        <v>1</v>
      </c>
      <c r="H381" s="4">
        <v>1</v>
      </c>
      <c r="I381" s="4" t="str">
        <f t="shared" si="80"/>
        <v>1:106037:1250:1:1</v>
      </c>
    </row>
    <row r="383" spans="2:11">
      <c r="B383" s="4" t="s">
        <v>576</v>
      </c>
      <c r="C383" s="4" t="s">
        <v>1015</v>
      </c>
      <c r="D383" s="4">
        <v>1</v>
      </c>
      <c r="E383" s="4" t="str">
        <f>C383</f>
        <v>107031</v>
      </c>
      <c r="F383" s="4">
        <v>1250</v>
      </c>
      <c r="G383" s="4">
        <v>1</v>
      </c>
      <c r="H383" s="4">
        <v>1</v>
      </c>
      <c r="I383" s="4" t="str">
        <f t="shared" ref="I383:I387" si="81">D383&amp;":"&amp;E383&amp;":"&amp;F383&amp;":"&amp;G383&amp;":"&amp;H383</f>
        <v>1:107031:1250:1:1</v>
      </c>
      <c r="J383" s="4" t="s">
        <v>1043</v>
      </c>
      <c r="K383" s="4" t="str">
        <f>I383&amp;","&amp;I384&amp;","&amp;I385&amp;","&amp;I386&amp;","&amp;I387&amp;","&amp;I388&amp;","&amp;I389&amp;","&amp;I390</f>
        <v>1:107031:1250:1:1,1:107032:1250:1:1,1:107033:1250:1:1,1:107034:1250:1:1,1:107035:1250:1:1,1:107038:1250:1:1,1:107036:1250:1:1,1:107037:1250:1:1</v>
      </c>
    </row>
    <row r="384" spans="2:9">
      <c r="B384" s="4" t="s">
        <v>578</v>
      </c>
      <c r="C384" s="4" t="s">
        <v>1017</v>
      </c>
      <c r="D384" s="4">
        <v>1</v>
      </c>
      <c r="E384" s="4" t="str">
        <f>C384</f>
        <v>107032</v>
      </c>
      <c r="F384" s="4">
        <v>1250</v>
      </c>
      <c r="G384" s="4">
        <v>1</v>
      </c>
      <c r="H384" s="4">
        <v>1</v>
      </c>
      <c r="I384" s="4" t="str">
        <f t="shared" si="81"/>
        <v>1:107032:1250:1:1</v>
      </c>
    </row>
    <row r="385" spans="2:9">
      <c r="B385" s="4" t="s">
        <v>580</v>
      </c>
      <c r="C385" s="4" t="s">
        <v>1018</v>
      </c>
      <c r="D385" s="4">
        <v>1</v>
      </c>
      <c r="E385" s="4" t="str">
        <f>C385</f>
        <v>107033</v>
      </c>
      <c r="F385" s="4">
        <v>1250</v>
      </c>
      <c r="G385" s="4">
        <v>1</v>
      </c>
      <c r="H385" s="4">
        <v>1</v>
      </c>
      <c r="I385" s="4" t="str">
        <f t="shared" si="81"/>
        <v>1:107033:1250:1:1</v>
      </c>
    </row>
    <row r="386" spans="2:9">
      <c r="B386" s="4" t="s">
        <v>582</v>
      </c>
      <c r="C386" s="4" t="s">
        <v>1019</v>
      </c>
      <c r="D386" s="4">
        <v>1</v>
      </c>
      <c r="E386" s="4" t="str">
        <f>C386</f>
        <v>107034</v>
      </c>
      <c r="F386" s="4">
        <v>1250</v>
      </c>
      <c r="G386" s="4">
        <v>1</v>
      </c>
      <c r="H386" s="4">
        <v>1</v>
      </c>
      <c r="I386" s="4" t="str">
        <f t="shared" si="81"/>
        <v>1:107034:1250:1:1</v>
      </c>
    </row>
    <row r="387" spans="2:9">
      <c r="B387" s="4" t="s">
        <v>584</v>
      </c>
      <c r="C387" s="4" t="s">
        <v>1020</v>
      </c>
      <c r="D387" s="4">
        <v>1</v>
      </c>
      <c r="E387" s="4" t="str">
        <f>C387</f>
        <v>107035</v>
      </c>
      <c r="F387" s="4">
        <v>1250</v>
      </c>
      <c r="G387" s="4">
        <v>1</v>
      </c>
      <c r="H387" s="4">
        <v>1</v>
      </c>
      <c r="I387" s="4" t="str">
        <f t="shared" si="81"/>
        <v>1:107035:1250:1:1</v>
      </c>
    </row>
    <row r="388" spans="2:9">
      <c r="B388" s="4" t="s">
        <v>392</v>
      </c>
      <c r="C388" s="4" t="s">
        <v>906</v>
      </c>
      <c r="D388" s="4">
        <v>1</v>
      </c>
      <c r="E388" s="4" t="str">
        <f t="shared" ref="E388:E390" si="82">C388</f>
        <v>107038</v>
      </c>
      <c r="F388" s="4">
        <v>1250</v>
      </c>
      <c r="G388" s="4">
        <v>1</v>
      </c>
      <c r="H388" s="4">
        <v>1</v>
      </c>
      <c r="I388" s="4" t="str">
        <f t="shared" ref="I388:I390" si="83">D388&amp;":"&amp;E388&amp;":"&amp;F388&amp;":"&amp;G388&amp;":"&amp;H388</f>
        <v>1:107038:1250:1:1</v>
      </c>
    </row>
    <row r="389" spans="2:9">
      <c r="B389" s="4" t="s">
        <v>394</v>
      </c>
      <c r="C389" s="4" t="s">
        <v>907</v>
      </c>
      <c r="D389" s="4">
        <v>1</v>
      </c>
      <c r="E389" s="4" t="str">
        <f t="shared" si="82"/>
        <v>107036</v>
      </c>
      <c r="F389" s="4">
        <v>1250</v>
      </c>
      <c r="G389" s="4">
        <v>1</v>
      </c>
      <c r="H389" s="4">
        <v>1</v>
      </c>
      <c r="I389" s="4" t="str">
        <f t="shared" si="83"/>
        <v>1:107036:1250:1:1</v>
      </c>
    </row>
    <row r="390" spans="2:9">
      <c r="B390" s="4" t="s">
        <v>396</v>
      </c>
      <c r="C390" s="4" t="s">
        <v>908</v>
      </c>
      <c r="D390" s="4">
        <v>1</v>
      </c>
      <c r="E390" s="4" t="str">
        <f t="shared" si="82"/>
        <v>107037</v>
      </c>
      <c r="F390" s="4">
        <v>1250</v>
      </c>
      <c r="G390" s="4">
        <v>1</v>
      </c>
      <c r="H390" s="4">
        <v>1</v>
      </c>
      <c r="I390" s="4" t="str">
        <f t="shared" si="83"/>
        <v>1:107037:1250:1:1</v>
      </c>
    </row>
    <row r="392" spans="2:11">
      <c r="B392" s="4" t="s">
        <v>586</v>
      </c>
      <c r="C392" s="4" t="s">
        <v>1021</v>
      </c>
      <c r="D392" s="4">
        <v>1</v>
      </c>
      <c r="E392" s="4" t="str">
        <f t="shared" ref="E392:E396" si="84">C392</f>
        <v>108031</v>
      </c>
      <c r="F392" s="4">
        <v>1250</v>
      </c>
      <c r="G392" s="4">
        <v>1</v>
      </c>
      <c r="H392" s="4">
        <v>1</v>
      </c>
      <c r="I392" s="4" t="str">
        <f t="shared" ref="I392:I396" si="85">D392&amp;":"&amp;E392&amp;":"&amp;F392&amp;":"&amp;G392&amp;":"&amp;H392</f>
        <v>1:108031:1250:1:1</v>
      </c>
      <c r="J392" s="4" t="s">
        <v>1044</v>
      </c>
      <c r="K392" s="4" t="str">
        <f>I392&amp;","&amp;I393&amp;","&amp;I394&amp;","&amp;I395&amp;","&amp;I396&amp;","&amp;I397&amp;","&amp;I398&amp;","&amp;I399</f>
        <v>1:108031:1250:1:1,1:108032:1250:1:1,1:108033:1250:1:1,1:108034:1250:1:1,1:108035:1250:1:1,1:108038:1250:1:1,1:108036:1250:1:1,1:108037:1250:1:1</v>
      </c>
    </row>
    <row r="393" spans="2:9">
      <c r="B393" s="4" t="s">
        <v>588</v>
      </c>
      <c r="C393" s="4" t="s">
        <v>1023</v>
      </c>
      <c r="D393" s="4">
        <v>1</v>
      </c>
      <c r="E393" s="4" t="str">
        <f t="shared" si="84"/>
        <v>108032</v>
      </c>
      <c r="F393" s="4">
        <v>1250</v>
      </c>
      <c r="G393" s="4">
        <v>1</v>
      </c>
      <c r="H393" s="4">
        <v>1</v>
      </c>
      <c r="I393" s="4" t="str">
        <f t="shared" si="85"/>
        <v>1:108032:1250:1:1</v>
      </c>
    </row>
    <row r="394" spans="2:9">
      <c r="B394" s="4" t="s">
        <v>590</v>
      </c>
      <c r="C394" s="4" t="s">
        <v>1024</v>
      </c>
      <c r="D394" s="4">
        <v>1</v>
      </c>
      <c r="E394" s="4" t="str">
        <f t="shared" si="84"/>
        <v>108033</v>
      </c>
      <c r="F394" s="4">
        <v>1250</v>
      </c>
      <c r="G394" s="4">
        <v>1</v>
      </c>
      <c r="H394" s="4">
        <v>1</v>
      </c>
      <c r="I394" s="4" t="str">
        <f t="shared" si="85"/>
        <v>1:108033:1250:1:1</v>
      </c>
    </row>
    <row r="395" spans="2:9">
      <c r="B395" s="4" t="s">
        <v>592</v>
      </c>
      <c r="C395" s="4" t="s">
        <v>1025</v>
      </c>
      <c r="D395" s="4">
        <v>1</v>
      </c>
      <c r="E395" s="4" t="str">
        <f t="shared" si="84"/>
        <v>108034</v>
      </c>
      <c r="F395" s="4">
        <v>1250</v>
      </c>
      <c r="G395" s="4">
        <v>1</v>
      </c>
      <c r="H395" s="4">
        <v>1</v>
      </c>
      <c r="I395" s="4" t="str">
        <f t="shared" si="85"/>
        <v>1:108034:1250:1:1</v>
      </c>
    </row>
    <row r="396" spans="2:9">
      <c r="B396" s="4" t="s">
        <v>594</v>
      </c>
      <c r="C396" s="4" t="s">
        <v>1026</v>
      </c>
      <c r="D396" s="4">
        <v>1</v>
      </c>
      <c r="E396" s="4" t="str">
        <f t="shared" si="84"/>
        <v>108035</v>
      </c>
      <c r="F396" s="4">
        <v>1250</v>
      </c>
      <c r="G396" s="4">
        <v>1</v>
      </c>
      <c r="H396" s="4">
        <v>1</v>
      </c>
      <c r="I396" s="4" t="str">
        <f t="shared" si="85"/>
        <v>1:108035:1250:1:1</v>
      </c>
    </row>
    <row r="397" spans="2:9">
      <c r="B397" s="4" t="s">
        <v>410</v>
      </c>
      <c r="C397" s="4" t="s">
        <v>916</v>
      </c>
      <c r="D397" s="4">
        <v>1</v>
      </c>
      <c r="E397" s="4" t="str">
        <f t="shared" ref="E397:E405" si="86">C397</f>
        <v>108038</v>
      </c>
      <c r="F397" s="4">
        <v>1250</v>
      </c>
      <c r="G397" s="4">
        <v>1</v>
      </c>
      <c r="H397" s="4">
        <v>1</v>
      </c>
      <c r="I397" s="4" t="str">
        <f t="shared" ref="I397:I399" si="87">D397&amp;":"&amp;E397&amp;":"&amp;F397&amp;":"&amp;G397&amp;":"&amp;H397</f>
        <v>1:108038:1250:1:1</v>
      </c>
    </row>
    <row r="398" spans="2:9">
      <c r="B398" s="4" t="s">
        <v>412</v>
      </c>
      <c r="C398" s="4" t="s">
        <v>917</v>
      </c>
      <c r="D398" s="4">
        <v>1</v>
      </c>
      <c r="E398" s="4" t="str">
        <f t="shared" si="86"/>
        <v>108036</v>
      </c>
      <c r="F398" s="4">
        <v>1250</v>
      </c>
      <c r="G398" s="4">
        <v>1</v>
      </c>
      <c r="H398" s="4">
        <v>1</v>
      </c>
      <c r="I398" s="4" t="str">
        <f t="shared" si="87"/>
        <v>1:108036:1250:1:1</v>
      </c>
    </row>
    <row r="399" spans="2:9">
      <c r="B399" s="4" t="s">
        <v>414</v>
      </c>
      <c r="C399" s="4" t="s">
        <v>918</v>
      </c>
      <c r="D399" s="4">
        <v>1</v>
      </c>
      <c r="E399" s="4" t="str">
        <f t="shared" si="86"/>
        <v>108037</v>
      </c>
      <c r="F399" s="4">
        <v>1250</v>
      </c>
      <c r="G399" s="4">
        <v>1</v>
      </c>
      <c r="H399" s="4">
        <v>1</v>
      </c>
      <c r="I399" s="4" t="str">
        <f t="shared" si="87"/>
        <v>1:108037:1250:1:1</v>
      </c>
    </row>
    <row r="401" spans="2:11">
      <c r="B401" s="4" t="s">
        <v>792</v>
      </c>
      <c r="C401" s="4">
        <v>1000001</v>
      </c>
      <c r="D401" s="4">
        <v>2</v>
      </c>
      <c r="E401" s="4">
        <f t="shared" si="86"/>
        <v>1000001</v>
      </c>
      <c r="F401" s="4">
        <v>6000</v>
      </c>
      <c r="G401" s="4">
        <v>1</v>
      </c>
      <c r="H401" s="4">
        <v>1</v>
      </c>
      <c r="I401" s="4" t="str">
        <f t="shared" ref="I401:I402" si="88">D401&amp;":"&amp;E401&amp;":"&amp;F401&amp;":"&amp;G401&amp;":"&amp;H401</f>
        <v>2:1000001:6000:1:1</v>
      </c>
      <c r="K401" s="4" t="str">
        <f>I401&amp;","&amp;I402</f>
        <v>2:1000001:6000:1:1,2:1000009:4000:1:1</v>
      </c>
    </row>
    <row r="402" spans="2:9">
      <c r="B402" s="4" t="s">
        <v>840</v>
      </c>
      <c r="C402" s="4">
        <v>1000009</v>
      </c>
      <c r="D402" s="4">
        <v>2</v>
      </c>
      <c r="E402" s="4">
        <f t="shared" si="86"/>
        <v>1000009</v>
      </c>
      <c r="F402" s="4">
        <v>4000</v>
      </c>
      <c r="G402" s="4">
        <v>1</v>
      </c>
      <c r="H402" s="4">
        <v>1</v>
      </c>
      <c r="I402" s="4" t="str">
        <f t="shared" si="88"/>
        <v>2:1000009:4000:1:1</v>
      </c>
    </row>
    <row r="404" spans="2:11">
      <c r="B404" s="4" t="s">
        <v>798</v>
      </c>
      <c r="C404" s="4">
        <v>1000002</v>
      </c>
      <c r="D404" s="4">
        <v>2</v>
      </c>
      <c r="E404" s="4">
        <f t="shared" si="86"/>
        <v>1000002</v>
      </c>
      <c r="F404" s="4">
        <v>6000</v>
      </c>
      <c r="G404" s="4">
        <v>1</v>
      </c>
      <c r="H404" s="4">
        <v>1</v>
      </c>
      <c r="I404" s="4" t="str">
        <f t="shared" ref="I404:I405" si="89">D404&amp;":"&amp;E404&amp;":"&amp;F404&amp;":"&amp;G404&amp;":"&amp;H404</f>
        <v>2:1000002:6000:1:1</v>
      </c>
      <c r="K404" s="4" t="str">
        <f>I404&amp;","&amp;I405</f>
        <v>2:1000002:6000:1:1,2:1000010:4000:1:1</v>
      </c>
    </row>
    <row r="405" spans="2:9">
      <c r="B405" s="4" t="s">
        <v>850</v>
      </c>
      <c r="C405" s="4">
        <v>1000010</v>
      </c>
      <c r="D405" s="4">
        <v>2</v>
      </c>
      <c r="E405" s="4">
        <f t="shared" si="86"/>
        <v>1000010</v>
      </c>
      <c r="F405" s="4">
        <v>4000</v>
      </c>
      <c r="G405" s="4">
        <v>1</v>
      </c>
      <c r="H405" s="4">
        <v>1</v>
      </c>
      <c r="I405" s="4" t="str">
        <f t="shared" si="89"/>
        <v>2:1000010:4000:1:1</v>
      </c>
    </row>
    <row r="407" spans="1:11">
      <c r="A407" s="4">
        <v>30</v>
      </c>
      <c r="B407" s="4" t="s">
        <v>804</v>
      </c>
      <c r="C407" s="4">
        <v>1000003</v>
      </c>
      <c r="D407" s="4">
        <v>2</v>
      </c>
      <c r="E407" s="4">
        <f>C407</f>
        <v>1000003</v>
      </c>
      <c r="F407" s="4">
        <v>4000</v>
      </c>
      <c r="G407" s="4">
        <v>1</v>
      </c>
      <c r="H407" s="4">
        <v>1</v>
      </c>
      <c r="I407" s="4" t="str">
        <f t="shared" ref="I407:I410" si="90">D407&amp;":"&amp;E407&amp;":"&amp;F407&amp;":"&amp;G407&amp;":"&amp;H407</f>
        <v>2:1000003:4000:1:1</v>
      </c>
      <c r="K407" s="4" t="str">
        <f>I407&amp;","&amp;I408&amp;","&amp;I409&amp;","&amp;I410</f>
        <v>2:1000003:4000:1:1,2:1000035:2000:1:1,2:1000041:2000:1:1,2:1000047:2000:1:1</v>
      </c>
    </row>
    <row r="408" spans="1:9">
      <c r="A408" s="4">
        <v>30</v>
      </c>
      <c r="B408" s="4" t="s">
        <v>1027</v>
      </c>
      <c r="C408" s="4">
        <v>1000035</v>
      </c>
      <c r="D408" s="4">
        <v>2</v>
      </c>
      <c r="E408" s="4">
        <f>C408</f>
        <v>1000035</v>
      </c>
      <c r="F408" s="4">
        <v>2000</v>
      </c>
      <c r="G408" s="4">
        <v>1</v>
      </c>
      <c r="H408" s="4">
        <v>1</v>
      </c>
      <c r="I408" s="4" t="str">
        <f t="shared" si="90"/>
        <v>2:1000035:2000:1:1</v>
      </c>
    </row>
    <row r="409" spans="1:9">
      <c r="A409" s="4">
        <v>30</v>
      </c>
      <c r="B409" s="4" t="s">
        <v>1033</v>
      </c>
      <c r="C409" s="4">
        <v>1000041</v>
      </c>
      <c r="D409" s="4">
        <v>2</v>
      </c>
      <c r="E409" s="4">
        <f>C409</f>
        <v>1000041</v>
      </c>
      <c r="F409" s="4">
        <v>2000</v>
      </c>
      <c r="G409" s="4">
        <v>1</v>
      </c>
      <c r="H409" s="4">
        <v>1</v>
      </c>
      <c r="I409" s="4" t="str">
        <f t="shared" si="90"/>
        <v>2:1000041:2000:1:1</v>
      </c>
    </row>
    <row r="410" spans="1:9">
      <c r="A410" s="4">
        <v>30</v>
      </c>
      <c r="B410" s="4" t="s">
        <v>1039</v>
      </c>
      <c r="C410" s="4">
        <v>1000047</v>
      </c>
      <c r="D410" s="4">
        <v>2</v>
      </c>
      <c r="E410" s="4">
        <f>C410</f>
        <v>1000047</v>
      </c>
      <c r="F410" s="4">
        <v>2000</v>
      </c>
      <c r="G410" s="4">
        <v>1</v>
      </c>
      <c r="H410" s="4">
        <v>1</v>
      </c>
      <c r="I410" s="4" t="str">
        <f t="shared" si="90"/>
        <v>2:1000047:2000:1:1</v>
      </c>
    </row>
    <row r="412" spans="1:11">
      <c r="A412" s="4">
        <v>40</v>
      </c>
      <c r="B412" s="4" t="s">
        <v>810</v>
      </c>
      <c r="C412" s="4">
        <v>1000004</v>
      </c>
      <c r="D412" s="4">
        <v>2</v>
      </c>
      <c r="E412" s="4">
        <f>C412</f>
        <v>1000004</v>
      </c>
      <c r="F412" s="4">
        <v>4000</v>
      </c>
      <c r="G412" s="4">
        <v>1</v>
      </c>
      <c r="H412" s="4">
        <v>1</v>
      </c>
      <c r="I412" s="4" t="str">
        <f t="shared" ref="I412:I415" si="91">D412&amp;":"&amp;E412&amp;":"&amp;F412&amp;":"&amp;G412&amp;":"&amp;H412</f>
        <v>2:1000004:4000:1:1</v>
      </c>
      <c r="K412" s="4" t="str">
        <f>I412&amp;","&amp;I413&amp;","&amp;I414&amp;","&amp;I415</f>
        <v>2:1000004:4000:1:1,2:1000036:2000:1:1,2:1000042:2000:1:1,2:1000048:2000:1:1</v>
      </c>
    </row>
    <row r="413" spans="1:9">
      <c r="A413" s="4">
        <v>40</v>
      </c>
      <c r="B413" s="4" t="s">
        <v>1028</v>
      </c>
      <c r="C413" s="4">
        <v>1000036</v>
      </c>
      <c r="D413" s="4">
        <v>2</v>
      </c>
      <c r="E413" s="4">
        <f>C413</f>
        <v>1000036</v>
      </c>
      <c r="F413" s="4">
        <v>2000</v>
      </c>
      <c r="G413" s="4">
        <v>1</v>
      </c>
      <c r="H413" s="4">
        <v>1</v>
      </c>
      <c r="I413" s="4" t="str">
        <f t="shared" si="91"/>
        <v>2:1000036:2000:1:1</v>
      </c>
    </row>
    <row r="414" spans="1:9">
      <c r="A414" s="4">
        <v>40</v>
      </c>
      <c r="B414" s="4" t="s">
        <v>1034</v>
      </c>
      <c r="C414" s="4">
        <v>1000042</v>
      </c>
      <c r="D414" s="4">
        <v>2</v>
      </c>
      <c r="E414" s="4">
        <f>C414</f>
        <v>1000042</v>
      </c>
      <c r="F414" s="4">
        <v>2000</v>
      </c>
      <c r="G414" s="4">
        <v>1</v>
      </c>
      <c r="H414" s="4">
        <v>1</v>
      </c>
      <c r="I414" s="4" t="str">
        <f t="shared" si="91"/>
        <v>2:1000042:2000:1:1</v>
      </c>
    </row>
    <row r="415" spans="1:9">
      <c r="A415" s="4">
        <v>40</v>
      </c>
      <c r="B415" s="4" t="s">
        <v>1040</v>
      </c>
      <c r="C415" s="4">
        <v>1000048</v>
      </c>
      <c r="D415" s="4">
        <v>2</v>
      </c>
      <c r="E415" s="4">
        <f>C415</f>
        <v>1000048</v>
      </c>
      <c r="F415" s="4">
        <v>2000</v>
      </c>
      <c r="G415" s="4">
        <v>1</v>
      </c>
      <c r="H415" s="4">
        <v>1</v>
      </c>
      <c r="I415" s="4" t="str">
        <f t="shared" si="91"/>
        <v>2:1000048:2000:1:1</v>
      </c>
    </row>
    <row r="417" spans="1:11">
      <c r="A417" s="4">
        <v>50</v>
      </c>
      <c r="B417" s="4" t="s">
        <v>816</v>
      </c>
      <c r="C417" s="4">
        <v>1000005</v>
      </c>
      <c r="D417" s="4">
        <v>2</v>
      </c>
      <c r="E417" s="4">
        <f>C417</f>
        <v>1000005</v>
      </c>
      <c r="F417" s="4">
        <v>4000</v>
      </c>
      <c r="G417" s="4">
        <v>1</v>
      </c>
      <c r="H417" s="4">
        <v>1</v>
      </c>
      <c r="I417" s="4" t="str">
        <f t="shared" ref="I417:I420" si="92">D417&amp;":"&amp;E417&amp;":"&amp;F417&amp;":"&amp;G417&amp;":"&amp;H417</f>
        <v>2:1000005:4000:1:1</v>
      </c>
      <c r="K417" s="4" t="str">
        <f>I417&amp;","&amp;I418&amp;","&amp;I419&amp;","&amp;I420</f>
        <v>2:1000005:4000:1:1,2:1000037:2000:1:1,2:1000043:2000:1:1,2:1000049:2000:1:1</v>
      </c>
    </row>
    <row r="418" spans="1:9">
      <c r="A418" s="4">
        <v>50</v>
      </c>
      <c r="B418" s="4" t="s">
        <v>1029</v>
      </c>
      <c r="C418" s="4">
        <v>1000037</v>
      </c>
      <c r="D418" s="4">
        <v>2</v>
      </c>
      <c r="E418" s="4">
        <f>C418</f>
        <v>1000037</v>
      </c>
      <c r="F418" s="4">
        <v>2000</v>
      </c>
      <c r="G418" s="4">
        <v>1</v>
      </c>
      <c r="H418" s="4">
        <v>1</v>
      </c>
      <c r="I418" s="4" t="str">
        <f t="shared" si="92"/>
        <v>2:1000037:2000:1:1</v>
      </c>
    </row>
    <row r="419" spans="1:9">
      <c r="A419" s="4">
        <v>50</v>
      </c>
      <c r="B419" s="4" t="s">
        <v>1035</v>
      </c>
      <c r="C419" s="4">
        <v>1000043</v>
      </c>
      <c r="D419" s="4">
        <v>2</v>
      </c>
      <c r="E419" s="4">
        <f>C419</f>
        <v>1000043</v>
      </c>
      <c r="F419" s="4">
        <v>2000</v>
      </c>
      <c r="G419" s="4">
        <v>1</v>
      </c>
      <c r="H419" s="4">
        <v>1</v>
      </c>
      <c r="I419" s="4" t="str">
        <f t="shared" si="92"/>
        <v>2:1000043:2000:1:1</v>
      </c>
    </row>
    <row r="420" spans="1:9">
      <c r="A420" s="4">
        <v>50</v>
      </c>
      <c r="B420" s="4" t="s">
        <v>1041</v>
      </c>
      <c r="C420" s="4">
        <v>1000049</v>
      </c>
      <c r="D420" s="4">
        <v>2</v>
      </c>
      <c r="E420" s="4">
        <f>C420</f>
        <v>1000049</v>
      </c>
      <c r="F420" s="4">
        <v>2000</v>
      </c>
      <c r="G420" s="4">
        <v>1</v>
      </c>
      <c r="H420" s="4">
        <v>1</v>
      </c>
      <c r="I420" s="4" t="str">
        <f t="shared" si="92"/>
        <v>2:1000049:2000:1:1</v>
      </c>
    </row>
    <row r="422" spans="1:11">
      <c r="A422" s="4">
        <v>60</v>
      </c>
      <c r="B422" s="4" t="s">
        <v>822</v>
      </c>
      <c r="C422" s="4">
        <v>1000006</v>
      </c>
      <c r="D422" s="4">
        <v>2</v>
      </c>
      <c r="E422" s="4">
        <f>C422</f>
        <v>1000006</v>
      </c>
      <c r="F422" s="4">
        <v>4000</v>
      </c>
      <c r="G422" s="4">
        <v>1</v>
      </c>
      <c r="H422" s="4">
        <v>1</v>
      </c>
      <c r="I422" s="4" t="str">
        <f t="shared" ref="I422:I425" si="93">D422&amp;":"&amp;E422&amp;":"&amp;F422&amp;":"&amp;G422&amp;":"&amp;H422</f>
        <v>2:1000006:4000:1:1</v>
      </c>
      <c r="K422" s="4" t="str">
        <f>I422&amp;","&amp;I423&amp;","&amp;I424&amp;","&amp;I425</f>
        <v>2:1000006:4000:1:1,2:1000038:2000:1:1,2:1000044:2000:1:1,2:1000050:2000:1:1</v>
      </c>
    </row>
    <row r="423" spans="1:9">
      <c r="A423" s="4">
        <v>60</v>
      </c>
      <c r="B423" s="4" t="s">
        <v>1030</v>
      </c>
      <c r="C423" s="4">
        <v>1000038</v>
      </c>
      <c r="D423" s="4">
        <v>2</v>
      </c>
      <c r="E423" s="4">
        <f>C423</f>
        <v>1000038</v>
      </c>
      <c r="F423" s="4">
        <v>2000</v>
      </c>
      <c r="G423" s="4">
        <v>1</v>
      </c>
      <c r="H423" s="4">
        <v>1</v>
      </c>
      <c r="I423" s="4" t="str">
        <f t="shared" si="93"/>
        <v>2:1000038:2000:1:1</v>
      </c>
    </row>
    <row r="424" spans="1:9">
      <c r="A424" s="4">
        <v>60</v>
      </c>
      <c r="B424" s="4" t="s">
        <v>1036</v>
      </c>
      <c r="C424" s="4">
        <v>1000044</v>
      </c>
      <c r="D424" s="4">
        <v>2</v>
      </c>
      <c r="E424" s="4">
        <f>C424</f>
        <v>1000044</v>
      </c>
      <c r="F424" s="4">
        <v>2000</v>
      </c>
      <c r="G424" s="4">
        <v>1</v>
      </c>
      <c r="H424" s="4">
        <v>1</v>
      </c>
      <c r="I424" s="4" t="str">
        <f t="shared" si="93"/>
        <v>2:1000044:2000:1:1</v>
      </c>
    </row>
    <row r="425" spans="1:9">
      <c r="A425" s="4">
        <v>60</v>
      </c>
      <c r="B425" s="4" t="s">
        <v>1042</v>
      </c>
      <c r="C425" s="4">
        <v>1000050</v>
      </c>
      <c r="D425" s="4">
        <v>2</v>
      </c>
      <c r="E425" s="4">
        <f>C425</f>
        <v>1000050</v>
      </c>
      <c r="F425" s="4">
        <v>2000</v>
      </c>
      <c r="G425" s="4">
        <v>1</v>
      </c>
      <c r="H425" s="4">
        <v>1</v>
      </c>
      <c r="I425" s="4" t="str">
        <f t="shared" si="93"/>
        <v>2:1000050:2000:1:1</v>
      </c>
    </row>
    <row r="427" spans="1:11">
      <c r="A427" s="4">
        <v>70</v>
      </c>
      <c r="B427" s="4" t="s">
        <v>828</v>
      </c>
      <c r="C427" s="4">
        <v>1000007</v>
      </c>
      <c r="D427" s="4">
        <v>2</v>
      </c>
      <c r="E427" s="4">
        <f>C427</f>
        <v>1000007</v>
      </c>
      <c r="F427" s="4">
        <v>4000</v>
      </c>
      <c r="G427" s="4">
        <v>1</v>
      </c>
      <c r="H427" s="4">
        <v>1</v>
      </c>
      <c r="I427" s="4" t="str">
        <f t="shared" ref="I427:I430" si="94">D427&amp;":"&amp;E427&amp;":"&amp;F427&amp;":"&amp;G427&amp;":"&amp;H427</f>
        <v>2:1000007:4000:1:1</v>
      </c>
      <c r="K427" s="4" t="str">
        <f>I427&amp;","&amp;I428&amp;","&amp;I429&amp;","&amp;I430</f>
        <v>2:1000007:4000:1:1,2:1000039:2000:1:1,2:1000045:2000:1:1,2:1000051:2000:1:1</v>
      </c>
    </row>
    <row r="428" spans="1:9">
      <c r="A428" s="4">
        <v>70</v>
      </c>
      <c r="B428" s="4" t="s">
        <v>1031</v>
      </c>
      <c r="C428" s="4">
        <v>1000039</v>
      </c>
      <c r="D428" s="4">
        <v>2</v>
      </c>
      <c r="E428" s="4">
        <f>C428</f>
        <v>1000039</v>
      </c>
      <c r="F428" s="4">
        <v>2000</v>
      </c>
      <c r="G428" s="4">
        <v>1</v>
      </c>
      <c r="H428" s="4">
        <v>1</v>
      </c>
      <c r="I428" s="4" t="str">
        <f t="shared" si="94"/>
        <v>2:1000039:2000:1:1</v>
      </c>
    </row>
    <row r="429" spans="1:9">
      <c r="A429" s="4">
        <v>70</v>
      </c>
      <c r="B429" s="4" t="s">
        <v>1037</v>
      </c>
      <c r="C429" s="4">
        <v>1000045</v>
      </c>
      <c r="D429" s="4">
        <v>2</v>
      </c>
      <c r="E429" s="4">
        <f>C429</f>
        <v>1000045</v>
      </c>
      <c r="F429" s="4">
        <v>2000</v>
      </c>
      <c r="G429" s="4">
        <v>1</v>
      </c>
      <c r="H429" s="4">
        <v>1</v>
      </c>
      <c r="I429" s="4" t="str">
        <f t="shared" si="94"/>
        <v>2:1000045:2000:1:1</v>
      </c>
    </row>
    <row r="430" spans="1:9">
      <c r="A430" s="4">
        <v>70</v>
      </c>
      <c r="B430" s="4" t="s">
        <v>1043</v>
      </c>
      <c r="C430" s="4">
        <v>1000051</v>
      </c>
      <c r="D430" s="4">
        <v>2</v>
      </c>
      <c r="E430" s="4">
        <f>C430</f>
        <v>1000051</v>
      </c>
      <c r="F430" s="4">
        <v>2000</v>
      </c>
      <c r="G430" s="4">
        <v>1</v>
      </c>
      <c r="H430" s="4">
        <v>1</v>
      </c>
      <c r="I430" s="4" t="str">
        <f t="shared" si="94"/>
        <v>2:1000051:2000:1:1</v>
      </c>
    </row>
    <row r="432" spans="1:11">
      <c r="A432" s="4">
        <v>80</v>
      </c>
      <c r="B432" s="4" t="s">
        <v>834</v>
      </c>
      <c r="C432" s="4">
        <v>1000008</v>
      </c>
      <c r="D432" s="4">
        <v>2</v>
      </c>
      <c r="E432" s="4">
        <f>C432</f>
        <v>1000008</v>
      </c>
      <c r="F432" s="4">
        <v>4000</v>
      </c>
      <c r="G432" s="4">
        <v>1</v>
      </c>
      <c r="H432" s="4">
        <v>1</v>
      </c>
      <c r="I432" s="4" t="str">
        <f t="shared" ref="I432:I435" si="95">D432&amp;":"&amp;E432&amp;":"&amp;F432&amp;":"&amp;G432&amp;":"&amp;H432</f>
        <v>2:1000008:4000:1:1</v>
      </c>
      <c r="K432" s="4" t="str">
        <f>I432&amp;","&amp;I433&amp;","&amp;I434&amp;","&amp;I435</f>
        <v>2:1000008:4000:1:1,2:1000040:2000:1:1,2:1000046:2000:1:1,2:1000052:2000:1:1</v>
      </c>
    </row>
    <row r="433" spans="1:9">
      <c r="A433" s="4">
        <v>80</v>
      </c>
      <c r="B433" s="4" t="s">
        <v>1032</v>
      </c>
      <c r="C433" s="4">
        <v>1000040</v>
      </c>
      <c r="D433" s="4">
        <v>2</v>
      </c>
      <c r="E433" s="4">
        <f>C433</f>
        <v>1000040</v>
      </c>
      <c r="F433" s="4">
        <v>2000</v>
      </c>
      <c r="G433" s="4">
        <v>1</v>
      </c>
      <c r="H433" s="4">
        <v>1</v>
      </c>
      <c r="I433" s="4" t="str">
        <f t="shared" si="95"/>
        <v>2:1000040:2000:1:1</v>
      </c>
    </row>
    <row r="434" spans="1:9">
      <c r="A434" s="4">
        <v>80</v>
      </c>
      <c r="B434" s="4" t="s">
        <v>1038</v>
      </c>
      <c r="C434" s="4">
        <v>1000046</v>
      </c>
      <c r="D434" s="4">
        <v>2</v>
      </c>
      <c r="E434" s="4">
        <f>C434</f>
        <v>1000046</v>
      </c>
      <c r="F434" s="4">
        <v>2000</v>
      </c>
      <c r="G434" s="4">
        <v>1</v>
      </c>
      <c r="H434" s="4">
        <v>1</v>
      </c>
      <c r="I434" s="4" t="str">
        <f t="shared" si="95"/>
        <v>2:1000046:2000:1:1</v>
      </c>
    </row>
    <row r="435" spans="1:9">
      <c r="A435" s="4">
        <v>80</v>
      </c>
      <c r="B435" s="4" t="s">
        <v>1044</v>
      </c>
      <c r="C435" s="4">
        <v>1000052</v>
      </c>
      <c r="D435" s="4">
        <v>2</v>
      </c>
      <c r="E435" s="4">
        <f>C435</f>
        <v>1000052</v>
      </c>
      <c r="F435" s="4">
        <v>2000</v>
      </c>
      <c r="G435" s="4">
        <v>1</v>
      </c>
      <c r="H435" s="4">
        <v>1</v>
      </c>
      <c r="I435" s="4" t="str">
        <f t="shared" si="95"/>
        <v>2:1000052:2000:1:1</v>
      </c>
    </row>
    <row r="438" spans="3:5">
      <c r="C438" s="4">
        <v>1000053</v>
      </c>
      <c r="D438" s="4" t="s">
        <v>1045</v>
      </c>
      <c r="E438" s="4" t="s">
        <v>235</v>
      </c>
    </row>
    <row r="439" spans="3:5">
      <c r="C439" s="4">
        <v>1000054</v>
      </c>
      <c r="D439" s="4" t="s">
        <v>1046</v>
      </c>
      <c r="E439" s="4" t="s">
        <v>99</v>
      </c>
    </row>
    <row r="440" spans="3:5">
      <c r="C440" s="4">
        <v>1000055</v>
      </c>
      <c r="D440" s="4" t="s">
        <v>1047</v>
      </c>
      <c r="E440" s="4" t="s">
        <v>100</v>
      </c>
    </row>
    <row r="441" spans="3:5">
      <c r="C441" s="4">
        <v>1000056</v>
      </c>
      <c r="D441" s="4" t="s">
        <v>1048</v>
      </c>
      <c r="E441" s="4" t="s">
        <v>101</v>
      </c>
    </row>
    <row r="442" spans="3:5">
      <c r="C442" s="4">
        <v>1000057</v>
      </c>
      <c r="D442" s="4" t="s">
        <v>1049</v>
      </c>
      <c r="E442" s="4" t="s">
        <v>102</v>
      </c>
    </row>
    <row r="443" spans="3:5">
      <c r="C443" s="4">
        <v>1000058</v>
      </c>
      <c r="D443" s="4" t="s">
        <v>1050</v>
      </c>
      <c r="E443" s="4" t="s">
        <v>103</v>
      </c>
    </row>
    <row r="444" spans="3:5">
      <c r="C444" s="4">
        <v>1000059</v>
      </c>
      <c r="D444" s="4" t="s">
        <v>1051</v>
      </c>
      <c r="E444" s="4" t="s">
        <v>104</v>
      </c>
    </row>
    <row r="445" spans="3:5">
      <c r="C445" s="4">
        <v>1000060</v>
      </c>
      <c r="D445" s="4" t="s">
        <v>1052</v>
      </c>
      <c r="E445" s="4" t="s">
        <v>105</v>
      </c>
    </row>
    <row r="448" spans="2:11">
      <c r="B448" s="4" t="s">
        <v>1053</v>
      </c>
      <c r="C448" s="4">
        <v>41001</v>
      </c>
      <c r="D448" s="4">
        <v>3</v>
      </c>
      <c r="E448" s="4">
        <f>C448</f>
        <v>41001</v>
      </c>
      <c r="F448" s="4">
        <v>3333</v>
      </c>
      <c r="G448" s="4">
        <v>1</v>
      </c>
      <c r="H448" s="4">
        <v>1</v>
      </c>
      <c r="I448" s="4" t="str">
        <f t="shared" ref="I448:I468" si="96">D448&amp;":"&amp;E448&amp;":"&amp;F448&amp;":"&amp;G448&amp;":"&amp;H448</f>
        <v>3:41001:3333:1:1</v>
      </c>
      <c r="K448" s="4" t="str">
        <f>I448&amp;","&amp;I449&amp;","&amp;I450</f>
        <v>3:41001:3333:1:1,3:42001:3333:1:1,3:43001:3334:1:1</v>
      </c>
    </row>
    <row r="449" spans="2:9">
      <c r="B449" s="4" t="s">
        <v>1054</v>
      </c>
      <c r="C449" s="4">
        <v>42001</v>
      </c>
      <c r="D449" s="4">
        <v>3</v>
      </c>
      <c r="E449" s="4">
        <f t="shared" ref="E449:E451" si="97">C449</f>
        <v>42001</v>
      </c>
      <c r="F449" s="4">
        <v>3333</v>
      </c>
      <c r="G449" s="4">
        <v>1</v>
      </c>
      <c r="H449" s="4">
        <v>1</v>
      </c>
      <c r="I449" s="4" t="str">
        <f t="shared" si="96"/>
        <v>3:42001:3333:1:1</v>
      </c>
    </row>
    <row r="450" spans="2:9">
      <c r="B450" s="4" t="s">
        <v>1055</v>
      </c>
      <c r="C450" s="4">
        <v>43001</v>
      </c>
      <c r="D450" s="4">
        <v>3</v>
      </c>
      <c r="E450" s="4">
        <f t="shared" si="97"/>
        <v>43001</v>
      </c>
      <c r="F450" s="4">
        <v>3334</v>
      </c>
      <c r="G450" s="4">
        <v>1</v>
      </c>
      <c r="H450" s="4">
        <v>1</v>
      </c>
      <c r="I450" s="4" t="str">
        <f t="shared" si="96"/>
        <v>3:43001:3334:1:1</v>
      </c>
    </row>
    <row r="451" spans="2:11">
      <c r="B451" s="4" t="s">
        <v>1056</v>
      </c>
      <c r="C451" s="4">
        <v>41002</v>
      </c>
      <c r="D451" s="4">
        <v>3</v>
      </c>
      <c r="E451" s="4">
        <f t="shared" si="97"/>
        <v>41002</v>
      </c>
      <c r="F451" s="4">
        <v>3333</v>
      </c>
      <c r="G451" s="4">
        <v>1</v>
      </c>
      <c r="H451" s="4">
        <v>1</v>
      </c>
      <c r="I451" s="4" t="str">
        <f t="shared" si="96"/>
        <v>3:41002:3333:1:1</v>
      </c>
      <c r="K451" s="4" t="str">
        <f t="shared" ref="K451" si="98">I451&amp;","&amp;I452&amp;","&amp;I453</f>
        <v>3:41002:3333:1:1,3:42002:3333:1:1,3:43002:3334:1:1</v>
      </c>
    </row>
    <row r="452" spans="2:9">
      <c r="B452" s="4" t="s">
        <v>1057</v>
      </c>
      <c r="C452" s="4">
        <v>42002</v>
      </c>
      <c r="D452" s="4">
        <v>3</v>
      </c>
      <c r="E452" s="4">
        <f t="shared" ref="E452:E468" si="99">C452</f>
        <v>42002</v>
      </c>
      <c r="F452" s="4">
        <v>3333</v>
      </c>
      <c r="G452" s="4">
        <v>1</v>
      </c>
      <c r="H452" s="4">
        <v>1</v>
      </c>
      <c r="I452" s="4" t="str">
        <f t="shared" si="96"/>
        <v>3:42002:3333:1:1</v>
      </c>
    </row>
    <row r="453" spans="2:9">
      <c r="B453" s="4" t="s">
        <v>1058</v>
      </c>
      <c r="C453" s="4">
        <v>43002</v>
      </c>
      <c r="D453" s="4">
        <v>3</v>
      </c>
      <c r="E453" s="4">
        <f t="shared" si="99"/>
        <v>43002</v>
      </c>
      <c r="F453" s="4">
        <v>3334</v>
      </c>
      <c r="G453" s="4">
        <v>1</v>
      </c>
      <c r="H453" s="4">
        <v>1</v>
      </c>
      <c r="I453" s="4" t="str">
        <f t="shared" si="96"/>
        <v>3:43002:3334:1:1</v>
      </c>
    </row>
    <row r="454" spans="2:11">
      <c r="B454" s="4" t="s">
        <v>1059</v>
      </c>
      <c r="C454" s="4">
        <v>41003</v>
      </c>
      <c r="D454" s="4">
        <v>3</v>
      </c>
      <c r="E454" s="4">
        <f t="shared" si="99"/>
        <v>41003</v>
      </c>
      <c r="F454" s="4">
        <v>3333</v>
      </c>
      <c r="G454" s="4">
        <v>1</v>
      </c>
      <c r="H454" s="4">
        <v>1</v>
      </c>
      <c r="I454" s="4" t="str">
        <f t="shared" si="96"/>
        <v>3:41003:3333:1:1</v>
      </c>
      <c r="K454" s="4" t="str">
        <f t="shared" ref="K454" si="100">I454&amp;","&amp;I455&amp;","&amp;I456</f>
        <v>3:41003:3333:1:1,3:42003:3333:1:1,3:43003:3334:1:1</v>
      </c>
    </row>
    <row r="455" spans="2:9">
      <c r="B455" s="4" t="s">
        <v>1060</v>
      </c>
      <c r="C455" s="4">
        <v>42003</v>
      </c>
      <c r="D455" s="4">
        <v>3</v>
      </c>
      <c r="E455" s="4">
        <f t="shared" si="99"/>
        <v>42003</v>
      </c>
      <c r="F455" s="4">
        <v>3333</v>
      </c>
      <c r="G455" s="4">
        <v>1</v>
      </c>
      <c r="H455" s="4">
        <v>1</v>
      </c>
      <c r="I455" s="4" t="str">
        <f t="shared" si="96"/>
        <v>3:42003:3333:1:1</v>
      </c>
    </row>
    <row r="456" spans="2:9">
      <c r="B456" s="4" t="s">
        <v>1061</v>
      </c>
      <c r="C456" s="4">
        <v>43003</v>
      </c>
      <c r="D456" s="4">
        <v>3</v>
      </c>
      <c r="E456" s="4">
        <f t="shared" si="99"/>
        <v>43003</v>
      </c>
      <c r="F456" s="4">
        <v>3334</v>
      </c>
      <c r="G456" s="4">
        <v>1</v>
      </c>
      <c r="H456" s="4">
        <v>1</v>
      </c>
      <c r="I456" s="4" t="str">
        <f t="shared" si="96"/>
        <v>3:43003:3334:1:1</v>
      </c>
    </row>
    <row r="457" spans="2:11">
      <c r="B457" s="4" t="s">
        <v>1062</v>
      </c>
      <c r="C457" s="4">
        <v>41004</v>
      </c>
      <c r="D457" s="4">
        <v>3</v>
      </c>
      <c r="E457" s="4">
        <f t="shared" si="99"/>
        <v>41004</v>
      </c>
      <c r="F457" s="4">
        <v>3333</v>
      </c>
      <c r="G457" s="4">
        <v>1</v>
      </c>
      <c r="H457" s="4">
        <v>1</v>
      </c>
      <c r="I457" s="4" t="str">
        <f t="shared" si="96"/>
        <v>3:41004:3333:1:1</v>
      </c>
      <c r="K457" s="4" t="str">
        <f t="shared" ref="K457" si="101">I457&amp;","&amp;I458&amp;","&amp;I459</f>
        <v>3:41004:3333:1:1,3:42004:3333:1:1,3:43004:3334:1:1</v>
      </c>
    </row>
    <row r="458" spans="2:9">
      <c r="B458" s="4" t="s">
        <v>1063</v>
      </c>
      <c r="C458" s="4">
        <v>42004</v>
      </c>
      <c r="D458" s="4">
        <v>3</v>
      </c>
      <c r="E458" s="4">
        <f t="shared" si="99"/>
        <v>42004</v>
      </c>
      <c r="F458" s="4">
        <v>3333</v>
      </c>
      <c r="G458" s="4">
        <v>1</v>
      </c>
      <c r="H458" s="4">
        <v>1</v>
      </c>
      <c r="I458" s="4" t="str">
        <f t="shared" si="96"/>
        <v>3:42004:3333:1:1</v>
      </c>
    </row>
    <row r="459" spans="2:9">
      <c r="B459" s="4" t="s">
        <v>1064</v>
      </c>
      <c r="C459" s="4">
        <v>43004</v>
      </c>
      <c r="D459" s="4">
        <v>3</v>
      </c>
      <c r="E459" s="4">
        <f t="shared" si="99"/>
        <v>43004</v>
      </c>
      <c r="F459" s="4">
        <v>3334</v>
      </c>
      <c r="G459" s="4">
        <v>1</v>
      </c>
      <c r="H459" s="4">
        <v>1</v>
      </c>
      <c r="I459" s="4" t="str">
        <f t="shared" si="96"/>
        <v>3:43004:3334:1:1</v>
      </c>
    </row>
    <row r="460" spans="2:11">
      <c r="B460" s="4" t="s">
        <v>1065</v>
      </c>
      <c r="C460" s="4">
        <v>41005</v>
      </c>
      <c r="D460" s="4">
        <v>3</v>
      </c>
      <c r="E460" s="4">
        <f t="shared" si="99"/>
        <v>41005</v>
      </c>
      <c r="F460" s="4">
        <v>3333</v>
      </c>
      <c r="G460" s="4">
        <v>1</v>
      </c>
      <c r="H460" s="4">
        <v>1</v>
      </c>
      <c r="I460" s="4" t="str">
        <f t="shared" si="96"/>
        <v>3:41005:3333:1:1</v>
      </c>
      <c r="K460" s="4" t="str">
        <f t="shared" ref="K460" si="102">I460&amp;","&amp;I461&amp;","&amp;I462</f>
        <v>3:41005:3333:1:1,3:42005:3333:1:1,3:43005:3334:1:1</v>
      </c>
    </row>
    <row r="461" spans="2:9">
      <c r="B461" s="4" t="s">
        <v>1066</v>
      </c>
      <c r="C461" s="4">
        <v>42005</v>
      </c>
      <c r="D461" s="4">
        <v>3</v>
      </c>
      <c r="E461" s="4">
        <f t="shared" si="99"/>
        <v>42005</v>
      </c>
      <c r="F461" s="4">
        <v>3333</v>
      </c>
      <c r="G461" s="4">
        <v>1</v>
      </c>
      <c r="H461" s="4">
        <v>1</v>
      </c>
      <c r="I461" s="4" t="str">
        <f t="shared" si="96"/>
        <v>3:42005:3333:1:1</v>
      </c>
    </row>
    <row r="462" spans="2:9">
      <c r="B462" s="4" t="s">
        <v>1067</v>
      </c>
      <c r="C462" s="4">
        <v>43005</v>
      </c>
      <c r="D462" s="4">
        <v>3</v>
      </c>
      <c r="E462" s="4">
        <f t="shared" si="99"/>
        <v>43005</v>
      </c>
      <c r="F462" s="4">
        <v>3334</v>
      </c>
      <c r="G462" s="4">
        <v>1</v>
      </c>
      <c r="H462" s="4">
        <v>1</v>
      </c>
      <c r="I462" s="4" t="str">
        <f t="shared" si="96"/>
        <v>3:43005:3334:1:1</v>
      </c>
    </row>
    <row r="463" spans="2:11">
      <c r="B463" s="4" t="s">
        <v>1068</v>
      </c>
      <c r="C463" s="4">
        <v>41006</v>
      </c>
      <c r="D463" s="4">
        <v>3</v>
      </c>
      <c r="E463" s="4">
        <f t="shared" si="99"/>
        <v>41006</v>
      </c>
      <c r="F463" s="4">
        <v>3333</v>
      </c>
      <c r="G463" s="4">
        <v>1</v>
      </c>
      <c r="H463" s="4">
        <v>1</v>
      </c>
      <c r="I463" s="4" t="str">
        <f t="shared" si="96"/>
        <v>3:41006:3333:1:1</v>
      </c>
      <c r="K463" s="4" t="str">
        <f t="shared" ref="K463" si="103">I463&amp;","&amp;I464&amp;","&amp;I465</f>
        <v>3:41006:3333:1:1,3:42006:3333:1:1,3:43006:3334:1:1</v>
      </c>
    </row>
    <row r="464" spans="2:9">
      <c r="B464" s="4" t="s">
        <v>1069</v>
      </c>
      <c r="C464" s="4">
        <v>42006</v>
      </c>
      <c r="D464" s="4">
        <v>3</v>
      </c>
      <c r="E464" s="4">
        <f t="shared" si="99"/>
        <v>42006</v>
      </c>
      <c r="F464" s="4">
        <v>3333</v>
      </c>
      <c r="G464" s="4">
        <v>1</v>
      </c>
      <c r="H464" s="4">
        <v>1</v>
      </c>
      <c r="I464" s="4" t="str">
        <f t="shared" si="96"/>
        <v>3:42006:3333:1:1</v>
      </c>
    </row>
    <row r="465" spans="2:9">
      <c r="B465" s="4" t="s">
        <v>1070</v>
      </c>
      <c r="C465" s="4">
        <v>43006</v>
      </c>
      <c r="D465" s="4">
        <v>3</v>
      </c>
      <c r="E465" s="4">
        <f t="shared" si="99"/>
        <v>43006</v>
      </c>
      <c r="F465" s="4">
        <v>3334</v>
      </c>
      <c r="G465" s="4">
        <v>1</v>
      </c>
      <c r="H465" s="4">
        <v>1</v>
      </c>
      <c r="I465" s="4" t="str">
        <f t="shared" si="96"/>
        <v>3:43006:3334:1:1</v>
      </c>
    </row>
    <row r="466" spans="2:11">
      <c r="B466" s="4" t="s">
        <v>1071</v>
      </c>
      <c r="C466" s="4">
        <v>41007</v>
      </c>
      <c r="D466" s="4">
        <v>3</v>
      </c>
      <c r="E466" s="4">
        <f t="shared" si="99"/>
        <v>41007</v>
      </c>
      <c r="F466" s="4">
        <v>3333</v>
      </c>
      <c r="G466" s="4">
        <v>1</v>
      </c>
      <c r="H466" s="4">
        <v>1</v>
      </c>
      <c r="I466" s="4" t="str">
        <f t="shared" si="96"/>
        <v>3:41007:3333:1:1</v>
      </c>
      <c r="K466" s="4" t="str">
        <f t="shared" ref="K466" si="104">I466&amp;","&amp;I467&amp;","&amp;I468</f>
        <v>3:41007:3333:1:1,3:42007:3333:1:1,3:43007:3334:1:1</v>
      </c>
    </row>
    <row r="467" spans="2:9">
      <c r="B467" s="4" t="s">
        <v>1072</v>
      </c>
      <c r="C467" s="4">
        <v>42007</v>
      </c>
      <c r="D467" s="4">
        <v>3</v>
      </c>
      <c r="E467" s="4">
        <f t="shared" si="99"/>
        <v>42007</v>
      </c>
      <c r="F467" s="4">
        <v>3333</v>
      </c>
      <c r="G467" s="4">
        <v>1</v>
      </c>
      <c r="H467" s="4">
        <v>1</v>
      </c>
      <c r="I467" s="4" t="str">
        <f t="shared" si="96"/>
        <v>3:42007:3333:1:1</v>
      </c>
    </row>
    <row r="468" spans="2:9">
      <c r="B468" s="4" t="s">
        <v>1073</v>
      </c>
      <c r="C468" s="4">
        <v>43007</v>
      </c>
      <c r="D468" s="4">
        <v>3</v>
      </c>
      <c r="E468" s="4">
        <f t="shared" si="99"/>
        <v>43007</v>
      </c>
      <c r="F468" s="4">
        <v>3334</v>
      </c>
      <c r="G468" s="4">
        <v>1</v>
      </c>
      <c r="H468" s="4">
        <v>1</v>
      </c>
      <c r="I468" s="4" t="str">
        <f t="shared" si="96"/>
        <v>3:43007:3334:1:1</v>
      </c>
    </row>
    <row r="472" spans="2:11">
      <c r="B472" s="4" t="s">
        <v>1074</v>
      </c>
      <c r="C472" s="4">
        <v>21001</v>
      </c>
      <c r="D472" s="4">
        <v>3</v>
      </c>
      <c r="E472" s="4">
        <f t="shared" ref="E472:E483" si="105">C472</f>
        <v>21001</v>
      </c>
      <c r="F472" s="4">
        <v>4000</v>
      </c>
      <c r="G472" s="4">
        <v>1</v>
      </c>
      <c r="H472" s="4">
        <v>1</v>
      </c>
      <c r="I472" s="4" t="str">
        <f t="shared" ref="I472:I487" si="106">D472&amp;":"&amp;E472&amp;":"&amp;F472&amp;":"&amp;G472&amp;":"&amp;H472</f>
        <v>3:21001:4000:1:1</v>
      </c>
      <c r="K472" s="4" t="str">
        <f t="shared" ref="K472:K481" si="107">I472&amp;","&amp;I473&amp;","&amp;I474</f>
        <v>3:21001:4000:1:1,3:22001:4000:1:1,3:23001:2000:1:1</v>
      </c>
    </row>
    <row r="473" spans="2:9">
      <c r="B473" s="4" t="s">
        <v>1075</v>
      </c>
      <c r="C473" s="4">
        <v>22001</v>
      </c>
      <c r="D473" s="4">
        <v>3</v>
      </c>
      <c r="E473" s="4">
        <f t="shared" si="105"/>
        <v>22001</v>
      </c>
      <c r="F473" s="4">
        <v>4000</v>
      </c>
      <c r="G473" s="4">
        <v>1</v>
      </c>
      <c r="H473" s="4">
        <v>1</v>
      </c>
      <c r="I473" s="4" t="str">
        <f t="shared" si="106"/>
        <v>3:22001:4000:1:1</v>
      </c>
    </row>
    <row r="474" spans="2:9">
      <c r="B474" s="4" t="s">
        <v>1076</v>
      </c>
      <c r="C474" s="4">
        <v>23001</v>
      </c>
      <c r="D474" s="4">
        <v>3</v>
      </c>
      <c r="E474" s="4">
        <f t="shared" si="105"/>
        <v>23001</v>
      </c>
      <c r="F474" s="4">
        <v>2000</v>
      </c>
      <c r="G474" s="4">
        <v>1</v>
      </c>
      <c r="H474" s="4">
        <v>1</v>
      </c>
      <c r="I474" s="4" t="str">
        <f t="shared" si="106"/>
        <v>3:23001:2000:1:1</v>
      </c>
    </row>
    <row r="475" spans="2:11">
      <c r="B475" s="4" t="s">
        <v>1077</v>
      </c>
      <c r="C475" s="4">
        <v>21002</v>
      </c>
      <c r="D475" s="4">
        <v>3</v>
      </c>
      <c r="E475" s="4">
        <f t="shared" si="105"/>
        <v>21002</v>
      </c>
      <c r="F475" s="4">
        <v>4000</v>
      </c>
      <c r="G475" s="4">
        <v>1</v>
      </c>
      <c r="H475" s="4">
        <v>1</v>
      </c>
      <c r="I475" s="4" t="str">
        <f t="shared" si="106"/>
        <v>3:21002:4000:1:1</v>
      </c>
      <c r="K475" s="4" t="str">
        <f t="shared" si="107"/>
        <v>3:21002:4000:1:1,3:22002:4000:1:1,3:23001:2000:1:1</v>
      </c>
    </row>
    <row r="476" spans="2:9">
      <c r="B476" s="4" t="s">
        <v>1078</v>
      </c>
      <c r="C476" s="4">
        <v>22002</v>
      </c>
      <c r="D476" s="4">
        <v>3</v>
      </c>
      <c r="E476" s="4">
        <f t="shared" si="105"/>
        <v>22002</v>
      </c>
      <c r="F476" s="4">
        <v>4000</v>
      </c>
      <c r="G476" s="4">
        <v>1</v>
      </c>
      <c r="H476" s="4">
        <v>1</v>
      </c>
      <c r="I476" s="4" t="str">
        <f t="shared" si="106"/>
        <v>3:22002:4000:1:1</v>
      </c>
    </row>
    <row r="477" spans="2:9">
      <c r="B477" s="4" t="s">
        <v>1076</v>
      </c>
      <c r="C477" s="4">
        <v>23001</v>
      </c>
      <c r="D477" s="4">
        <v>3</v>
      </c>
      <c r="E477" s="4">
        <f t="shared" si="105"/>
        <v>23001</v>
      </c>
      <c r="F477" s="4">
        <v>2000</v>
      </c>
      <c r="G477" s="4">
        <v>1</v>
      </c>
      <c r="H477" s="4">
        <v>1</v>
      </c>
      <c r="I477" s="4" t="str">
        <f t="shared" si="106"/>
        <v>3:23001:2000:1:1</v>
      </c>
    </row>
    <row r="478" spans="2:11">
      <c r="B478" s="4" t="s">
        <v>1079</v>
      </c>
      <c r="C478" s="4">
        <v>21003</v>
      </c>
      <c r="D478" s="4">
        <v>3</v>
      </c>
      <c r="E478" s="4">
        <f t="shared" si="105"/>
        <v>21003</v>
      </c>
      <c r="F478" s="4">
        <v>4000</v>
      </c>
      <c r="G478" s="4">
        <v>1</v>
      </c>
      <c r="H478" s="4">
        <v>1</v>
      </c>
      <c r="I478" s="4" t="str">
        <f t="shared" si="106"/>
        <v>3:21003:4000:1:1</v>
      </c>
      <c r="K478" s="4" t="str">
        <f t="shared" si="107"/>
        <v>3:21003:4000:1:1,3:22003:4000:1:1,3:23001:2000:1:1</v>
      </c>
    </row>
    <row r="479" spans="2:9">
      <c r="B479" s="4" t="s">
        <v>1080</v>
      </c>
      <c r="C479" s="4">
        <v>22003</v>
      </c>
      <c r="D479" s="4">
        <v>3</v>
      </c>
      <c r="E479" s="4">
        <f t="shared" si="105"/>
        <v>22003</v>
      </c>
      <c r="F479" s="4">
        <v>4000</v>
      </c>
      <c r="G479" s="4">
        <v>1</v>
      </c>
      <c r="H479" s="4">
        <v>1</v>
      </c>
      <c r="I479" s="4" t="str">
        <f t="shared" si="106"/>
        <v>3:22003:4000:1:1</v>
      </c>
    </row>
    <row r="480" spans="2:9">
      <c r="B480" s="4" t="s">
        <v>1076</v>
      </c>
      <c r="C480" s="4">
        <v>23001</v>
      </c>
      <c r="D480" s="4">
        <v>3</v>
      </c>
      <c r="E480" s="4">
        <f t="shared" si="105"/>
        <v>23001</v>
      </c>
      <c r="F480" s="4">
        <v>2000</v>
      </c>
      <c r="G480" s="4">
        <v>1</v>
      </c>
      <c r="H480" s="4">
        <v>1</v>
      </c>
      <c r="I480" s="4" t="str">
        <f t="shared" si="106"/>
        <v>3:23001:2000:1:1</v>
      </c>
    </row>
    <row r="481" spans="2:11">
      <c r="B481" s="4" t="s">
        <v>1081</v>
      </c>
      <c r="C481" s="4">
        <v>21004</v>
      </c>
      <c r="D481" s="4">
        <v>3</v>
      </c>
      <c r="E481" s="4">
        <f t="shared" si="105"/>
        <v>21004</v>
      </c>
      <c r="F481" s="4">
        <v>4000</v>
      </c>
      <c r="G481" s="4">
        <v>1</v>
      </c>
      <c r="H481" s="4">
        <v>1</v>
      </c>
      <c r="I481" s="4" t="str">
        <f t="shared" si="106"/>
        <v>3:21004:4000:1:1</v>
      </c>
      <c r="K481" s="4" t="str">
        <f t="shared" si="107"/>
        <v>3:21004:4000:1:1,3:22004:4000:1:1,3:23001:2000:1:1</v>
      </c>
    </row>
    <row r="482" spans="2:9">
      <c r="B482" s="4" t="s">
        <v>1082</v>
      </c>
      <c r="C482" s="4">
        <v>22004</v>
      </c>
      <c r="D482" s="4">
        <v>3</v>
      </c>
      <c r="E482" s="4">
        <f t="shared" si="105"/>
        <v>22004</v>
      </c>
      <c r="F482" s="4">
        <v>4000</v>
      </c>
      <c r="G482" s="4">
        <v>1</v>
      </c>
      <c r="H482" s="4">
        <v>1</v>
      </c>
      <c r="I482" s="4" t="str">
        <f t="shared" si="106"/>
        <v>3:22004:4000:1:1</v>
      </c>
    </row>
    <row r="483" spans="2:9">
      <c r="B483" s="4" t="s">
        <v>1076</v>
      </c>
      <c r="C483" s="4">
        <v>23001</v>
      </c>
      <c r="D483" s="4">
        <v>3</v>
      </c>
      <c r="E483" s="4">
        <f t="shared" si="105"/>
        <v>23001</v>
      </c>
      <c r="F483" s="4">
        <v>2000</v>
      </c>
      <c r="G483" s="4">
        <v>1</v>
      </c>
      <c r="H483" s="4">
        <v>1</v>
      </c>
      <c r="I483" s="4" t="str">
        <f t="shared" si="106"/>
        <v>3:23001:2000:1:1</v>
      </c>
    </row>
    <row r="485" spans="2:11">
      <c r="B485" s="4" t="s">
        <v>1083</v>
      </c>
      <c r="C485" s="4">
        <v>30001</v>
      </c>
      <c r="D485" s="4">
        <v>3</v>
      </c>
      <c r="E485" s="4">
        <f t="shared" ref="E485:E487" si="108">C485</f>
        <v>30001</v>
      </c>
      <c r="F485" s="4">
        <v>3000</v>
      </c>
      <c r="G485" s="4">
        <v>1</v>
      </c>
      <c r="H485" s="4">
        <v>1</v>
      </c>
      <c r="I485" s="4" t="str">
        <f t="shared" si="106"/>
        <v>3:30001:3000:1:1</v>
      </c>
      <c r="K485" s="4" t="str">
        <f t="shared" ref="K485" si="109">I485&amp;","&amp;I486&amp;","&amp;I487</f>
        <v>3:30001:3000:1:1,3:30002:3000:1:1,3:30003:3000:1:1</v>
      </c>
    </row>
    <row r="486" spans="2:9">
      <c r="B486" s="4" t="s">
        <v>1084</v>
      </c>
      <c r="C486" s="4">
        <v>30002</v>
      </c>
      <c r="D486" s="4">
        <v>3</v>
      </c>
      <c r="E486" s="4">
        <f t="shared" si="108"/>
        <v>30002</v>
      </c>
      <c r="F486" s="4">
        <v>3000</v>
      </c>
      <c r="G486" s="4">
        <v>1</v>
      </c>
      <c r="H486" s="4">
        <v>1</v>
      </c>
      <c r="I486" s="4" t="str">
        <f t="shared" si="106"/>
        <v>3:30002:3000:1:1</v>
      </c>
    </row>
    <row r="487" spans="2:9">
      <c r="B487" s="4" t="s">
        <v>1085</v>
      </c>
      <c r="C487" s="4">
        <v>30003</v>
      </c>
      <c r="D487" s="4">
        <v>3</v>
      </c>
      <c r="E487" s="4">
        <f t="shared" si="108"/>
        <v>30003</v>
      </c>
      <c r="F487" s="4">
        <v>3000</v>
      </c>
      <c r="G487" s="4">
        <v>1</v>
      </c>
      <c r="H487" s="4">
        <v>1</v>
      </c>
      <c r="I487" s="4" t="str">
        <f t="shared" si="106"/>
        <v>3:30003:3000:1:1</v>
      </c>
    </row>
    <row r="489" spans="2:11">
      <c r="B489" s="4" t="s">
        <v>1083</v>
      </c>
      <c r="C489" s="4">
        <v>30001</v>
      </c>
      <c r="D489" s="4">
        <v>3</v>
      </c>
      <c r="E489" s="4">
        <f t="shared" ref="E489:E491" si="110">C489</f>
        <v>30001</v>
      </c>
      <c r="F489" s="4">
        <v>3000</v>
      </c>
      <c r="G489" s="4">
        <v>1</v>
      </c>
      <c r="H489" s="4">
        <v>2</v>
      </c>
      <c r="I489" s="4" t="str">
        <f t="shared" ref="I489:I491" si="111">D489&amp;":"&amp;E489&amp;":"&amp;F489&amp;":"&amp;G489&amp;":"&amp;H489</f>
        <v>3:30001:3000:1:2</v>
      </c>
      <c r="K489" s="4" t="str">
        <f t="shared" ref="K489" si="112">I489&amp;","&amp;I490&amp;","&amp;I491</f>
        <v>3:30001:3000:1:2,3:30002:3000:1:2,3:30003:3000:1:2</v>
      </c>
    </row>
    <row r="490" spans="2:9">
      <c r="B490" s="4" t="s">
        <v>1084</v>
      </c>
      <c r="C490" s="4">
        <v>30002</v>
      </c>
      <c r="D490" s="4">
        <v>3</v>
      </c>
      <c r="E490" s="4">
        <f t="shared" si="110"/>
        <v>30002</v>
      </c>
      <c r="F490" s="4">
        <v>3000</v>
      </c>
      <c r="G490" s="4">
        <v>1</v>
      </c>
      <c r="H490" s="4">
        <v>2</v>
      </c>
      <c r="I490" s="4" t="str">
        <f t="shared" si="111"/>
        <v>3:30002:3000:1:2</v>
      </c>
    </row>
    <row r="491" spans="2:9">
      <c r="B491" s="4" t="s">
        <v>1085</v>
      </c>
      <c r="C491" s="4">
        <v>30003</v>
      </c>
      <c r="D491" s="4">
        <v>3</v>
      </c>
      <c r="E491" s="4">
        <f t="shared" si="110"/>
        <v>30003</v>
      </c>
      <c r="F491" s="4">
        <v>3000</v>
      </c>
      <c r="G491" s="4">
        <v>1</v>
      </c>
      <c r="H491" s="4">
        <v>2</v>
      </c>
      <c r="I491" s="4" t="str">
        <f t="shared" si="111"/>
        <v>3:30003:3000:1:2</v>
      </c>
    </row>
    <row r="493" spans="2:11">
      <c r="B493" s="4" t="s">
        <v>1083</v>
      </c>
      <c r="C493" s="4">
        <v>30001</v>
      </c>
      <c r="D493" s="4">
        <v>3</v>
      </c>
      <c r="E493" s="4">
        <f t="shared" ref="E493:E495" si="113">C493</f>
        <v>30001</v>
      </c>
      <c r="F493" s="4">
        <v>3000</v>
      </c>
      <c r="G493" s="4">
        <v>1</v>
      </c>
      <c r="H493" s="4">
        <v>3</v>
      </c>
      <c r="I493" s="4" t="str">
        <f t="shared" ref="I493:I495" si="114">D493&amp;":"&amp;E493&amp;":"&amp;F493&amp;":"&amp;G493&amp;":"&amp;H493</f>
        <v>3:30001:3000:1:3</v>
      </c>
      <c r="K493" s="4" t="str">
        <f t="shared" ref="K493" si="115">I493&amp;","&amp;I494&amp;","&amp;I495</f>
        <v>3:30001:3000:1:3,3:30002:3000:1:3,3:30003:3000:1:3</v>
      </c>
    </row>
    <row r="494" spans="2:9">
      <c r="B494" s="4" t="s">
        <v>1084</v>
      </c>
      <c r="C494" s="4">
        <v>30002</v>
      </c>
      <c r="D494" s="4">
        <v>3</v>
      </c>
      <c r="E494" s="4">
        <f t="shared" si="113"/>
        <v>30002</v>
      </c>
      <c r="F494" s="4">
        <v>3000</v>
      </c>
      <c r="G494" s="4">
        <v>1</v>
      </c>
      <c r="H494" s="4">
        <v>3</v>
      </c>
      <c r="I494" s="4" t="str">
        <f t="shared" si="114"/>
        <v>3:30002:3000:1:3</v>
      </c>
    </row>
    <row r="495" spans="2:9">
      <c r="B495" s="4" t="s">
        <v>1085</v>
      </c>
      <c r="C495" s="4">
        <v>30003</v>
      </c>
      <c r="D495" s="4">
        <v>3</v>
      </c>
      <c r="E495" s="4">
        <f t="shared" si="113"/>
        <v>30003</v>
      </c>
      <c r="F495" s="4">
        <v>3000</v>
      </c>
      <c r="G495" s="4">
        <v>1</v>
      </c>
      <c r="H495" s="4">
        <v>3</v>
      </c>
      <c r="I495" s="4" t="str">
        <f t="shared" si="114"/>
        <v>3:30003:3000:1:3</v>
      </c>
    </row>
    <row r="497" spans="2:11">
      <c r="B497" s="4" t="s">
        <v>1083</v>
      </c>
      <c r="C497" s="4">
        <v>30001</v>
      </c>
      <c r="D497" s="4">
        <v>3</v>
      </c>
      <c r="E497" s="4">
        <f t="shared" ref="E497:E499" si="116">C497</f>
        <v>30001</v>
      </c>
      <c r="F497" s="4">
        <v>3000</v>
      </c>
      <c r="G497" s="4">
        <v>2</v>
      </c>
      <c r="H497" s="4">
        <v>4</v>
      </c>
      <c r="I497" s="4" t="str">
        <f t="shared" ref="I497:I499" si="117">D497&amp;":"&amp;E497&amp;":"&amp;F497&amp;":"&amp;G497&amp;":"&amp;H497</f>
        <v>3:30001:3000:2:4</v>
      </c>
      <c r="K497" s="4" t="str">
        <f t="shared" ref="K497" si="118">I497&amp;","&amp;I498&amp;","&amp;I499</f>
        <v>3:30001:3000:2:4,3:30002:3000:2:4,3:30003:3000:2:4</v>
      </c>
    </row>
    <row r="498" spans="2:9">
      <c r="B498" s="4" t="s">
        <v>1084</v>
      </c>
      <c r="C498" s="4">
        <v>30002</v>
      </c>
      <c r="D498" s="4">
        <v>3</v>
      </c>
      <c r="E498" s="4">
        <f t="shared" si="116"/>
        <v>30002</v>
      </c>
      <c r="F498" s="4">
        <v>3000</v>
      </c>
      <c r="G498" s="4">
        <v>2</v>
      </c>
      <c r="H498" s="4">
        <v>4</v>
      </c>
      <c r="I498" s="4" t="str">
        <f t="shared" si="117"/>
        <v>3:30002:3000:2:4</v>
      </c>
    </row>
    <row r="499" spans="2:9">
      <c r="B499" s="4" t="s">
        <v>1085</v>
      </c>
      <c r="C499" s="4">
        <v>30003</v>
      </c>
      <c r="D499" s="4">
        <v>3</v>
      </c>
      <c r="E499" s="4">
        <f t="shared" si="116"/>
        <v>30003</v>
      </c>
      <c r="F499" s="4">
        <v>3000</v>
      </c>
      <c r="G499" s="4">
        <v>2</v>
      </c>
      <c r="H499" s="4">
        <v>4</v>
      </c>
      <c r="I499" s="4" t="str">
        <f t="shared" si="117"/>
        <v>3:30003:3000:2:4</v>
      </c>
    </row>
  </sheetData>
  <sortState ref="B449:D469">
    <sortCondition ref="D449:D469"/>
  </sortState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2:AM84"/>
  <sheetViews>
    <sheetView workbookViewId="0">
      <pane xSplit="1" ySplit="4" topLeftCell="B59" activePane="bottomRight" state="frozen"/>
      <selection/>
      <selection pane="topRight"/>
      <selection pane="bottomLeft"/>
      <selection pane="bottomRight" activeCell="A57" sqref="A57"/>
    </sheetView>
  </sheetViews>
  <sheetFormatPr defaultColWidth="9" defaultRowHeight="14.25"/>
  <cols>
    <col min="1" max="1" width="5" style="4" customWidth="1"/>
    <col min="2" max="5" width="4.5" style="4" customWidth="1"/>
    <col min="6" max="7" width="8" style="4" customWidth="1"/>
    <col min="8" max="8" width="7.125" style="4" customWidth="1"/>
    <col min="9" max="12" width="4.5" style="4" customWidth="1"/>
    <col min="13" max="13" width="1.375" style="6" customWidth="1"/>
    <col min="14" max="16" width="8" style="4" customWidth="1"/>
    <col min="17" max="17" width="1.375" style="6" customWidth="1"/>
    <col min="18" max="18" width="10.5" style="4" customWidth="1"/>
    <col min="19" max="21" width="7.5" style="4" customWidth="1"/>
    <col min="22" max="22" width="1.375" style="6" customWidth="1"/>
    <col min="23" max="23" width="4.375" style="7" customWidth="1"/>
    <col min="24" max="30" width="4.5" style="7" customWidth="1"/>
    <col min="31" max="33" width="8" style="4" customWidth="1"/>
    <col min="34" max="34" width="1.375" style="6" customWidth="1"/>
    <col min="35" max="35" width="9" style="4"/>
    <col min="36" max="37" width="5.875" style="4" customWidth="1"/>
    <col min="38" max="38" width="1.375" style="6" customWidth="1"/>
    <col min="39" max="16384" width="9" style="4"/>
  </cols>
  <sheetData>
    <row r="2" spans="14:39">
      <c r="N2" s="4" t="s">
        <v>1086</v>
      </c>
      <c r="R2" s="4" t="s">
        <v>1087</v>
      </c>
      <c r="AE2" s="4" t="s">
        <v>1088</v>
      </c>
      <c r="AI2" s="4" t="s">
        <v>1089</v>
      </c>
      <c r="AM2" s="4" t="s">
        <v>1090</v>
      </c>
    </row>
    <row r="3" spans="19:37">
      <c r="S3" s="4">
        <f>装备强化!$J$16</f>
        <v>10</v>
      </c>
      <c r="T3" s="4">
        <f>装备强化!$J$17</f>
        <v>5</v>
      </c>
      <c r="U3" s="4">
        <f>装备强化!$J$18</f>
        <v>5</v>
      </c>
      <c r="W3" s="7">
        <f>装备设定!L22</f>
        <v>1</v>
      </c>
      <c r="X3" s="7">
        <f>装备设定!L23</f>
        <v>7</v>
      </c>
      <c r="Y3" s="7">
        <f>装备设定!L24</f>
        <v>5</v>
      </c>
      <c r="Z3" s="7">
        <f>装备设定!L25</f>
        <v>8</v>
      </c>
      <c r="AA3" s="7">
        <f>装备设定!L26</f>
        <v>2</v>
      </c>
      <c r="AB3" s="7">
        <f>装备设定!L27</f>
        <v>4</v>
      </c>
      <c r="AC3" s="7">
        <f>装备设定!L28</f>
        <v>6</v>
      </c>
      <c r="AD3" s="7">
        <f>装备设定!L29</f>
        <v>3</v>
      </c>
      <c r="AE3" s="4">
        <v>5</v>
      </c>
      <c r="AF3" s="4">
        <v>6</v>
      </c>
      <c r="AG3" s="4">
        <v>7</v>
      </c>
      <c r="AI3" s="4">
        <v>0.35</v>
      </c>
      <c r="AJ3" s="4">
        <v>0.35</v>
      </c>
      <c r="AK3" s="4">
        <v>0.35</v>
      </c>
    </row>
    <row r="4" spans="2:37">
      <c r="B4" s="4" t="s">
        <v>77</v>
      </c>
      <c r="C4" s="4" t="s">
        <v>10</v>
      </c>
      <c r="D4" s="4" t="s">
        <v>106</v>
      </c>
      <c r="E4" s="4" t="s">
        <v>17</v>
      </c>
      <c r="F4" s="5" t="s">
        <v>1091</v>
      </c>
      <c r="G4" s="5" t="s">
        <v>1092</v>
      </c>
      <c r="H4" s="4" t="s">
        <v>1093</v>
      </c>
      <c r="N4" s="4" t="s">
        <v>1094</v>
      </c>
      <c r="O4" s="4" t="s">
        <v>1095</v>
      </c>
      <c r="P4" s="4" t="s">
        <v>1096</v>
      </c>
      <c r="R4" s="4" t="s">
        <v>1097</v>
      </c>
      <c r="S4" s="4" t="s">
        <v>1098</v>
      </c>
      <c r="T4" s="4" t="s">
        <v>1099</v>
      </c>
      <c r="U4" s="4" t="s">
        <v>1100</v>
      </c>
      <c r="W4" s="7" t="s">
        <v>198</v>
      </c>
      <c r="X4" s="7" t="s">
        <v>202</v>
      </c>
      <c r="Y4" s="7" t="s">
        <v>206</v>
      </c>
      <c r="Z4" s="7" t="s">
        <v>209</v>
      </c>
      <c r="AA4" s="7" t="s">
        <v>212</v>
      </c>
      <c r="AB4" s="7" t="s">
        <v>215</v>
      </c>
      <c r="AC4" s="7" t="s">
        <v>218</v>
      </c>
      <c r="AD4" s="7" t="s">
        <v>221</v>
      </c>
      <c r="AE4" s="4" t="s">
        <v>10</v>
      </c>
      <c r="AF4" s="4" t="s">
        <v>106</v>
      </c>
      <c r="AG4" s="4" t="s">
        <v>17</v>
      </c>
      <c r="AI4" s="4" t="s">
        <v>10</v>
      </c>
      <c r="AJ4" s="4" t="s">
        <v>106</v>
      </c>
      <c r="AK4" s="4" t="s">
        <v>17</v>
      </c>
    </row>
    <row r="5" spans="1:37">
      <c r="A5" s="4">
        <f>INT(C5*基础设定!$D$9+D5*基础设定!$D$11+E5*基础设定!$D$14)</f>
        <v>470</v>
      </c>
      <c r="B5" s="4">
        <v>1</v>
      </c>
      <c r="C5" s="4">
        <f>N5+AE5+AI5+S5</f>
        <v>62.1</v>
      </c>
      <c r="D5" s="4">
        <f t="shared" ref="D5:E5" si="0">O5+AF5+AJ5+T5</f>
        <v>22.5</v>
      </c>
      <c r="E5" s="4">
        <f t="shared" si="0"/>
        <v>12.1</v>
      </c>
      <c r="F5" s="4">
        <f>D5-E5</f>
        <v>10.4</v>
      </c>
      <c r="G5" s="4">
        <f>C5/F5</f>
        <v>5.97115384615385</v>
      </c>
      <c r="H5" s="4">
        <f>D5*1.2+20</f>
        <v>47</v>
      </c>
      <c r="I5" s="4">
        <f>H5-E5</f>
        <v>34.9</v>
      </c>
      <c r="J5" s="4">
        <f>C5/I5</f>
        <v>1.77936962750716</v>
      </c>
      <c r="N5" s="4">
        <f>职业基础属性!D$3*LOOKUP($B5,职业基础属性!$M$8:$M$16,职业基础属性!$O$8:$O$16)</f>
        <v>50</v>
      </c>
      <c r="O5" s="4">
        <f>职业基础属性!F$3*LOOKUP($B5,职业基础属性!$M$8:$M$16,职业基础属性!$O$8:$O$16)</f>
        <v>10</v>
      </c>
      <c r="P5" s="4">
        <f>职业基础属性!I$3*LOOKUP($B5,职业基础属性!$M$8:$M$16,职业基础属性!$O$8:$O$16)</f>
        <v>5</v>
      </c>
      <c r="R5" s="4">
        <v>1</v>
      </c>
      <c r="S5" s="4">
        <f>S$3*$R5</f>
        <v>10</v>
      </c>
      <c r="T5" s="4">
        <f t="shared" ref="T5:U20" si="1">T$3*$R5</f>
        <v>5</v>
      </c>
      <c r="U5" s="4">
        <f t="shared" si="1"/>
        <v>5</v>
      </c>
      <c r="W5" s="7" t="str">
        <f>IFERROR(VLOOKUP($B5&amp;"级"&amp;W$4,装备强化!$M:$N,2,0),W4)</f>
        <v>10级通用武器</v>
      </c>
      <c r="AE5" s="4">
        <f>IFERROR(VLOOKUP($W5,装备强化!$N:$T,AE$3,0),0)+IFERROR(VLOOKUP($X5,装备强化!$N:$T,AE$3,0),0)+IFERROR(VLOOKUP($Y5,装备强化!$N:$T,AE$3,0),0)+IFERROR(VLOOKUP($Z5,装备强化!$N:$T,AE$3,0),0)+IFERROR(VLOOKUP($AA5,装备强化!$N:$T,AE$3,0),0)+IFERROR(VLOOKUP($AB5,装备强化!$N:$T,AE$3,0),0)+IFERROR(VLOOKUP($AC5,装备强化!$N:$T,AE$3,0)*2,0)+IFERROR(VLOOKUP($AD5,装备强化!$N:$T,AE$3,0)*2,0)</f>
        <v>0</v>
      </c>
      <c r="AF5" s="4">
        <f>IFERROR(VLOOKUP($W5,装备强化!$N:$T,AF$3,0),0)+IFERROR(VLOOKUP($X5,装备强化!$N:$T,AF$3,0),0)+IFERROR(VLOOKUP($Y5,装备强化!$N:$T,AF$3,0),0)+IFERROR(VLOOKUP($Z5,装备强化!$N:$T,AF$3,0),0)+IFERROR(VLOOKUP($AA5,装备强化!$N:$T,AF$3,0),0)+IFERROR(VLOOKUP($AB5,装备强化!$N:$T,AF$3,0),0)+IFERROR(VLOOKUP($AC5,装备强化!$N:$T,AF$3,0)*2,0)+IFERROR(VLOOKUP($AD5,装备强化!$N:$T,AF$3,0)*2,0)</f>
        <v>5.4</v>
      </c>
      <c r="AG5" s="4">
        <f>IFERROR(VLOOKUP($W5,装备强化!$N:$T,AG$3,0),0)+IFERROR(VLOOKUP($X5,装备强化!$N:$T,AG$3,0),0)+IFERROR(VLOOKUP($Y5,装备强化!$N:$T,AG$3,0),0)+IFERROR(VLOOKUP($Z5,装备强化!$N:$T,AG$3,0),0)+IFERROR(VLOOKUP($AA5,装备强化!$N:$T,AG$3,0),0)+IFERROR(VLOOKUP($AB5,装备强化!$N:$T,AG$3,0),0)+IFERROR(VLOOKUP($AC5,装备强化!$N:$T,AG$3,0)*2,0)+IFERROR(VLOOKUP($AD5,装备强化!$N:$T,AG$3,0)*2,0)</f>
        <v>0</v>
      </c>
      <c r="AI5" s="4">
        <f>LOOKUP($B5,装备设定!$B$48:$B$55,装备设定!$F$48:$F$55)*(COUNTA($W5:$AB5)+COUNTA($AC5:$AD5)*2)*AI$3</f>
        <v>2.1</v>
      </c>
      <c r="AJ5" s="4">
        <f>LOOKUP($B5,装备设定!$B$48:$B$55,装备设定!$F$48:$F$55)*(COUNTA($W5:$AB5)+COUNTA($AC5:$AD5)*2)*AJ$3</f>
        <v>2.1</v>
      </c>
      <c r="AK5" s="4">
        <f>LOOKUP($B5,装备设定!$B$48:$B$55,装备设定!$F$48:$F$55)*(COUNTA($W5:$AB5)+COUNTA($AC5:$AD5)*2)*AK$3</f>
        <v>2.1</v>
      </c>
    </row>
    <row r="6" spans="1:37">
      <c r="A6" s="4">
        <f>INT(C6*基础设定!$D$9+D6*基础设定!$D$11+E6*基础设定!$D$14)</f>
        <v>737</v>
      </c>
      <c r="B6" s="4">
        <v>2</v>
      </c>
      <c r="C6" s="4">
        <f t="shared" ref="C6:C69" si="2">N6+AE6+AI6+S6</f>
        <v>102.95</v>
      </c>
      <c r="D6" s="4">
        <f t="shared" ref="D6:D69" si="3">O6+AF6+AJ6+T6</f>
        <v>31.3</v>
      </c>
      <c r="E6" s="4">
        <f t="shared" ref="E6:E69" si="4">P6+AG6+AK6+U6</f>
        <v>21.85</v>
      </c>
      <c r="F6" s="4">
        <f t="shared" ref="F6:F69" si="5">D6-E6</f>
        <v>9.45</v>
      </c>
      <c r="G6" s="4">
        <f t="shared" ref="G6:G69" si="6">C6/F6</f>
        <v>10.8941798941799</v>
      </c>
      <c r="H6" s="4">
        <f t="shared" ref="H6:H69" si="7">D6*1.2+20</f>
        <v>57.56</v>
      </c>
      <c r="I6" s="4">
        <f t="shared" ref="I6:I69" si="8">H6-E6</f>
        <v>35.71</v>
      </c>
      <c r="J6" s="4">
        <f t="shared" ref="J6:J69" si="9">C6/I6</f>
        <v>2.88294595351442</v>
      </c>
      <c r="N6" s="4">
        <f>N5+职业基础属性!D$3*LOOKUP($B6,职业基础属性!$M$8:$M$16,职业基础属性!$O$8:$O$16)</f>
        <v>58.5</v>
      </c>
      <c r="O6" s="4">
        <f>O5+职业基础属性!F$3*LOOKUP($B6,职业基础属性!$M$8:$M$16,职业基础属性!$O$8:$O$16)</f>
        <v>11.7</v>
      </c>
      <c r="P6" s="4">
        <f>P5+职业基础属性!I$3*LOOKUP($B6,职业基础属性!$M$8:$M$16,职业基础属性!$O$8:$O$16)</f>
        <v>5.85</v>
      </c>
      <c r="R6" s="4">
        <v>2</v>
      </c>
      <c r="S6" s="4">
        <f t="shared" ref="S6:U37" si="10">S$3*$R6</f>
        <v>20</v>
      </c>
      <c r="T6" s="4">
        <f t="shared" si="1"/>
        <v>10</v>
      </c>
      <c r="U6" s="4">
        <f t="shared" si="1"/>
        <v>10</v>
      </c>
      <c r="W6" s="7" t="str">
        <f>IFERROR(VLOOKUP($B6&amp;"级"&amp;W$4,装备强化!$M:$N,2,0),W5)</f>
        <v>10级通用武器</v>
      </c>
      <c r="AA6" s="7" t="str">
        <f>IFERROR(VLOOKUP($B6&amp;"级"&amp;AA$4,装备强化!$M:$N,2,0),AA5)</f>
        <v>10级通用鞋子</v>
      </c>
      <c r="AE6" s="4">
        <f>IFERROR(VLOOKUP($W6,装备强化!$N:$T,AE$3,0),0)+IFERROR(VLOOKUP($X6,装备强化!$N:$T,AE$3,0),0)+IFERROR(VLOOKUP($Y6,装备强化!$N:$T,AE$3,0),0)+IFERROR(VLOOKUP($Z6,装备强化!$N:$T,AE$3,0),0)+IFERROR(VLOOKUP($AA6,装备强化!$N:$T,AE$3,0),0)+IFERROR(VLOOKUP($AB6,装备强化!$N:$T,AE$3,0),0)+IFERROR(VLOOKUP($AC6,装备强化!$N:$T,AE$3,0)*2,0)+IFERROR(VLOOKUP($AD6,装备强化!$N:$T,AE$3,0)*2,0)</f>
        <v>20.25</v>
      </c>
      <c r="AF6" s="4">
        <f>IFERROR(VLOOKUP($W6,装备强化!$N:$T,AF$3,0),0)+IFERROR(VLOOKUP($X6,装备强化!$N:$T,AF$3,0),0)+IFERROR(VLOOKUP($Y6,装备强化!$N:$T,AF$3,0),0)+IFERROR(VLOOKUP($Z6,装备强化!$N:$T,AF$3,0),0)+IFERROR(VLOOKUP($AA6,装备强化!$N:$T,AF$3,0),0)+IFERROR(VLOOKUP($AB6,装备强化!$N:$T,AF$3,0),0)+IFERROR(VLOOKUP($AC6,装备强化!$N:$T,AF$3,0)*2,0)+IFERROR(VLOOKUP($AD6,装备强化!$N:$T,AF$3,0)*2,0)</f>
        <v>5.4</v>
      </c>
      <c r="AG6" s="4">
        <f>IFERROR(VLOOKUP($W6,装备强化!$N:$T,AG$3,0),0)+IFERROR(VLOOKUP($X6,装备强化!$N:$T,AG$3,0),0)+IFERROR(VLOOKUP($Y6,装备强化!$N:$T,AG$3,0),0)+IFERROR(VLOOKUP($Z6,装备强化!$N:$T,AG$3,0),0)+IFERROR(VLOOKUP($AA6,装备强化!$N:$T,AG$3,0),0)+IFERROR(VLOOKUP($AB6,装备强化!$N:$T,AG$3,0),0)+IFERROR(VLOOKUP($AC6,装备强化!$N:$T,AG$3,0)*2,0)+IFERROR(VLOOKUP($AD6,装备强化!$N:$T,AG$3,0)*2,0)</f>
        <v>1.8</v>
      </c>
      <c r="AI6" s="4">
        <f>LOOKUP($B6,装备设定!$B$48:$B$55,装备设定!$F$48:$F$55)*(COUNTA($W6:$AB6)+COUNTA($AC6:$AD6)*2)*AI$3</f>
        <v>4.2</v>
      </c>
      <c r="AJ6" s="4">
        <f>LOOKUP($B6,装备设定!$B$48:$B$55,装备设定!$F$48:$F$55)*(COUNTA($W6:$AB6)+COUNTA($AC6:$AD6)*2)*AJ$3</f>
        <v>4.2</v>
      </c>
      <c r="AK6" s="4">
        <f>LOOKUP($B6,装备设定!$B$48:$B$55,装备设定!$F$48:$F$55)*(COUNTA($W6:$AB6)+COUNTA($AC6:$AD6)*2)*AK$3</f>
        <v>4.2</v>
      </c>
    </row>
    <row r="7" spans="1:37">
      <c r="A7" s="4">
        <f>INT(C7*基础设定!$D$9+D7*基础设定!$D$11+E7*基础设定!$D$14)</f>
        <v>1109</v>
      </c>
      <c r="B7" s="4">
        <v>3</v>
      </c>
      <c r="C7" s="4">
        <f t="shared" si="2"/>
        <v>166.15</v>
      </c>
      <c r="D7" s="4">
        <f t="shared" si="3"/>
        <v>45.8</v>
      </c>
      <c r="E7" s="4">
        <f t="shared" si="4"/>
        <v>31.9</v>
      </c>
      <c r="F7" s="4">
        <f t="shared" si="5"/>
        <v>13.9</v>
      </c>
      <c r="G7" s="4">
        <f t="shared" si="6"/>
        <v>11.9532374100719</v>
      </c>
      <c r="H7" s="4">
        <f t="shared" si="7"/>
        <v>74.96</v>
      </c>
      <c r="I7" s="4">
        <f t="shared" si="8"/>
        <v>43.06</v>
      </c>
      <c r="J7" s="4">
        <f t="shared" si="9"/>
        <v>3.8585694379935</v>
      </c>
      <c r="N7" s="4">
        <f>N6+职业基础属性!D$3*LOOKUP($B7,职业基础属性!$M$8:$M$16,职业基础属性!$O$8:$O$16)</f>
        <v>67</v>
      </c>
      <c r="O7" s="4">
        <f>O6+职业基础属性!F$3*LOOKUP($B7,职业基础属性!$M$8:$M$16,职业基础属性!$O$8:$O$16)</f>
        <v>13.4</v>
      </c>
      <c r="P7" s="4">
        <f>P6+职业基础属性!I$3*LOOKUP($B7,职业基础属性!$M$8:$M$16,职业基础属性!$O$8:$O$16)</f>
        <v>6.7</v>
      </c>
      <c r="R7" s="4">
        <v>3</v>
      </c>
      <c r="S7" s="4">
        <f t="shared" si="10"/>
        <v>30</v>
      </c>
      <c r="T7" s="4">
        <f t="shared" si="1"/>
        <v>15</v>
      </c>
      <c r="U7" s="4">
        <f t="shared" si="1"/>
        <v>15</v>
      </c>
      <c r="W7" s="7" t="str">
        <f>IFERROR(VLOOKUP($B7&amp;"级"&amp;W$4,装备强化!$M:$N,2,0),W6)</f>
        <v>10级通用武器</v>
      </c>
      <c r="AA7" s="7" t="str">
        <f>IFERROR(VLOOKUP($B7&amp;"级"&amp;AA$4,装备强化!$M:$N,2,0),AA6)</f>
        <v>10级通用鞋子</v>
      </c>
      <c r="AD7" s="7" t="str">
        <f>IFERROR(VLOOKUP($B7&amp;"级"&amp;AD$4,装备强化!$M:$N,2,0),AD6)</f>
        <v>10级通用戒指</v>
      </c>
      <c r="AE7" s="4">
        <f>IFERROR(VLOOKUP($W7,装备强化!$N:$T,AE$3,0),0)+IFERROR(VLOOKUP($X7,装备强化!$N:$T,AE$3,0),0)+IFERROR(VLOOKUP($Y7,装备强化!$N:$T,AE$3,0),0)+IFERROR(VLOOKUP($Z7,装备强化!$N:$T,AE$3,0),0)+IFERROR(VLOOKUP($AA7,装备强化!$N:$T,AE$3,0),0)+IFERROR(VLOOKUP($AB7,装备强化!$N:$T,AE$3,0),0)+IFERROR(VLOOKUP($AC7,装备强化!$N:$T,AE$3,0)*2,0)+IFERROR(VLOOKUP($AD7,装备强化!$N:$T,AE$3,0)*2,0)</f>
        <v>60.75</v>
      </c>
      <c r="AF7" s="4">
        <f>IFERROR(VLOOKUP($W7,装备强化!$N:$T,AF$3,0),0)+IFERROR(VLOOKUP($X7,装备强化!$N:$T,AF$3,0),0)+IFERROR(VLOOKUP($Y7,装备强化!$N:$T,AF$3,0),0)+IFERROR(VLOOKUP($Z7,装备强化!$N:$T,AF$3,0),0)+IFERROR(VLOOKUP($AA7,装备强化!$N:$T,AF$3,0),0)+IFERROR(VLOOKUP($AB7,装备强化!$N:$T,AF$3,0),0)+IFERROR(VLOOKUP($AC7,装备强化!$N:$T,AF$3,0)*2,0)+IFERROR(VLOOKUP($AD7,装备强化!$N:$T,AF$3,0)*2,0)</f>
        <v>9</v>
      </c>
      <c r="AG7" s="4">
        <f>IFERROR(VLOOKUP($W7,装备强化!$N:$T,AG$3,0),0)+IFERROR(VLOOKUP($X7,装备强化!$N:$T,AG$3,0),0)+IFERROR(VLOOKUP($Y7,装备强化!$N:$T,AG$3,0),0)+IFERROR(VLOOKUP($Z7,装备强化!$N:$T,AG$3,0),0)+IFERROR(VLOOKUP($AA7,装备强化!$N:$T,AG$3,0),0)+IFERROR(VLOOKUP($AB7,装备强化!$N:$T,AG$3,0),0)+IFERROR(VLOOKUP($AC7,装备强化!$N:$T,AG$3,0)*2,0)+IFERROR(VLOOKUP($AD7,装备强化!$N:$T,AG$3,0)*2,0)</f>
        <v>1.8</v>
      </c>
      <c r="AI7" s="4">
        <f>LOOKUP($B7,装备设定!$B$48:$B$55,装备设定!$F$48:$F$55)*(COUNTA($W7:$AB7)+COUNTA($AC7:$AD7)*2)*AI$3</f>
        <v>8.4</v>
      </c>
      <c r="AJ7" s="4">
        <f>LOOKUP($B7,装备设定!$B$48:$B$55,装备设定!$F$48:$F$55)*(COUNTA($W7:$AB7)+COUNTA($AC7:$AD7)*2)*AJ$3</f>
        <v>8.4</v>
      </c>
      <c r="AK7" s="4">
        <f>LOOKUP($B7,装备设定!$B$48:$B$55,装备设定!$F$48:$F$55)*(COUNTA($W7:$AB7)+COUNTA($AC7:$AD7)*2)*AK$3</f>
        <v>8.4</v>
      </c>
    </row>
    <row r="8" spans="1:37">
      <c r="A8" s="4">
        <f>INT(C8*基础设定!$D$9+D8*基础设定!$D$11+E8*基础设定!$D$14)</f>
        <v>1354</v>
      </c>
      <c r="B8" s="4">
        <v>4</v>
      </c>
      <c r="C8" s="4">
        <f t="shared" si="2"/>
        <v>186.75</v>
      </c>
      <c r="D8" s="4">
        <f t="shared" si="3"/>
        <v>57.3</v>
      </c>
      <c r="E8" s="4">
        <f t="shared" si="4"/>
        <v>40.75</v>
      </c>
      <c r="F8" s="4">
        <f t="shared" si="5"/>
        <v>16.55</v>
      </c>
      <c r="G8" s="4">
        <f t="shared" si="6"/>
        <v>11.2839879154079</v>
      </c>
      <c r="H8" s="4">
        <f t="shared" si="7"/>
        <v>88.76</v>
      </c>
      <c r="I8" s="4">
        <f t="shared" si="8"/>
        <v>48.01</v>
      </c>
      <c r="J8" s="4">
        <f t="shared" si="9"/>
        <v>3.88981462195376</v>
      </c>
      <c r="N8" s="4">
        <f>N7+职业基础属性!D$3*LOOKUP($B8,职业基础属性!$M$8:$M$16,职业基础属性!$O$8:$O$16)</f>
        <v>75.5</v>
      </c>
      <c r="O8" s="4">
        <f>O7+职业基础属性!F$3*LOOKUP($B8,职业基础属性!$M$8:$M$16,职业基础属性!$O$8:$O$16)</f>
        <v>15.1</v>
      </c>
      <c r="P8" s="4">
        <f>P7+职业基础属性!I$3*LOOKUP($B8,职业基础属性!$M$8:$M$16,职业基础属性!$O$8:$O$16)</f>
        <v>7.55</v>
      </c>
      <c r="R8" s="4">
        <v>4</v>
      </c>
      <c r="S8" s="4">
        <f t="shared" si="10"/>
        <v>40</v>
      </c>
      <c r="T8" s="4">
        <f t="shared" si="1"/>
        <v>20</v>
      </c>
      <c r="U8" s="4">
        <f t="shared" si="1"/>
        <v>20</v>
      </c>
      <c r="W8" s="7" t="str">
        <f>IFERROR(VLOOKUP($B8&amp;"级"&amp;W$4,装备强化!$M:$N,2,0),W7)</f>
        <v>10级通用武器</v>
      </c>
      <c r="AA8" s="7" t="str">
        <f>IFERROR(VLOOKUP($B8&amp;"级"&amp;AA$4,装备强化!$M:$N,2,0),AA7)</f>
        <v>10级通用鞋子</v>
      </c>
      <c r="AB8" s="7" t="str">
        <f>IFERROR(VLOOKUP($B8&amp;"级"&amp;AB$4,装备强化!$M:$N,2,0),AB7)</f>
        <v>10级通用项链</v>
      </c>
      <c r="AD8" s="7" t="str">
        <f>IFERROR(VLOOKUP($B8&amp;"级"&amp;AD$4,装备强化!$M:$N,2,0),AD7)</f>
        <v>10级通用戒指</v>
      </c>
      <c r="AE8" s="4">
        <f>IFERROR(VLOOKUP($W8,装备强化!$N:$T,AE$3,0),0)+IFERROR(VLOOKUP($X8,装备强化!$N:$T,AE$3,0),0)+IFERROR(VLOOKUP($Y8,装备强化!$N:$T,AE$3,0),0)+IFERROR(VLOOKUP($Z8,装备强化!$N:$T,AE$3,0),0)+IFERROR(VLOOKUP($AA8,装备强化!$N:$T,AE$3,0),0)+IFERROR(VLOOKUP($AB8,装备强化!$N:$T,AE$3,0),0)+IFERROR(VLOOKUP($AC8,装备强化!$N:$T,AE$3,0)*2,0)+IFERROR(VLOOKUP($AD8,装备强化!$N:$T,AE$3,0)*2,0)</f>
        <v>60.75</v>
      </c>
      <c r="AF8" s="4">
        <f>IFERROR(VLOOKUP($W8,装备强化!$N:$T,AF$3,0),0)+IFERROR(VLOOKUP($X8,装备强化!$N:$T,AF$3,0),0)+IFERROR(VLOOKUP($Y8,装备强化!$N:$T,AF$3,0),0)+IFERROR(VLOOKUP($Z8,装备强化!$N:$T,AF$3,0),0)+IFERROR(VLOOKUP($AA8,装备强化!$N:$T,AF$3,0),0)+IFERROR(VLOOKUP($AB8,装备强化!$N:$T,AF$3,0),0)+IFERROR(VLOOKUP($AC8,装备强化!$N:$T,AF$3,0)*2,0)+IFERROR(VLOOKUP($AD8,装备强化!$N:$T,AF$3,0)*2,0)</f>
        <v>11.7</v>
      </c>
      <c r="AG8" s="4">
        <f>IFERROR(VLOOKUP($W8,装备强化!$N:$T,AG$3,0),0)+IFERROR(VLOOKUP($X8,装备强化!$N:$T,AG$3,0),0)+IFERROR(VLOOKUP($Y8,装备强化!$N:$T,AG$3,0),0)+IFERROR(VLOOKUP($Z8,装备强化!$N:$T,AG$3,0),0)+IFERROR(VLOOKUP($AA8,装备强化!$N:$T,AG$3,0),0)+IFERROR(VLOOKUP($AB8,装备强化!$N:$T,AG$3,0),0)+IFERROR(VLOOKUP($AC8,装备强化!$N:$T,AG$3,0)*2,0)+IFERROR(VLOOKUP($AD8,装备强化!$N:$T,AG$3,0)*2,0)</f>
        <v>2.7</v>
      </c>
      <c r="AI8" s="4">
        <f>LOOKUP($B8,装备设定!$B$48:$B$55,装备设定!$F$48:$F$55)*(COUNTA($W8:$AB8)+COUNTA($AC8:$AD8)*2)*AI$3</f>
        <v>10.5</v>
      </c>
      <c r="AJ8" s="4">
        <f>LOOKUP($B8,装备设定!$B$48:$B$55,装备设定!$F$48:$F$55)*(COUNTA($W8:$AB8)+COUNTA($AC8:$AD8)*2)*AJ$3</f>
        <v>10.5</v>
      </c>
      <c r="AK8" s="4">
        <f>LOOKUP($B8,装备设定!$B$48:$B$55,装备设定!$F$48:$F$55)*(COUNTA($W8:$AB8)+COUNTA($AC8:$AD8)*2)*AK$3</f>
        <v>10.5</v>
      </c>
    </row>
    <row r="9" spans="1:37">
      <c r="A9" s="4">
        <f>INT(C9*基础设定!$D$9+D9*基础设定!$D$11+E9*基础设定!$D$14)</f>
        <v>1666</v>
      </c>
      <c r="B9" s="4">
        <v>5</v>
      </c>
      <c r="C9" s="4">
        <f t="shared" si="2"/>
        <v>247.85</v>
      </c>
      <c r="D9" s="4">
        <f t="shared" si="3"/>
        <v>66.1</v>
      </c>
      <c r="E9" s="4">
        <f t="shared" si="4"/>
        <v>50.95</v>
      </c>
      <c r="F9" s="4">
        <f t="shared" si="5"/>
        <v>15.15</v>
      </c>
      <c r="G9" s="4">
        <f t="shared" si="6"/>
        <v>16.3597359735974</v>
      </c>
      <c r="H9" s="4">
        <f t="shared" si="7"/>
        <v>99.32</v>
      </c>
      <c r="I9" s="4">
        <f t="shared" si="8"/>
        <v>48.37</v>
      </c>
      <c r="J9" s="4">
        <f t="shared" si="9"/>
        <v>5.12404382881952</v>
      </c>
      <c r="N9" s="4">
        <f>N8+职业基础属性!D$3*LOOKUP($B9,职业基础属性!$M$8:$M$16,职业基础属性!$O$8:$O$16)</f>
        <v>84</v>
      </c>
      <c r="O9" s="4">
        <f>O8+职业基础属性!F$3*LOOKUP($B9,职业基础属性!$M$8:$M$16,职业基础属性!$O$8:$O$16)</f>
        <v>16.8</v>
      </c>
      <c r="P9" s="4">
        <f>P8+职业基础属性!I$3*LOOKUP($B9,职业基础属性!$M$8:$M$16,职业基础属性!$O$8:$O$16)</f>
        <v>8.4</v>
      </c>
      <c r="R9" s="4">
        <v>5</v>
      </c>
      <c r="S9" s="4">
        <f t="shared" si="10"/>
        <v>50</v>
      </c>
      <c r="T9" s="4">
        <f t="shared" si="1"/>
        <v>25</v>
      </c>
      <c r="U9" s="4">
        <f t="shared" si="1"/>
        <v>25</v>
      </c>
      <c r="W9" s="7" t="str">
        <f>IFERROR(VLOOKUP($B9&amp;"级"&amp;W$4,装备强化!$M:$N,2,0),W8)</f>
        <v>10级通用武器</v>
      </c>
      <c r="Y9" s="7" t="str">
        <f>IFERROR(VLOOKUP($B9&amp;"级"&amp;Y$4,装备强化!$M:$N,2,0),Y8)</f>
        <v>10级通用衣服</v>
      </c>
      <c r="AA9" s="7" t="str">
        <f>IFERROR(VLOOKUP($B9&amp;"级"&amp;AA$4,装备强化!$M:$N,2,0),AA8)</f>
        <v>10级通用鞋子</v>
      </c>
      <c r="AB9" s="7" t="str">
        <f>IFERROR(VLOOKUP($B9&amp;"级"&amp;AB$4,装备强化!$M:$N,2,0),AB8)</f>
        <v>10级通用项链</v>
      </c>
      <c r="AD9" s="7" t="str">
        <f>IFERROR(VLOOKUP($B9&amp;"级"&amp;AD$4,装备强化!$M:$N,2,0),AD8)</f>
        <v>10级通用戒指</v>
      </c>
      <c r="AE9" s="4">
        <f>IFERROR(VLOOKUP($W9,装备强化!$N:$T,AE$3,0),0)+IFERROR(VLOOKUP($X9,装备强化!$N:$T,AE$3,0),0)+IFERROR(VLOOKUP($Y9,装备强化!$N:$T,AE$3,0),0)+IFERROR(VLOOKUP($Z9,装备强化!$N:$T,AE$3,0),0)+IFERROR(VLOOKUP($AA9,装备强化!$N:$T,AE$3,0),0)+IFERROR(VLOOKUP($AB9,装备强化!$N:$T,AE$3,0),0)+IFERROR(VLOOKUP($AC9,装备强化!$N:$T,AE$3,0)*2,0)+IFERROR(VLOOKUP($AD9,装备强化!$N:$T,AE$3,0)*2,0)</f>
        <v>101.25</v>
      </c>
      <c r="AF9" s="4">
        <f>IFERROR(VLOOKUP($W9,装备强化!$N:$T,AF$3,0),0)+IFERROR(VLOOKUP($X9,装备强化!$N:$T,AF$3,0),0)+IFERROR(VLOOKUP($Y9,装备强化!$N:$T,AF$3,0),0)+IFERROR(VLOOKUP($Z9,装备强化!$N:$T,AF$3,0),0)+IFERROR(VLOOKUP($AA9,装备强化!$N:$T,AF$3,0),0)+IFERROR(VLOOKUP($AB9,装备强化!$N:$T,AF$3,0),0)+IFERROR(VLOOKUP($AC9,装备强化!$N:$T,AF$3,0)*2,0)+IFERROR(VLOOKUP($AD9,装备强化!$N:$T,AF$3,0)*2,0)</f>
        <v>11.7</v>
      </c>
      <c r="AG9" s="4">
        <f>IFERROR(VLOOKUP($W9,装备强化!$N:$T,AG$3,0),0)+IFERROR(VLOOKUP($X9,装备强化!$N:$T,AG$3,0),0)+IFERROR(VLOOKUP($Y9,装备强化!$N:$T,AG$3,0),0)+IFERROR(VLOOKUP($Z9,装备强化!$N:$T,AG$3,0),0)+IFERROR(VLOOKUP($AA9,装备强化!$N:$T,AG$3,0),0)+IFERROR(VLOOKUP($AB9,装备强化!$N:$T,AG$3,0),0)+IFERROR(VLOOKUP($AC9,装备强化!$N:$T,AG$3,0)*2,0)+IFERROR(VLOOKUP($AD9,装备强化!$N:$T,AG$3,0)*2,0)</f>
        <v>4.95</v>
      </c>
      <c r="AI9" s="4">
        <f>LOOKUP($B9,装备设定!$B$48:$B$55,装备设定!$F$48:$F$55)*(COUNTA($W9:$AB9)+COUNTA($AC9:$AD9)*2)*AI$3</f>
        <v>12.6</v>
      </c>
      <c r="AJ9" s="4">
        <f>LOOKUP($B9,装备设定!$B$48:$B$55,装备设定!$F$48:$F$55)*(COUNTA($W9:$AB9)+COUNTA($AC9:$AD9)*2)*AJ$3</f>
        <v>12.6</v>
      </c>
      <c r="AK9" s="4">
        <f>LOOKUP($B9,装备设定!$B$48:$B$55,装备设定!$F$48:$F$55)*(COUNTA($W9:$AB9)+COUNTA($AC9:$AD9)*2)*AK$3</f>
        <v>12.6</v>
      </c>
    </row>
    <row r="10" spans="1:37">
      <c r="A10" s="4">
        <f>INT(C10*基础设定!$D$9+D10*基础设定!$D$11+E10*基础设定!$D$14)</f>
        <v>2038</v>
      </c>
      <c r="B10" s="4">
        <v>6</v>
      </c>
      <c r="C10" s="4">
        <f t="shared" si="2"/>
        <v>311.05</v>
      </c>
      <c r="D10" s="4">
        <f t="shared" si="3"/>
        <v>80.6</v>
      </c>
      <c r="E10" s="4">
        <f t="shared" si="4"/>
        <v>61</v>
      </c>
      <c r="F10" s="4">
        <f t="shared" si="5"/>
        <v>19.6</v>
      </c>
      <c r="G10" s="4">
        <f t="shared" si="6"/>
        <v>15.8698979591837</v>
      </c>
      <c r="H10" s="4">
        <f t="shared" si="7"/>
        <v>116.72</v>
      </c>
      <c r="I10" s="4">
        <f t="shared" si="8"/>
        <v>55.72</v>
      </c>
      <c r="J10" s="4">
        <f t="shared" si="9"/>
        <v>5.58237616654702</v>
      </c>
      <c r="N10" s="4">
        <f>N9+职业基础属性!D$3*LOOKUP($B10,职业基础属性!$M$8:$M$16,职业基础属性!$O$8:$O$16)</f>
        <v>92.5</v>
      </c>
      <c r="O10" s="4">
        <f>O9+职业基础属性!F$3*LOOKUP($B10,职业基础属性!$M$8:$M$16,职业基础属性!$O$8:$O$16)</f>
        <v>18.5</v>
      </c>
      <c r="P10" s="4">
        <f>P9+职业基础属性!I$3*LOOKUP($B10,职业基础属性!$M$8:$M$16,职业基础属性!$O$8:$O$16)</f>
        <v>9.25</v>
      </c>
      <c r="R10" s="4">
        <v>6</v>
      </c>
      <c r="S10" s="4">
        <f t="shared" si="10"/>
        <v>60</v>
      </c>
      <c r="T10" s="4">
        <f t="shared" si="1"/>
        <v>30</v>
      </c>
      <c r="U10" s="4">
        <f t="shared" si="1"/>
        <v>30</v>
      </c>
      <c r="W10" s="7" t="str">
        <f>IFERROR(VLOOKUP($B10&amp;"级"&amp;W$4,装备强化!$M:$N,2,0),W9)</f>
        <v>10级通用武器</v>
      </c>
      <c r="Y10" s="7" t="str">
        <f>IFERROR(VLOOKUP($B10&amp;"级"&amp;Y$4,装备强化!$M:$N,2,0),Y9)</f>
        <v>10级通用衣服</v>
      </c>
      <c r="AA10" s="7" t="str">
        <f>IFERROR(VLOOKUP($B10&amp;"级"&amp;AA$4,装备强化!$M:$N,2,0),AA9)</f>
        <v>10级通用鞋子</v>
      </c>
      <c r="AB10" s="7" t="str">
        <f>IFERROR(VLOOKUP($B10&amp;"级"&amp;AB$4,装备强化!$M:$N,2,0),AB9)</f>
        <v>10级通用项链</v>
      </c>
      <c r="AC10" s="7" t="str">
        <f>IFERROR(VLOOKUP($B10&amp;"级"&amp;AC$4,装备强化!$M:$N,2,0),AC9)</f>
        <v>10级通用手镯</v>
      </c>
      <c r="AD10" s="7" t="str">
        <f>IFERROR(VLOOKUP($B10&amp;"级"&amp;AD$4,装备强化!$M:$N,2,0),AD9)</f>
        <v>10级通用戒指</v>
      </c>
      <c r="AE10" s="4">
        <f>IFERROR(VLOOKUP($W10,装备强化!$N:$T,AE$3,0),0)+IFERROR(VLOOKUP($X10,装备强化!$N:$T,AE$3,0),0)+IFERROR(VLOOKUP($Y10,装备强化!$N:$T,AE$3,0),0)+IFERROR(VLOOKUP($Z10,装备强化!$N:$T,AE$3,0),0)+IFERROR(VLOOKUP($AA10,装备强化!$N:$T,AE$3,0),0)+IFERROR(VLOOKUP($AB10,装备强化!$N:$T,AE$3,0),0)+IFERROR(VLOOKUP($AC10,装备强化!$N:$T,AE$3,0)*2,0)+IFERROR(VLOOKUP($AD10,装备强化!$N:$T,AE$3,0)*2,0)</f>
        <v>141.75</v>
      </c>
      <c r="AF10" s="4">
        <f>IFERROR(VLOOKUP($W10,装备强化!$N:$T,AF$3,0),0)+IFERROR(VLOOKUP($X10,装备强化!$N:$T,AF$3,0),0)+IFERROR(VLOOKUP($Y10,装备强化!$N:$T,AF$3,0),0)+IFERROR(VLOOKUP($Z10,装备强化!$N:$T,AF$3,0),0)+IFERROR(VLOOKUP($AA10,装备强化!$N:$T,AF$3,0),0)+IFERROR(VLOOKUP($AB10,装备强化!$N:$T,AF$3,0),0)+IFERROR(VLOOKUP($AC10,装备强化!$N:$T,AF$3,0)*2,0)+IFERROR(VLOOKUP($AD10,装备强化!$N:$T,AF$3,0)*2,0)</f>
        <v>15.3</v>
      </c>
      <c r="AG10" s="4">
        <f>IFERROR(VLOOKUP($W10,装备强化!$N:$T,AG$3,0),0)+IFERROR(VLOOKUP($X10,装备强化!$N:$T,AG$3,0),0)+IFERROR(VLOOKUP($Y10,装备强化!$N:$T,AG$3,0),0)+IFERROR(VLOOKUP($Z10,装备强化!$N:$T,AG$3,0),0)+IFERROR(VLOOKUP($AA10,装备强化!$N:$T,AG$3,0),0)+IFERROR(VLOOKUP($AB10,装备强化!$N:$T,AG$3,0),0)+IFERROR(VLOOKUP($AC10,装备强化!$N:$T,AG$3,0)*2,0)+IFERROR(VLOOKUP($AD10,装备强化!$N:$T,AG$3,0)*2,0)</f>
        <v>4.95</v>
      </c>
      <c r="AI10" s="4">
        <f>LOOKUP($B10,装备设定!$B$48:$B$55,装备设定!$F$48:$F$55)*(COUNTA($W10:$AB10)+COUNTA($AC10:$AD10)*2)*AI$3</f>
        <v>16.8</v>
      </c>
      <c r="AJ10" s="4">
        <f>LOOKUP($B10,装备设定!$B$48:$B$55,装备设定!$F$48:$F$55)*(COUNTA($W10:$AB10)+COUNTA($AC10:$AD10)*2)*AJ$3</f>
        <v>16.8</v>
      </c>
      <c r="AK10" s="4">
        <f>LOOKUP($B10,装备设定!$B$48:$B$55,装备设定!$F$48:$F$55)*(COUNTA($W10:$AB10)+COUNTA($AC10:$AD10)*2)*AK$3</f>
        <v>16.8</v>
      </c>
    </row>
    <row r="11" spans="1:37">
      <c r="A11" s="4">
        <f>INT(C11*基础设定!$D$9+D11*基础设定!$D$11+E11*基础设定!$D$14)</f>
        <v>2296</v>
      </c>
      <c r="B11" s="4">
        <v>7</v>
      </c>
      <c r="C11" s="4">
        <f t="shared" si="2"/>
        <v>331.65</v>
      </c>
      <c r="D11" s="4">
        <f t="shared" si="3"/>
        <v>92.1</v>
      </c>
      <c r="E11" s="4">
        <f t="shared" si="4"/>
        <v>71.2</v>
      </c>
      <c r="F11" s="4">
        <f t="shared" si="5"/>
        <v>20.9</v>
      </c>
      <c r="G11" s="4">
        <f t="shared" si="6"/>
        <v>15.8684210526316</v>
      </c>
      <c r="H11" s="4">
        <f t="shared" si="7"/>
        <v>130.52</v>
      </c>
      <c r="I11" s="4">
        <f t="shared" si="8"/>
        <v>59.32</v>
      </c>
      <c r="J11" s="4">
        <f t="shared" si="9"/>
        <v>5.59086311530681</v>
      </c>
      <c r="N11" s="4">
        <f>N10+职业基础属性!D$3*LOOKUP($B11,职业基础属性!$M$8:$M$16,职业基础属性!$O$8:$O$16)</f>
        <v>101</v>
      </c>
      <c r="O11" s="4">
        <f>O10+职业基础属性!F$3*LOOKUP($B11,职业基础属性!$M$8:$M$16,职业基础属性!$O$8:$O$16)</f>
        <v>20.2</v>
      </c>
      <c r="P11" s="4">
        <f>P10+职业基础属性!I$3*LOOKUP($B11,职业基础属性!$M$8:$M$16,职业基础属性!$O$8:$O$16)</f>
        <v>10.1</v>
      </c>
      <c r="R11" s="4">
        <v>7</v>
      </c>
      <c r="S11" s="4">
        <f t="shared" si="10"/>
        <v>70</v>
      </c>
      <c r="T11" s="4">
        <f t="shared" si="1"/>
        <v>35</v>
      </c>
      <c r="U11" s="4">
        <f t="shared" si="1"/>
        <v>35</v>
      </c>
      <c r="W11" s="7" t="str">
        <f>IFERROR(VLOOKUP($B11&amp;"级"&amp;W$4,装备强化!$M:$N,2,0),W10)</f>
        <v>10级通用武器</v>
      </c>
      <c r="X11" s="7" t="str">
        <f>IFERROR(VLOOKUP($B11&amp;"级"&amp;X$4,装备强化!$M:$N,2,0),X10)</f>
        <v>10级通用头盔</v>
      </c>
      <c r="Y11" s="7" t="str">
        <f>IFERROR(VLOOKUP($B11&amp;"级"&amp;Y$4,装备强化!$M:$N,2,0),Y10)</f>
        <v>10级通用衣服</v>
      </c>
      <c r="AA11" s="7" t="str">
        <f>IFERROR(VLOOKUP($B11&amp;"级"&amp;AA$4,装备强化!$M:$N,2,0),AA10)</f>
        <v>10级通用鞋子</v>
      </c>
      <c r="AB11" s="7" t="str">
        <f>IFERROR(VLOOKUP($B11&amp;"级"&amp;AB$4,装备强化!$M:$N,2,0),AB10)</f>
        <v>10级通用项链</v>
      </c>
      <c r="AC11" s="7" t="str">
        <f>IFERROR(VLOOKUP($B11&amp;"级"&amp;AC$4,装备强化!$M:$N,2,0),AC10)</f>
        <v>10级通用手镯</v>
      </c>
      <c r="AD11" s="7" t="str">
        <f>IFERROR(VLOOKUP($B11&amp;"级"&amp;AD$4,装备强化!$M:$N,2,0),AD10)</f>
        <v>10级通用戒指</v>
      </c>
      <c r="AE11" s="4">
        <f>IFERROR(VLOOKUP($W11,装备强化!$N:$T,AE$3,0),0)+IFERROR(VLOOKUP($X11,装备强化!$N:$T,AE$3,0),0)+IFERROR(VLOOKUP($Y11,装备强化!$N:$T,AE$3,0),0)+IFERROR(VLOOKUP($Z11,装备强化!$N:$T,AE$3,0),0)+IFERROR(VLOOKUP($AA11,装备强化!$N:$T,AE$3,0),0)+IFERROR(VLOOKUP($AB11,装备强化!$N:$T,AE$3,0),0)+IFERROR(VLOOKUP($AC11,装备强化!$N:$T,AE$3,0)*2,0)+IFERROR(VLOOKUP($AD11,装备强化!$N:$T,AE$3,0)*2,0)</f>
        <v>141.75</v>
      </c>
      <c r="AF11" s="4">
        <f>IFERROR(VLOOKUP($W11,装备强化!$N:$T,AF$3,0),0)+IFERROR(VLOOKUP($X11,装备强化!$N:$T,AF$3,0),0)+IFERROR(VLOOKUP($Y11,装备强化!$N:$T,AF$3,0),0)+IFERROR(VLOOKUP($Z11,装备强化!$N:$T,AF$3,0),0)+IFERROR(VLOOKUP($AA11,装备强化!$N:$T,AF$3,0),0)+IFERROR(VLOOKUP($AB11,装备强化!$N:$T,AF$3,0),0)+IFERROR(VLOOKUP($AC11,装备强化!$N:$T,AF$3,0)*2,0)+IFERROR(VLOOKUP($AD11,装备强化!$N:$T,AF$3,0)*2,0)</f>
        <v>18</v>
      </c>
      <c r="AG11" s="4">
        <f>IFERROR(VLOOKUP($W11,装备强化!$N:$T,AG$3,0),0)+IFERROR(VLOOKUP($X11,装备强化!$N:$T,AG$3,0),0)+IFERROR(VLOOKUP($Y11,装备强化!$N:$T,AG$3,0),0)+IFERROR(VLOOKUP($Z11,装备强化!$N:$T,AG$3,0),0)+IFERROR(VLOOKUP($AA11,装备强化!$N:$T,AG$3,0),0)+IFERROR(VLOOKUP($AB11,装备强化!$N:$T,AG$3,0),0)+IFERROR(VLOOKUP($AC11,装备强化!$N:$T,AG$3,0)*2,0)+IFERROR(VLOOKUP($AD11,装备强化!$N:$T,AG$3,0)*2,0)</f>
        <v>7.2</v>
      </c>
      <c r="AI11" s="4">
        <f>LOOKUP($B11,装备设定!$B$48:$B$55,装备设定!$F$48:$F$55)*(COUNTA($W11:$AB11)+COUNTA($AC11:$AD11)*2)*AI$3</f>
        <v>18.9</v>
      </c>
      <c r="AJ11" s="4">
        <f>LOOKUP($B11,装备设定!$B$48:$B$55,装备设定!$F$48:$F$55)*(COUNTA($W11:$AB11)+COUNTA($AC11:$AD11)*2)*AJ$3</f>
        <v>18.9</v>
      </c>
      <c r="AK11" s="4">
        <f>LOOKUP($B11,装备设定!$B$48:$B$55,装备设定!$F$48:$F$55)*(COUNTA($W11:$AB11)+COUNTA($AC11:$AD11)*2)*AK$3</f>
        <v>18.9</v>
      </c>
    </row>
    <row r="12" spans="1:37">
      <c r="A12" s="4">
        <f>INT(C12*基础设定!$D$9+D12*基础设定!$D$11+E12*基础设定!$D$14)</f>
        <v>2563</v>
      </c>
      <c r="B12" s="4">
        <v>8</v>
      </c>
      <c r="C12" s="4">
        <f t="shared" si="2"/>
        <v>372.5</v>
      </c>
      <c r="D12" s="4">
        <f t="shared" si="3"/>
        <v>100.9</v>
      </c>
      <c r="E12" s="4">
        <f t="shared" si="4"/>
        <v>80.95</v>
      </c>
      <c r="F12" s="4">
        <f t="shared" si="5"/>
        <v>19.95</v>
      </c>
      <c r="G12" s="4">
        <f t="shared" si="6"/>
        <v>18.671679197995</v>
      </c>
      <c r="H12" s="4">
        <f t="shared" si="7"/>
        <v>141.08</v>
      </c>
      <c r="I12" s="4">
        <f t="shared" si="8"/>
        <v>60.13</v>
      </c>
      <c r="J12" s="4">
        <f t="shared" si="9"/>
        <v>6.1949110261101</v>
      </c>
      <c r="N12" s="4">
        <f>N11+职业基础属性!D$3*LOOKUP($B12,职业基础属性!$M$8:$M$16,职业基础属性!$O$8:$O$16)</f>
        <v>109.5</v>
      </c>
      <c r="O12" s="4">
        <f>O11+职业基础属性!F$3*LOOKUP($B12,职业基础属性!$M$8:$M$16,职业基础属性!$O$8:$O$16)</f>
        <v>21.9</v>
      </c>
      <c r="P12" s="4">
        <f>P11+职业基础属性!I$3*LOOKUP($B12,职业基础属性!$M$8:$M$16,职业基础属性!$O$8:$O$16)</f>
        <v>10.95</v>
      </c>
      <c r="R12" s="4">
        <v>8</v>
      </c>
      <c r="S12" s="4">
        <f t="shared" si="10"/>
        <v>80</v>
      </c>
      <c r="T12" s="4">
        <f t="shared" si="1"/>
        <v>40</v>
      </c>
      <c r="U12" s="4">
        <f t="shared" si="1"/>
        <v>40</v>
      </c>
      <c r="W12" s="7" t="str">
        <f>IFERROR(VLOOKUP($B12&amp;"级"&amp;W$4,装备强化!$M:$N,2,0),W11)</f>
        <v>10级通用武器</v>
      </c>
      <c r="X12" s="7" t="str">
        <f>IFERROR(VLOOKUP($B12&amp;"级"&amp;X$4,装备强化!$M:$N,2,0),X11)</f>
        <v>10级通用头盔</v>
      </c>
      <c r="Y12" s="7" t="str">
        <f>IFERROR(VLOOKUP($B12&amp;"级"&amp;Y$4,装备强化!$M:$N,2,0),Y11)</f>
        <v>10级通用衣服</v>
      </c>
      <c r="Z12" s="7" t="str">
        <f>IFERROR(VLOOKUP($B12&amp;"级"&amp;Z$4,装备强化!$M:$N,2,0),Z11)</f>
        <v>10级通用腰带</v>
      </c>
      <c r="AA12" s="7" t="str">
        <f>IFERROR(VLOOKUP($B12&amp;"级"&amp;AA$4,装备强化!$M:$N,2,0),AA11)</f>
        <v>10级通用鞋子</v>
      </c>
      <c r="AB12" s="7" t="str">
        <f>IFERROR(VLOOKUP($B12&amp;"级"&amp;AB$4,装备强化!$M:$N,2,0),AB11)</f>
        <v>10级通用项链</v>
      </c>
      <c r="AC12" s="7" t="str">
        <f>IFERROR(VLOOKUP($B12&amp;"级"&amp;AC$4,装备强化!$M:$N,2,0),AC11)</f>
        <v>10级通用手镯</v>
      </c>
      <c r="AD12" s="7" t="str">
        <f>IFERROR(VLOOKUP($B12&amp;"级"&amp;AD$4,装备强化!$M:$N,2,0),AD11)</f>
        <v>10级通用戒指</v>
      </c>
      <c r="AE12" s="4">
        <f>IFERROR(VLOOKUP($W12,装备强化!$N:$T,AE$3,0),0)+IFERROR(VLOOKUP($X12,装备强化!$N:$T,AE$3,0),0)+IFERROR(VLOOKUP($Y12,装备强化!$N:$T,AE$3,0),0)+IFERROR(VLOOKUP($Z12,装备强化!$N:$T,AE$3,0),0)+IFERROR(VLOOKUP($AA12,装备强化!$N:$T,AE$3,0),0)+IFERROR(VLOOKUP($AB12,装备强化!$N:$T,AE$3,0),0)+IFERROR(VLOOKUP($AC12,装备强化!$N:$T,AE$3,0)*2,0)+IFERROR(VLOOKUP($AD12,装备强化!$N:$T,AE$3,0)*2,0)</f>
        <v>162</v>
      </c>
      <c r="AF12" s="4">
        <f>IFERROR(VLOOKUP($W12,装备强化!$N:$T,AF$3,0),0)+IFERROR(VLOOKUP($X12,装备强化!$N:$T,AF$3,0),0)+IFERROR(VLOOKUP($Y12,装备强化!$N:$T,AF$3,0),0)+IFERROR(VLOOKUP($Z12,装备强化!$N:$T,AF$3,0),0)+IFERROR(VLOOKUP($AA12,装备强化!$N:$T,AF$3,0),0)+IFERROR(VLOOKUP($AB12,装备强化!$N:$T,AF$3,0),0)+IFERROR(VLOOKUP($AC12,装备强化!$N:$T,AF$3,0)*2,0)+IFERROR(VLOOKUP($AD12,装备强化!$N:$T,AF$3,0)*2,0)</f>
        <v>18</v>
      </c>
      <c r="AG12" s="4">
        <f>IFERROR(VLOOKUP($W12,装备强化!$N:$T,AG$3,0),0)+IFERROR(VLOOKUP($X12,装备强化!$N:$T,AG$3,0),0)+IFERROR(VLOOKUP($Y12,装备强化!$N:$T,AG$3,0),0)+IFERROR(VLOOKUP($Z12,装备强化!$N:$T,AG$3,0),0)+IFERROR(VLOOKUP($AA12,装备强化!$N:$T,AG$3,0),0)+IFERROR(VLOOKUP($AB12,装备强化!$N:$T,AG$3,0),0)+IFERROR(VLOOKUP($AC12,装备强化!$N:$T,AG$3,0)*2,0)+IFERROR(VLOOKUP($AD12,装备强化!$N:$T,AG$3,0)*2,0)</f>
        <v>9</v>
      </c>
      <c r="AI12" s="4">
        <f>LOOKUP($B12,装备设定!$B$48:$B$55,装备设定!$F$48:$F$55)*(COUNTA($W12:$AB12)+COUNTA($AC12:$AD12)*2)*AI$3</f>
        <v>21</v>
      </c>
      <c r="AJ12" s="4">
        <f>LOOKUP($B12,装备设定!$B$48:$B$55,装备设定!$F$48:$F$55)*(COUNTA($W12:$AB12)+COUNTA($AC12:$AD12)*2)*AJ$3</f>
        <v>21</v>
      </c>
      <c r="AK12" s="4">
        <f>LOOKUP($B12,装备设定!$B$48:$B$55,装备设定!$F$48:$F$55)*(COUNTA($W12:$AB12)+COUNTA($AC12:$AD12)*2)*AK$3</f>
        <v>21</v>
      </c>
    </row>
    <row r="13" spans="1:37">
      <c r="A13" s="4">
        <f>INT(C13*基础设定!$D$9+D13*基础设定!$D$11+E13*基础设定!$D$14)</f>
        <v>2726</v>
      </c>
      <c r="B13" s="4">
        <v>9</v>
      </c>
      <c r="C13" s="4">
        <f t="shared" si="2"/>
        <v>391</v>
      </c>
      <c r="D13" s="4">
        <f t="shared" si="3"/>
        <v>107.6</v>
      </c>
      <c r="E13" s="4">
        <f t="shared" si="4"/>
        <v>86.8</v>
      </c>
      <c r="F13" s="4">
        <f t="shared" si="5"/>
        <v>20.8</v>
      </c>
      <c r="G13" s="4">
        <f t="shared" si="6"/>
        <v>18.7980769230769</v>
      </c>
      <c r="H13" s="4">
        <f t="shared" si="7"/>
        <v>149.12</v>
      </c>
      <c r="I13" s="4">
        <f t="shared" si="8"/>
        <v>62.32</v>
      </c>
      <c r="J13" s="4">
        <f t="shared" si="9"/>
        <v>6.27406931964057</v>
      </c>
      <c r="N13" s="4">
        <f>N12+职业基础属性!D$3*LOOKUP($B13,职业基础属性!$M$8:$M$16,职业基础属性!$O$8:$O$16)</f>
        <v>118</v>
      </c>
      <c r="O13" s="4">
        <f>O12+职业基础属性!F$3*LOOKUP($B13,职业基础属性!$M$8:$M$16,职业基础属性!$O$8:$O$16)</f>
        <v>23.6</v>
      </c>
      <c r="P13" s="4">
        <f>P12+职业基础属性!I$3*LOOKUP($B13,职业基础属性!$M$8:$M$16,职业基础属性!$O$8:$O$16)</f>
        <v>11.8</v>
      </c>
      <c r="R13" s="4">
        <v>9</v>
      </c>
      <c r="S13" s="4">
        <f t="shared" si="10"/>
        <v>90</v>
      </c>
      <c r="T13" s="4">
        <f t="shared" si="1"/>
        <v>45</v>
      </c>
      <c r="U13" s="4">
        <f t="shared" si="1"/>
        <v>45</v>
      </c>
      <c r="W13" s="7" t="str">
        <f>IFERROR(VLOOKUP($B13&amp;"级"&amp;W$4,装备强化!$M:$N,2,0),W12)</f>
        <v>10级通用武器</v>
      </c>
      <c r="X13" s="7" t="str">
        <f>IFERROR(VLOOKUP($B13&amp;"级"&amp;X$4,装备强化!$M:$N,2,0),X12)</f>
        <v>10级通用头盔</v>
      </c>
      <c r="Y13" s="7" t="str">
        <f>IFERROR(VLOOKUP($B13&amp;"级"&amp;Y$4,装备强化!$M:$N,2,0),Y12)</f>
        <v>10级通用衣服</v>
      </c>
      <c r="Z13" s="7" t="str">
        <f>IFERROR(VLOOKUP($B13&amp;"级"&amp;Z$4,装备强化!$M:$N,2,0),Z12)</f>
        <v>10级通用腰带</v>
      </c>
      <c r="AA13" s="7" t="str">
        <f>IFERROR(VLOOKUP($B13&amp;"级"&amp;AA$4,装备强化!$M:$N,2,0),AA12)</f>
        <v>10级通用鞋子</v>
      </c>
      <c r="AB13" s="7" t="str">
        <f>IFERROR(VLOOKUP($B13&amp;"级"&amp;AB$4,装备强化!$M:$N,2,0),AB12)</f>
        <v>10级通用项链</v>
      </c>
      <c r="AC13" s="7" t="str">
        <f>IFERROR(VLOOKUP($B13&amp;"级"&amp;AC$4,装备强化!$M:$N,2,0),AC12)</f>
        <v>10级通用手镯</v>
      </c>
      <c r="AD13" s="7" t="str">
        <f>IFERROR(VLOOKUP($B13&amp;"级"&amp;AD$4,装备强化!$M:$N,2,0),AD12)</f>
        <v>10级通用戒指</v>
      </c>
      <c r="AE13" s="4">
        <f>IFERROR(VLOOKUP($W13,装备强化!$N:$T,AE$3,0),0)+IFERROR(VLOOKUP($X13,装备强化!$N:$T,AE$3,0),0)+IFERROR(VLOOKUP($Y13,装备强化!$N:$T,AE$3,0),0)+IFERROR(VLOOKUP($Z13,装备强化!$N:$T,AE$3,0),0)+IFERROR(VLOOKUP($AA13,装备强化!$N:$T,AE$3,0),0)+IFERROR(VLOOKUP($AB13,装备强化!$N:$T,AE$3,0),0)+IFERROR(VLOOKUP($AC13,装备强化!$N:$T,AE$3,0)*2,0)+IFERROR(VLOOKUP($AD13,装备强化!$N:$T,AE$3,0)*2,0)</f>
        <v>162</v>
      </c>
      <c r="AF13" s="4">
        <f>IFERROR(VLOOKUP($W13,装备强化!$N:$T,AF$3,0),0)+IFERROR(VLOOKUP($X13,装备强化!$N:$T,AF$3,0),0)+IFERROR(VLOOKUP($Y13,装备强化!$N:$T,AF$3,0),0)+IFERROR(VLOOKUP($Z13,装备强化!$N:$T,AF$3,0),0)+IFERROR(VLOOKUP($AA13,装备强化!$N:$T,AF$3,0),0)+IFERROR(VLOOKUP($AB13,装备强化!$N:$T,AF$3,0),0)+IFERROR(VLOOKUP($AC13,装备强化!$N:$T,AF$3,0)*2,0)+IFERROR(VLOOKUP($AD13,装备强化!$N:$T,AF$3,0)*2,0)</f>
        <v>18</v>
      </c>
      <c r="AG13" s="4">
        <f>IFERROR(VLOOKUP($W13,装备强化!$N:$T,AG$3,0),0)+IFERROR(VLOOKUP($X13,装备强化!$N:$T,AG$3,0),0)+IFERROR(VLOOKUP($Y13,装备强化!$N:$T,AG$3,0),0)+IFERROR(VLOOKUP($Z13,装备强化!$N:$T,AG$3,0),0)+IFERROR(VLOOKUP($AA13,装备强化!$N:$T,AG$3,0),0)+IFERROR(VLOOKUP($AB13,装备强化!$N:$T,AG$3,0),0)+IFERROR(VLOOKUP($AC13,装备强化!$N:$T,AG$3,0)*2,0)+IFERROR(VLOOKUP($AD13,装备强化!$N:$T,AG$3,0)*2,0)</f>
        <v>9</v>
      </c>
      <c r="AI13" s="4">
        <f>LOOKUP($B13,装备设定!$B$48:$B$55,装备设定!$F$48:$F$55)*(COUNTA($W13:$AB13)+COUNTA($AC13:$AD13)*2)*AI$3</f>
        <v>21</v>
      </c>
      <c r="AJ13" s="4">
        <f>LOOKUP($B13,装备设定!$B$48:$B$55,装备设定!$F$48:$F$55)*(COUNTA($W13:$AB13)+COUNTA($AC13:$AD13)*2)*AJ$3</f>
        <v>21</v>
      </c>
      <c r="AK13" s="4">
        <f>LOOKUP($B13,装备设定!$B$48:$B$55,装备设定!$F$48:$F$55)*(COUNTA($W13:$AB13)+COUNTA($AC13:$AD13)*2)*AK$3</f>
        <v>21</v>
      </c>
    </row>
    <row r="14" spans="1:37">
      <c r="A14" s="4">
        <f>INT(C14*基础设定!$D$9+D14*基础设定!$D$11+E14*基础设定!$D$14)</f>
        <v>2888</v>
      </c>
      <c r="B14" s="4">
        <v>10</v>
      </c>
      <c r="C14" s="4">
        <f t="shared" si="2"/>
        <v>409.5</v>
      </c>
      <c r="D14" s="4">
        <f t="shared" si="3"/>
        <v>114.3</v>
      </c>
      <c r="E14" s="4">
        <f t="shared" si="4"/>
        <v>92.65</v>
      </c>
      <c r="F14" s="4">
        <f t="shared" si="5"/>
        <v>21.65</v>
      </c>
      <c r="G14" s="4">
        <f t="shared" si="6"/>
        <v>18.9145496535797</v>
      </c>
      <c r="H14" s="4">
        <f t="shared" si="7"/>
        <v>157.16</v>
      </c>
      <c r="I14" s="4">
        <f t="shared" si="8"/>
        <v>64.51</v>
      </c>
      <c r="J14" s="4">
        <f t="shared" si="9"/>
        <v>6.34785304603937</v>
      </c>
      <c r="N14" s="4">
        <f>N13+职业基础属性!D$3*LOOKUP($B14,职业基础属性!$M$8:$M$16,职业基础属性!$O$8:$O$16)</f>
        <v>126.5</v>
      </c>
      <c r="O14" s="4">
        <f>O13+职业基础属性!F$3*LOOKUP($B14,职业基础属性!$M$8:$M$16,职业基础属性!$O$8:$O$16)</f>
        <v>25.3</v>
      </c>
      <c r="P14" s="4">
        <f>P13+职业基础属性!I$3*LOOKUP($B14,职业基础属性!$M$8:$M$16,职业基础属性!$O$8:$O$16)</f>
        <v>12.65</v>
      </c>
      <c r="R14" s="4">
        <v>10</v>
      </c>
      <c r="S14" s="4">
        <f t="shared" si="10"/>
        <v>100</v>
      </c>
      <c r="T14" s="4">
        <f t="shared" si="1"/>
        <v>50</v>
      </c>
      <c r="U14" s="4">
        <f t="shared" si="1"/>
        <v>50</v>
      </c>
      <c r="W14" s="7" t="str">
        <f>IFERROR(VLOOKUP($B14&amp;"级"&amp;W$4,装备强化!$M:$N,2,0),W13)</f>
        <v>10级通用武器</v>
      </c>
      <c r="X14" s="7" t="str">
        <f>IFERROR(VLOOKUP($B14&amp;"级"&amp;X$4,装备强化!$M:$N,2,0),X13)</f>
        <v>10级通用头盔</v>
      </c>
      <c r="Y14" s="7" t="str">
        <f>IFERROR(VLOOKUP($B14&amp;"级"&amp;Y$4,装备强化!$M:$N,2,0),Y13)</f>
        <v>10级通用衣服</v>
      </c>
      <c r="Z14" s="7" t="str">
        <f>IFERROR(VLOOKUP($B14&amp;"级"&amp;Z$4,装备强化!$M:$N,2,0),Z13)</f>
        <v>10级通用腰带</v>
      </c>
      <c r="AA14" s="7" t="str">
        <f>IFERROR(VLOOKUP($B14&amp;"级"&amp;AA$4,装备强化!$M:$N,2,0),AA13)</f>
        <v>10级通用鞋子</v>
      </c>
      <c r="AB14" s="7" t="str">
        <f>IFERROR(VLOOKUP($B14&amp;"级"&amp;AB$4,装备强化!$M:$N,2,0),AB13)</f>
        <v>10级通用项链</v>
      </c>
      <c r="AC14" s="7" t="str">
        <f>IFERROR(VLOOKUP($B14&amp;"级"&amp;AC$4,装备强化!$M:$N,2,0),AC13)</f>
        <v>10级通用手镯</v>
      </c>
      <c r="AD14" s="7" t="str">
        <f>IFERROR(VLOOKUP($B14&amp;"级"&amp;AD$4,装备强化!$M:$N,2,0),AD13)</f>
        <v>10级通用戒指</v>
      </c>
      <c r="AE14" s="4">
        <f>IFERROR(VLOOKUP($W14,装备强化!$N:$T,AE$3,0),0)+IFERROR(VLOOKUP($X14,装备强化!$N:$T,AE$3,0),0)+IFERROR(VLOOKUP($Y14,装备强化!$N:$T,AE$3,0),0)+IFERROR(VLOOKUP($Z14,装备强化!$N:$T,AE$3,0),0)+IFERROR(VLOOKUP($AA14,装备强化!$N:$T,AE$3,0),0)+IFERROR(VLOOKUP($AB14,装备强化!$N:$T,AE$3,0),0)+IFERROR(VLOOKUP($AC14,装备强化!$N:$T,AE$3,0)*2,0)+IFERROR(VLOOKUP($AD14,装备强化!$N:$T,AE$3,0)*2,0)</f>
        <v>162</v>
      </c>
      <c r="AF14" s="4">
        <f>IFERROR(VLOOKUP($W14,装备强化!$N:$T,AF$3,0),0)+IFERROR(VLOOKUP($X14,装备强化!$N:$T,AF$3,0),0)+IFERROR(VLOOKUP($Y14,装备强化!$N:$T,AF$3,0),0)+IFERROR(VLOOKUP($Z14,装备强化!$N:$T,AF$3,0),0)+IFERROR(VLOOKUP($AA14,装备强化!$N:$T,AF$3,0),0)+IFERROR(VLOOKUP($AB14,装备强化!$N:$T,AF$3,0),0)+IFERROR(VLOOKUP($AC14,装备强化!$N:$T,AF$3,0)*2,0)+IFERROR(VLOOKUP($AD14,装备强化!$N:$T,AF$3,0)*2,0)</f>
        <v>18</v>
      </c>
      <c r="AG14" s="4">
        <f>IFERROR(VLOOKUP($W14,装备强化!$N:$T,AG$3,0),0)+IFERROR(VLOOKUP($X14,装备强化!$N:$T,AG$3,0),0)+IFERROR(VLOOKUP($Y14,装备强化!$N:$T,AG$3,0),0)+IFERROR(VLOOKUP($Z14,装备强化!$N:$T,AG$3,0),0)+IFERROR(VLOOKUP($AA14,装备强化!$N:$T,AG$3,0),0)+IFERROR(VLOOKUP($AB14,装备强化!$N:$T,AG$3,0),0)+IFERROR(VLOOKUP($AC14,装备强化!$N:$T,AG$3,0)*2,0)+IFERROR(VLOOKUP($AD14,装备强化!$N:$T,AG$3,0)*2,0)</f>
        <v>9</v>
      </c>
      <c r="AI14" s="4">
        <f>LOOKUP($B14,装备设定!$B$48:$B$55,装备设定!$F$48:$F$55)*(COUNTA($W14:$AB14)+COUNTA($AC14:$AD14)*2)*AI$3</f>
        <v>21</v>
      </c>
      <c r="AJ14" s="4">
        <f>LOOKUP($B14,装备设定!$B$48:$B$55,装备设定!$F$48:$F$55)*(COUNTA($W14:$AB14)+COUNTA($AC14:$AD14)*2)*AJ$3</f>
        <v>21</v>
      </c>
      <c r="AK14" s="4">
        <f>LOOKUP($B14,装备设定!$B$48:$B$55,装备设定!$F$48:$F$55)*(COUNTA($W14:$AB14)+COUNTA($AC14:$AD14)*2)*AK$3</f>
        <v>21</v>
      </c>
    </row>
    <row r="15" spans="1:37">
      <c r="A15" s="4">
        <f>INT(C15*基础设定!$D$9+D15*基础设定!$D$11+E15*基础设定!$D$14)</f>
        <v>3132</v>
      </c>
      <c r="B15" s="4">
        <v>11</v>
      </c>
      <c r="C15" s="4">
        <f t="shared" si="2"/>
        <v>429.5</v>
      </c>
      <c r="D15" s="4">
        <f t="shared" si="3"/>
        <v>125.54</v>
      </c>
      <c r="E15" s="4">
        <f t="shared" si="4"/>
        <v>101.8</v>
      </c>
      <c r="F15" s="4">
        <f t="shared" si="5"/>
        <v>23.74</v>
      </c>
      <c r="G15" s="4">
        <f t="shared" si="6"/>
        <v>18.0918281381634</v>
      </c>
      <c r="H15" s="4">
        <f t="shared" si="7"/>
        <v>170.648</v>
      </c>
      <c r="I15" s="4">
        <f t="shared" si="8"/>
        <v>68.848</v>
      </c>
      <c r="J15" s="4">
        <f t="shared" si="9"/>
        <v>6.23838019986056</v>
      </c>
      <c r="N15" s="4">
        <f>N14+职业基础属性!D$3*LOOKUP($B15,职业基础属性!$M$8:$M$16,职业基础属性!$O$8:$O$16)</f>
        <v>133</v>
      </c>
      <c r="O15" s="4">
        <f>O14+职业基础属性!F$3*LOOKUP($B15,职业基础属性!$M$8:$M$16,职业基础属性!$O$8:$O$16)</f>
        <v>26.6</v>
      </c>
      <c r="P15" s="4">
        <f>P14+职业基础属性!I$3*LOOKUP($B15,职业基础属性!$M$8:$M$16,职业基础属性!$O$8:$O$16)</f>
        <v>13.3</v>
      </c>
      <c r="R15" s="4">
        <v>11</v>
      </c>
      <c r="S15" s="4">
        <f t="shared" si="10"/>
        <v>110</v>
      </c>
      <c r="T15" s="4">
        <f t="shared" si="1"/>
        <v>55</v>
      </c>
      <c r="U15" s="4">
        <f t="shared" si="1"/>
        <v>55</v>
      </c>
      <c r="W15" s="7" t="str">
        <f>IFERROR(VLOOKUP($B15&amp;"级"&amp;W$4,装备强化!$M:$N,2,0),W14)</f>
        <v>20级通用武器</v>
      </c>
      <c r="X15" s="7" t="str">
        <f>IFERROR(VLOOKUP($B15&amp;"级"&amp;X$4,装备强化!$M:$N,2,0),X14)</f>
        <v>10级通用头盔</v>
      </c>
      <c r="Y15" s="7" t="str">
        <f>IFERROR(VLOOKUP($B15&amp;"级"&amp;Y$4,装备强化!$M:$N,2,0),Y14)</f>
        <v>10级通用衣服</v>
      </c>
      <c r="Z15" s="7" t="str">
        <f>IFERROR(VLOOKUP($B15&amp;"级"&amp;Z$4,装备强化!$M:$N,2,0),Z14)</f>
        <v>10级通用腰带</v>
      </c>
      <c r="AA15" s="7" t="str">
        <f>IFERROR(VLOOKUP($B15&amp;"级"&amp;AA$4,装备强化!$M:$N,2,0),AA14)</f>
        <v>10级通用鞋子</v>
      </c>
      <c r="AB15" s="7" t="str">
        <f>IFERROR(VLOOKUP($B15&amp;"级"&amp;AB$4,装备强化!$M:$N,2,0),AB14)</f>
        <v>10级通用项链</v>
      </c>
      <c r="AC15" s="7" t="str">
        <f>IFERROR(VLOOKUP($B15&amp;"级"&amp;AC$4,装备强化!$M:$N,2,0),AC14)</f>
        <v>10级通用手镯</v>
      </c>
      <c r="AD15" s="7" t="str">
        <f>IFERROR(VLOOKUP($B15&amp;"级"&amp;AD$4,装备强化!$M:$N,2,0),AD14)</f>
        <v>10级通用戒指</v>
      </c>
      <c r="AE15" s="4">
        <f>IFERROR(VLOOKUP($W15,装备强化!$N:$T,AE$3,0),0)+IFERROR(VLOOKUP($X15,装备强化!$N:$T,AE$3,0),0)+IFERROR(VLOOKUP($Y15,装备强化!$N:$T,AE$3,0),0)+IFERROR(VLOOKUP($Z15,装备强化!$N:$T,AE$3,0),0)+IFERROR(VLOOKUP($AA15,装备强化!$N:$T,AE$3,0),0)+IFERROR(VLOOKUP($AB15,装备强化!$N:$T,AE$3,0),0)+IFERROR(VLOOKUP($AC15,装备强化!$N:$T,AE$3,0)*2,0)+IFERROR(VLOOKUP($AD15,装备强化!$N:$T,AE$3,0)*2,0)</f>
        <v>162</v>
      </c>
      <c r="AF15" s="4">
        <f>IFERROR(VLOOKUP($W15,装备强化!$N:$T,AF$3,0),0)+IFERROR(VLOOKUP($X15,装备强化!$N:$T,AF$3,0),0)+IFERROR(VLOOKUP($Y15,装备强化!$N:$T,AF$3,0),0)+IFERROR(VLOOKUP($Z15,装备强化!$N:$T,AF$3,0),0)+IFERROR(VLOOKUP($AA15,装备强化!$N:$T,AF$3,0),0)+IFERROR(VLOOKUP($AB15,装备强化!$N:$T,AF$3,0),0)+IFERROR(VLOOKUP($AC15,装备强化!$N:$T,AF$3,0)*2,0)+IFERROR(VLOOKUP($AD15,装备强化!$N:$T,AF$3,0)*2,0)</f>
        <v>19.44</v>
      </c>
      <c r="AG15" s="4">
        <f>IFERROR(VLOOKUP($W15,装备强化!$N:$T,AG$3,0),0)+IFERROR(VLOOKUP($X15,装备强化!$N:$T,AG$3,0),0)+IFERROR(VLOOKUP($Y15,装备强化!$N:$T,AG$3,0),0)+IFERROR(VLOOKUP($Z15,装备强化!$N:$T,AG$3,0),0)+IFERROR(VLOOKUP($AA15,装备强化!$N:$T,AG$3,0),0)+IFERROR(VLOOKUP($AB15,装备强化!$N:$T,AG$3,0),0)+IFERROR(VLOOKUP($AC15,装备强化!$N:$T,AG$3,0)*2,0)+IFERROR(VLOOKUP($AD15,装备强化!$N:$T,AG$3,0)*2,0)</f>
        <v>9</v>
      </c>
      <c r="AI15" s="4">
        <f>LOOKUP($B15,装备设定!$B$48:$B$55,装备设定!$F$48:$F$55)*(COUNTA($W15:$AB15)+COUNTA($AC15:$AD15)*2)*AI$3</f>
        <v>24.5</v>
      </c>
      <c r="AJ15" s="4">
        <f>LOOKUP($B15,装备设定!$B$48:$B$55,装备设定!$F$48:$F$55)*(COUNTA($W15:$AB15)+COUNTA($AC15:$AD15)*2)*AJ$3</f>
        <v>24.5</v>
      </c>
      <c r="AK15" s="4">
        <f>LOOKUP($B15,装备设定!$B$48:$B$55,装备设定!$F$48:$F$55)*(COUNTA($W15:$AB15)+COUNTA($AC15:$AD15)*2)*AK$3</f>
        <v>24.5</v>
      </c>
    </row>
    <row r="16" spans="1:37">
      <c r="A16" s="4">
        <f>INT(C16*基础设定!$D$9+D16*基础设定!$D$11+E16*基础设定!$D$14)</f>
        <v>3300</v>
      </c>
      <c r="B16" s="4">
        <v>12</v>
      </c>
      <c r="C16" s="4">
        <f t="shared" si="2"/>
        <v>451.4</v>
      </c>
      <c r="D16" s="4">
        <f t="shared" si="3"/>
        <v>131.84</v>
      </c>
      <c r="E16" s="4">
        <f t="shared" si="4"/>
        <v>107.93</v>
      </c>
      <c r="F16" s="4">
        <f t="shared" si="5"/>
        <v>23.91</v>
      </c>
      <c r="G16" s="4">
        <f t="shared" si="6"/>
        <v>18.8791300711</v>
      </c>
      <c r="H16" s="4">
        <f t="shared" si="7"/>
        <v>178.208</v>
      </c>
      <c r="I16" s="4">
        <f t="shared" si="8"/>
        <v>70.278</v>
      </c>
      <c r="J16" s="4">
        <f t="shared" si="9"/>
        <v>6.42306269387291</v>
      </c>
      <c r="N16" s="4">
        <f>N15+职业基础属性!D$3*LOOKUP($B16,职业基础属性!$M$8:$M$16,职业基础属性!$O$8:$O$16)</f>
        <v>139.5</v>
      </c>
      <c r="O16" s="4">
        <f>O15+职业基础属性!F$3*LOOKUP($B16,职业基础属性!$M$8:$M$16,职业基础属性!$O$8:$O$16)</f>
        <v>27.9</v>
      </c>
      <c r="P16" s="4">
        <f>P15+职业基础属性!I$3*LOOKUP($B16,职业基础属性!$M$8:$M$16,职业基础属性!$O$8:$O$16)</f>
        <v>13.95</v>
      </c>
      <c r="R16" s="4">
        <v>12</v>
      </c>
      <c r="S16" s="4">
        <f t="shared" si="10"/>
        <v>120</v>
      </c>
      <c r="T16" s="4">
        <f t="shared" si="1"/>
        <v>60</v>
      </c>
      <c r="U16" s="4">
        <f t="shared" si="1"/>
        <v>60</v>
      </c>
      <c r="W16" s="7" t="str">
        <f>IFERROR(VLOOKUP($B16&amp;"级"&amp;W$4,装备强化!$M:$N,2,0),W15)</f>
        <v>20级通用武器</v>
      </c>
      <c r="X16" s="7" t="str">
        <f>IFERROR(VLOOKUP($B16&amp;"级"&amp;X$4,装备强化!$M:$N,2,0),X15)</f>
        <v>10级通用头盔</v>
      </c>
      <c r="Y16" s="7" t="str">
        <f>IFERROR(VLOOKUP($B16&amp;"级"&amp;Y$4,装备强化!$M:$N,2,0),Y15)</f>
        <v>10级通用衣服</v>
      </c>
      <c r="Z16" s="7" t="str">
        <f>IFERROR(VLOOKUP($B16&amp;"级"&amp;Z$4,装备强化!$M:$N,2,0),Z15)</f>
        <v>10级通用腰带</v>
      </c>
      <c r="AA16" s="7" t="str">
        <f>IFERROR(VLOOKUP($B16&amp;"级"&amp;AA$4,装备强化!$M:$N,2,0),AA15)</f>
        <v>20级通用鞋子</v>
      </c>
      <c r="AB16" s="7" t="str">
        <f>IFERROR(VLOOKUP($B16&amp;"级"&amp;AB$4,装备强化!$M:$N,2,0),AB15)</f>
        <v>10级通用项链</v>
      </c>
      <c r="AC16" s="7" t="str">
        <f>IFERROR(VLOOKUP($B16&amp;"级"&amp;AC$4,装备强化!$M:$N,2,0),AC15)</f>
        <v>10级通用手镯</v>
      </c>
      <c r="AD16" s="7" t="str">
        <f>IFERROR(VLOOKUP($B16&amp;"级"&amp;AD$4,装备强化!$M:$N,2,0),AD15)</f>
        <v>10级通用戒指</v>
      </c>
      <c r="AE16" s="4">
        <f>IFERROR(VLOOKUP($W16,装备强化!$N:$T,AE$3,0),0)+IFERROR(VLOOKUP($X16,装备强化!$N:$T,AE$3,0),0)+IFERROR(VLOOKUP($Y16,装备强化!$N:$T,AE$3,0),0)+IFERROR(VLOOKUP($Z16,装备强化!$N:$T,AE$3,0),0)+IFERROR(VLOOKUP($AA16,装备强化!$N:$T,AE$3,0),0)+IFERROR(VLOOKUP($AB16,装备强化!$N:$T,AE$3,0),0)+IFERROR(VLOOKUP($AC16,装备强化!$N:$T,AE$3,0)*2,0)+IFERROR(VLOOKUP($AD16,装备强化!$N:$T,AE$3,0)*2,0)</f>
        <v>167.4</v>
      </c>
      <c r="AF16" s="4">
        <f>IFERROR(VLOOKUP($W16,装备强化!$N:$T,AF$3,0),0)+IFERROR(VLOOKUP($X16,装备强化!$N:$T,AF$3,0),0)+IFERROR(VLOOKUP($Y16,装备强化!$N:$T,AF$3,0),0)+IFERROR(VLOOKUP($Z16,装备强化!$N:$T,AF$3,0),0)+IFERROR(VLOOKUP($AA16,装备强化!$N:$T,AF$3,0),0)+IFERROR(VLOOKUP($AB16,装备强化!$N:$T,AF$3,0),0)+IFERROR(VLOOKUP($AC16,装备强化!$N:$T,AF$3,0)*2,0)+IFERROR(VLOOKUP($AD16,装备强化!$N:$T,AF$3,0)*2,0)</f>
        <v>19.44</v>
      </c>
      <c r="AG16" s="4">
        <f>IFERROR(VLOOKUP($W16,装备强化!$N:$T,AG$3,0),0)+IFERROR(VLOOKUP($X16,装备强化!$N:$T,AG$3,0),0)+IFERROR(VLOOKUP($Y16,装备强化!$N:$T,AG$3,0),0)+IFERROR(VLOOKUP($Z16,装备强化!$N:$T,AG$3,0),0)+IFERROR(VLOOKUP($AA16,装备强化!$N:$T,AG$3,0),0)+IFERROR(VLOOKUP($AB16,装备强化!$N:$T,AG$3,0),0)+IFERROR(VLOOKUP($AC16,装备强化!$N:$T,AG$3,0)*2,0)+IFERROR(VLOOKUP($AD16,装备强化!$N:$T,AG$3,0)*2,0)</f>
        <v>9.48</v>
      </c>
      <c r="AI16" s="4">
        <f>LOOKUP($B16,装备设定!$B$48:$B$55,装备设定!$F$48:$F$55)*(COUNTA($W16:$AB16)+COUNTA($AC16:$AD16)*2)*AI$3</f>
        <v>24.5</v>
      </c>
      <c r="AJ16" s="4">
        <f>LOOKUP($B16,装备设定!$B$48:$B$55,装备设定!$F$48:$F$55)*(COUNTA($W16:$AB16)+COUNTA($AC16:$AD16)*2)*AJ$3</f>
        <v>24.5</v>
      </c>
      <c r="AK16" s="4">
        <f>LOOKUP($B16,装备设定!$B$48:$B$55,装备设定!$F$48:$F$55)*(COUNTA($W16:$AB16)+COUNTA($AC16:$AD16)*2)*AK$3</f>
        <v>24.5</v>
      </c>
    </row>
    <row r="17" spans="1:37">
      <c r="A17" s="4">
        <f>INT(C17*基础设定!$D$9+D17*基础设定!$D$11+E17*基础设定!$D$14)</f>
        <v>3484</v>
      </c>
      <c r="B17" s="4">
        <v>13</v>
      </c>
      <c r="C17" s="4">
        <f t="shared" si="2"/>
        <v>478.7</v>
      </c>
      <c r="D17" s="4">
        <f t="shared" si="3"/>
        <v>139.1</v>
      </c>
      <c r="E17" s="4">
        <f t="shared" si="4"/>
        <v>113.58</v>
      </c>
      <c r="F17" s="4">
        <f t="shared" si="5"/>
        <v>25.52</v>
      </c>
      <c r="G17" s="4">
        <f t="shared" si="6"/>
        <v>18.7578369905956</v>
      </c>
      <c r="H17" s="4">
        <f t="shared" si="7"/>
        <v>186.92</v>
      </c>
      <c r="I17" s="4">
        <f t="shared" si="8"/>
        <v>73.34</v>
      </c>
      <c r="J17" s="4">
        <f t="shared" si="9"/>
        <v>6.52713389691846</v>
      </c>
      <c r="N17" s="4">
        <f>N16+职业基础属性!D$3*LOOKUP($B17,职业基础属性!$M$8:$M$16,职业基础属性!$O$8:$O$16)</f>
        <v>146</v>
      </c>
      <c r="O17" s="4">
        <f>O16+职业基础属性!F$3*LOOKUP($B17,职业基础属性!$M$8:$M$16,职业基础属性!$O$8:$O$16)</f>
        <v>29.2</v>
      </c>
      <c r="P17" s="4">
        <f>P16+职业基础属性!I$3*LOOKUP($B17,职业基础属性!$M$8:$M$16,职业基础属性!$O$8:$O$16)</f>
        <v>14.6</v>
      </c>
      <c r="R17" s="4">
        <v>13</v>
      </c>
      <c r="S17" s="4">
        <f t="shared" si="10"/>
        <v>130</v>
      </c>
      <c r="T17" s="4">
        <f t="shared" si="1"/>
        <v>65</v>
      </c>
      <c r="U17" s="4">
        <f t="shared" si="1"/>
        <v>65</v>
      </c>
      <c r="W17" s="7" t="str">
        <f>IFERROR(VLOOKUP($B17&amp;"级"&amp;W$4,装备强化!$M:$N,2,0),W16)</f>
        <v>20级通用武器</v>
      </c>
      <c r="X17" s="7" t="str">
        <f>IFERROR(VLOOKUP($B17&amp;"级"&amp;X$4,装备强化!$M:$N,2,0),X16)</f>
        <v>10级通用头盔</v>
      </c>
      <c r="Y17" s="7" t="str">
        <f>IFERROR(VLOOKUP($B17&amp;"级"&amp;Y$4,装备强化!$M:$N,2,0),Y16)</f>
        <v>10级通用衣服</v>
      </c>
      <c r="Z17" s="7" t="str">
        <f>IFERROR(VLOOKUP($B17&amp;"级"&amp;Z$4,装备强化!$M:$N,2,0),Z16)</f>
        <v>10级通用腰带</v>
      </c>
      <c r="AA17" s="7" t="str">
        <f>IFERROR(VLOOKUP($B17&amp;"级"&amp;AA$4,装备强化!$M:$N,2,0),AA16)</f>
        <v>20级通用鞋子</v>
      </c>
      <c r="AB17" s="7" t="str">
        <f>IFERROR(VLOOKUP($B17&amp;"级"&amp;AB$4,装备强化!$M:$N,2,0),AB16)</f>
        <v>10级通用项链</v>
      </c>
      <c r="AC17" s="7" t="str">
        <f>IFERROR(VLOOKUP($B17&amp;"级"&amp;AC$4,装备强化!$M:$N,2,0),AC16)</f>
        <v>10级通用手镯</v>
      </c>
      <c r="AD17" s="7" t="str">
        <f>IFERROR(VLOOKUP($B17&amp;"级"&amp;AD$4,装备强化!$M:$N,2,0),AD16)</f>
        <v>20级通用戒指</v>
      </c>
      <c r="AE17" s="4">
        <f>IFERROR(VLOOKUP($W17,装备强化!$N:$T,AE$3,0),0)+IFERROR(VLOOKUP($X17,装备强化!$N:$T,AE$3,0),0)+IFERROR(VLOOKUP($Y17,装备强化!$N:$T,AE$3,0),0)+IFERROR(VLOOKUP($Z17,装备强化!$N:$T,AE$3,0),0)+IFERROR(VLOOKUP($AA17,装备强化!$N:$T,AE$3,0),0)+IFERROR(VLOOKUP($AB17,装备强化!$N:$T,AE$3,0),0)+IFERROR(VLOOKUP($AC17,装备强化!$N:$T,AE$3,0)*2,0)+IFERROR(VLOOKUP($AD17,装备强化!$N:$T,AE$3,0)*2,0)</f>
        <v>178.2</v>
      </c>
      <c r="AF17" s="4">
        <f>IFERROR(VLOOKUP($W17,装备强化!$N:$T,AF$3,0),0)+IFERROR(VLOOKUP($X17,装备强化!$N:$T,AF$3,0),0)+IFERROR(VLOOKUP($Y17,装备强化!$N:$T,AF$3,0),0)+IFERROR(VLOOKUP($Z17,装备强化!$N:$T,AF$3,0),0)+IFERROR(VLOOKUP($AA17,装备强化!$N:$T,AF$3,0),0)+IFERROR(VLOOKUP($AB17,装备强化!$N:$T,AF$3,0),0)+IFERROR(VLOOKUP($AC17,装备强化!$N:$T,AF$3,0)*2,0)+IFERROR(VLOOKUP($AD17,装备强化!$N:$T,AF$3,0)*2,0)</f>
        <v>20.4</v>
      </c>
      <c r="AG17" s="4">
        <f>IFERROR(VLOOKUP($W17,装备强化!$N:$T,AG$3,0),0)+IFERROR(VLOOKUP($X17,装备强化!$N:$T,AG$3,0),0)+IFERROR(VLOOKUP($Y17,装备强化!$N:$T,AG$3,0),0)+IFERROR(VLOOKUP($Z17,装备强化!$N:$T,AG$3,0),0)+IFERROR(VLOOKUP($AA17,装备强化!$N:$T,AG$3,0),0)+IFERROR(VLOOKUP($AB17,装备强化!$N:$T,AG$3,0),0)+IFERROR(VLOOKUP($AC17,装备强化!$N:$T,AG$3,0)*2,0)+IFERROR(VLOOKUP($AD17,装备强化!$N:$T,AG$3,0)*2,0)</f>
        <v>9.48</v>
      </c>
      <c r="AI17" s="4">
        <f>LOOKUP($B17,装备设定!$B$48:$B$55,装备设定!$F$48:$F$55)*(COUNTA($W17:$AB17)+COUNTA($AC17:$AD17)*2)*AI$3</f>
        <v>24.5</v>
      </c>
      <c r="AJ17" s="4">
        <f>LOOKUP($B17,装备设定!$B$48:$B$55,装备设定!$F$48:$F$55)*(COUNTA($W17:$AB17)+COUNTA($AC17:$AD17)*2)*AJ$3</f>
        <v>24.5</v>
      </c>
      <c r="AK17" s="4">
        <f>LOOKUP($B17,装备设定!$B$48:$B$55,装备设定!$F$48:$F$55)*(COUNTA($W17:$AB17)+COUNTA($AC17:$AD17)*2)*AK$3</f>
        <v>24.5</v>
      </c>
    </row>
    <row r="18" spans="1:37">
      <c r="A18" s="4">
        <f>INT(C18*基础设定!$D$9+D18*基础设定!$D$11+E18*基础设定!$D$14)</f>
        <v>3646</v>
      </c>
      <c r="B18" s="4">
        <v>14</v>
      </c>
      <c r="C18" s="4">
        <f t="shared" si="2"/>
        <v>495.2</v>
      </c>
      <c r="D18" s="4">
        <f t="shared" si="3"/>
        <v>146.12</v>
      </c>
      <c r="E18" s="4">
        <f t="shared" si="4"/>
        <v>119.47</v>
      </c>
      <c r="F18" s="4">
        <f t="shared" si="5"/>
        <v>26.65</v>
      </c>
      <c r="G18" s="4">
        <f t="shared" si="6"/>
        <v>18.5816135084428</v>
      </c>
      <c r="H18" s="4">
        <f t="shared" si="7"/>
        <v>195.344</v>
      </c>
      <c r="I18" s="4">
        <f t="shared" si="8"/>
        <v>75.874</v>
      </c>
      <c r="J18" s="4">
        <f t="shared" si="9"/>
        <v>6.52660990589662</v>
      </c>
      <c r="N18" s="4">
        <f>N17+职业基础属性!D$3*LOOKUP($B18,职业基础属性!$M$8:$M$16,职业基础属性!$O$8:$O$16)</f>
        <v>152.5</v>
      </c>
      <c r="O18" s="4">
        <f>O17+职业基础属性!F$3*LOOKUP($B18,职业基础属性!$M$8:$M$16,职业基础属性!$O$8:$O$16)</f>
        <v>30.5</v>
      </c>
      <c r="P18" s="4">
        <f>P17+职业基础属性!I$3*LOOKUP($B18,职业基础属性!$M$8:$M$16,职业基础属性!$O$8:$O$16)</f>
        <v>15.25</v>
      </c>
      <c r="R18" s="4">
        <v>14</v>
      </c>
      <c r="S18" s="4">
        <f t="shared" si="10"/>
        <v>140</v>
      </c>
      <c r="T18" s="4">
        <f t="shared" si="1"/>
        <v>70</v>
      </c>
      <c r="U18" s="4">
        <f t="shared" si="1"/>
        <v>70</v>
      </c>
      <c r="W18" s="7" t="str">
        <f>IFERROR(VLOOKUP($B18&amp;"级"&amp;W$4,装备强化!$M:$N,2,0),W17)</f>
        <v>20级通用武器</v>
      </c>
      <c r="X18" s="7" t="str">
        <f>IFERROR(VLOOKUP($B18&amp;"级"&amp;X$4,装备强化!$M:$N,2,0),X17)</f>
        <v>10级通用头盔</v>
      </c>
      <c r="Y18" s="7" t="str">
        <f>IFERROR(VLOOKUP($B18&amp;"级"&amp;Y$4,装备强化!$M:$N,2,0),Y17)</f>
        <v>10级通用衣服</v>
      </c>
      <c r="Z18" s="7" t="str">
        <f>IFERROR(VLOOKUP($B18&amp;"级"&amp;Z$4,装备强化!$M:$N,2,0),Z17)</f>
        <v>10级通用腰带</v>
      </c>
      <c r="AA18" s="7" t="str">
        <f>IFERROR(VLOOKUP($B18&amp;"级"&amp;AA$4,装备强化!$M:$N,2,0),AA17)</f>
        <v>20级通用鞋子</v>
      </c>
      <c r="AB18" s="7" t="str">
        <f>IFERROR(VLOOKUP($B18&amp;"级"&amp;AB$4,装备强化!$M:$N,2,0),AB17)</f>
        <v>20级通用项链</v>
      </c>
      <c r="AC18" s="7" t="str">
        <f>IFERROR(VLOOKUP($B18&amp;"级"&amp;AC$4,装备强化!$M:$N,2,0),AC17)</f>
        <v>10级通用手镯</v>
      </c>
      <c r="AD18" s="7" t="str">
        <f>IFERROR(VLOOKUP($B18&amp;"级"&amp;AD$4,装备强化!$M:$N,2,0),AD17)</f>
        <v>20级通用戒指</v>
      </c>
      <c r="AE18" s="4">
        <f>IFERROR(VLOOKUP($W18,装备强化!$N:$T,AE$3,0),0)+IFERROR(VLOOKUP($X18,装备强化!$N:$T,AE$3,0),0)+IFERROR(VLOOKUP($Y18,装备强化!$N:$T,AE$3,0),0)+IFERROR(VLOOKUP($Z18,装备强化!$N:$T,AE$3,0),0)+IFERROR(VLOOKUP($AA18,装备强化!$N:$T,AE$3,0),0)+IFERROR(VLOOKUP($AB18,装备强化!$N:$T,AE$3,0),0)+IFERROR(VLOOKUP($AC18,装备强化!$N:$T,AE$3,0)*2,0)+IFERROR(VLOOKUP($AD18,装备强化!$N:$T,AE$3,0)*2,0)</f>
        <v>178.2</v>
      </c>
      <c r="AF18" s="4">
        <f>IFERROR(VLOOKUP($W18,装备强化!$N:$T,AF$3,0),0)+IFERROR(VLOOKUP($X18,装备强化!$N:$T,AF$3,0),0)+IFERROR(VLOOKUP($Y18,装备强化!$N:$T,AF$3,0),0)+IFERROR(VLOOKUP($Z18,装备强化!$N:$T,AF$3,0),0)+IFERROR(VLOOKUP($AA18,装备强化!$N:$T,AF$3,0),0)+IFERROR(VLOOKUP($AB18,装备强化!$N:$T,AF$3,0),0)+IFERROR(VLOOKUP($AC18,装备强化!$N:$T,AF$3,0)*2,0)+IFERROR(VLOOKUP($AD18,装备强化!$N:$T,AF$3,0)*2,0)</f>
        <v>21.12</v>
      </c>
      <c r="AG18" s="4">
        <f>IFERROR(VLOOKUP($W18,装备强化!$N:$T,AG$3,0),0)+IFERROR(VLOOKUP($X18,装备强化!$N:$T,AG$3,0),0)+IFERROR(VLOOKUP($Y18,装备强化!$N:$T,AG$3,0),0)+IFERROR(VLOOKUP($Z18,装备强化!$N:$T,AG$3,0),0)+IFERROR(VLOOKUP($AA18,装备强化!$N:$T,AG$3,0),0)+IFERROR(VLOOKUP($AB18,装备强化!$N:$T,AG$3,0),0)+IFERROR(VLOOKUP($AC18,装备强化!$N:$T,AG$3,0)*2,0)+IFERROR(VLOOKUP($AD18,装备强化!$N:$T,AG$3,0)*2,0)</f>
        <v>9.72</v>
      </c>
      <c r="AI18" s="4">
        <f>LOOKUP($B18,装备设定!$B$48:$B$55,装备设定!$F$48:$F$55)*(COUNTA($W18:$AB18)+COUNTA($AC18:$AD18)*2)*AI$3</f>
        <v>24.5</v>
      </c>
      <c r="AJ18" s="4">
        <f>LOOKUP($B18,装备设定!$B$48:$B$55,装备设定!$F$48:$F$55)*(COUNTA($W18:$AB18)+COUNTA($AC18:$AD18)*2)*AJ$3</f>
        <v>24.5</v>
      </c>
      <c r="AK18" s="4">
        <f>LOOKUP($B18,装备设定!$B$48:$B$55,装备设定!$F$48:$F$55)*(COUNTA($W18:$AB18)+COUNTA($AC18:$AD18)*2)*AK$3</f>
        <v>24.5</v>
      </c>
    </row>
    <row r="19" spans="1:37">
      <c r="A19" s="4">
        <f>INT(C19*基础设定!$D$9+D19*基础设定!$D$11+E19*基础设定!$D$14)</f>
        <v>3826</v>
      </c>
      <c r="B19" s="4">
        <v>15</v>
      </c>
      <c r="C19" s="4">
        <f t="shared" si="2"/>
        <v>522.5</v>
      </c>
      <c r="D19" s="4">
        <f t="shared" si="3"/>
        <v>152.42</v>
      </c>
      <c r="E19" s="4">
        <f t="shared" si="4"/>
        <v>125.72</v>
      </c>
      <c r="F19" s="4">
        <f t="shared" si="5"/>
        <v>26.7</v>
      </c>
      <c r="G19" s="4">
        <f t="shared" si="6"/>
        <v>19.5692883895131</v>
      </c>
      <c r="H19" s="4">
        <f t="shared" si="7"/>
        <v>202.904</v>
      </c>
      <c r="I19" s="4">
        <f t="shared" si="8"/>
        <v>77.184</v>
      </c>
      <c r="J19" s="4">
        <f t="shared" si="9"/>
        <v>6.76953772802654</v>
      </c>
      <c r="N19" s="4">
        <f>N18+职业基础属性!D$3*LOOKUP($B19,职业基础属性!$M$8:$M$16,职业基础属性!$O$8:$O$16)</f>
        <v>159</v>
      </c>
      <c r="O19" s="4">
        <f>O18+职业基础属性!F$3*LOOKUP($B19,职业基础属性!$M$8:$M$16,职业基础属性!$O$8:$O$16)</f>
        <v>31.8</v>
      </c>
      <c r="P19" s="4">
        <f>P18+职业基础属性!I$3*LOOKUP($B19,职业基础属性!$M$8:$M$16,职业基础属性!$O$8:$O$16)</f>
        <v>15.9</v>
      </c>
      <c r="R19" s="4">
        <v>15</v>
      </c>
      <c r="S19" s="4">
        <f t="shared" si="10"/>
        <v>150</v>
      </c>
      <c r="T19" s="4">
        <f t="shared" si="1"/>
        <v>75</v>
      </c>
      <c r="U19" s="4">
        <f t="shared" si="1"/>
        <v>75</v>
      </c>
      <c r="W19" s="7" t="str">
        <f>IFERROR(VLOOKUP($B19&amp;"级"&amp;W$4,装备强化!$M:$N,2,0),W18)</f>
        <v>20级通用武器</v>
      </c>
      <c r="X19" s="7" t="str">
        <f>IFERROR(VLOOKUP($B19&amp;"级"&amp;X$4,装备强化!$M:$N,2,0),X18)</f>
        <v>10级通用头盔</v>
      </c>
      <c r="Y19" s="7" t="str">
        <f>IFERROR(VLOOKUP($B19&amp;"级"&amp;Y$4,装备强化!$M:$N,2,0),Y18)</f>
        <v>20级通用衣服</v>
      </c>
      <c r="Z19" s="7" t="str">
        <f>IFERROR(VLOOKUP($B19&amp;"级"&amp;Z$4,装备强化!$M:$N,2,0),Z18)</f>
        <v>10级通用腰带</v>
      </c>
      <c r="AA19" s="7" t="str">
        <f>IFERROR(VLOOKUP($B19&amp;"级"&amp;AA$4,装备强化!$M:$N,2,0),AA18)</f>
        <v>20级通用鞋子</v>
      </c>
      <c r="AB19" s="7" t="str">
        <f>IFERROR(VLOOKUP($B19&amp;"级"&amp;AB$4,装备强化!$M:$N,2,0),AB18)</f>
        <v>20级通用项链</v>
      </c>
      <c r="AC19" s="7" t="str">
        <f>IFERROR(VLOOKUP($B19&amp;"级"&amp;AC$4,装备强化!$M:$N,2,0),AC18)</f>
        <v>10级通用手镯</v>
      </c>
      <c r="AD19" s="7" t="str">
        <f>IFERROR(VLOOKUP($B19&amp;"级"&amp;AD$4,装备强化!$M:$N,2,0),AD18)</f>
        <v>20级通用戒指</v>
      </c>
      <c r="AE19" s="4">
        <f>IFERROR(VLOOKUP($W19,装备强化!$N:$T,AE$3,0),0)+IFERROR(VLOOKUP($X19,装备强化!$N:$T,AE$3,0),0)+IFERROR(VLOOKUP($Y19,装备强化!$N:$T,AE$3,0),0)+IFERROR(VLOOKUP($Z19,装备强化!$N:$T,AE$3,0),0)+IFERROR(VLOOKUP($AA19,装备强化!$N:$T,AE$3,0),0)+IFERROR(VLOOKUP($AB19,装备强化!$N:$T,AE$3,0),0)+IFERROR(VLOOKUP($AC19,装备强化!$N:$T,AE$3,0)*2,0)+IFERROR(VLOOKUP($AD19,装备强化!$N:$T,AE$3,0)*2,0)</f>
        <v>189</v>
      </c>
      <c r="AF19" s="4">
        <f>IFERROR(VLOOKUP($W19,装备强化!$N:$T,AF$3,0),0)+IFERROR(VLOOKUP($X19,装备强化!$N:$T,AF$3,0),0)+IFERROR(VLOOKUP($Y19,装备强化!$N:$T,AF$3,0),0)+IFERROR(VLOOKUP($Z19,装备强化!$N:$T,AF$3,0),0)+IFERROR(VLOOKUP($AA19,装备强化!$N:$T,AF$3,0),0)+IFERROR(VLOOKUP($AB19,装备强化!$N:$T,AF$3,0),0)+IFERROR(VLOOKUP($AC19,装备强化!$N:$T,AF$3,0)*2,0)+IFERROR(VLOOKUP($AD19,装备强化!$N:$T,AF$3,0)*2,0)</f>
        <v>21.12</v>
      </c>
      <c r="AG19" s="4">
        <f>IFERROR(VLOOKUP($W19,装备强化!$N:$T,AG$3,0),0)+IFERROR(VLOOKUP($X19,装备强化!$N:$T,AG$3,0),0)+IFERROR(VLOOKUP($Y19,装备强化!$N:$T,AG$3,0),0)+IFERROR(VLOOKUP($Z19,装备强化!$N:$T,AG$3,0),0)+IFERROR(VLOOKUP($AA19,装备强化!$N:$T,AG$3,0),0)+IFERROR(VLOOKUP($AB19,装备强化!$N:$T,AG$3,0),0)+IFERROR(VLOOKUP($AC19,装备强化!$N:$T,AG$3,0)*2,0)+IFERROR(VLOOKUP($AD19,装备强化!$N:$T,AG$3,0)*2,0)</f>
        <v>10.32</v>
      </c>
      <c r="AI19" s="4">
        <f>LOOKUP($B19,装备设定!$B$48:$B$55,装备设定!$F$48:$F$55)*(COUNTA($W19:$AB19)+COUNTA($AC19:$AD19)*2)*AI$3</f>
        <v>24.5</v>
      </c>
      <c r="AJ19" s="4">
        <f>LOOKUP($B19,装备设定!$B$48:$B$55,装备设定!$F$48:$F$55)*(COUNTA($W19:$AB19)+COUNTA($AC19:$AD19)*2)*AJ$3</f>
        <v>24.5</v>
      </c>
      <c r="AK19" s="4">
        <f>LOOKUP($B19,装备设定!$B$48:$B$55,装备设定!$F$48:$F$55)*(COUNTA($W19:$AB19)+COUNTA($AC19:$AD19)*2)*AK$3</f>
        <v>24.5</v>
      </c>
    </row>
    <row r="20" spans="1:37">
      <c r="A20" s="4">
        <f>INT(C20*基础设定!$D$9+D20*基础设定!$D$11+E20*基础设定!$D$14)</f>
        <v>4010</v>
      </c>
      <c r="B20" s="4">
        <v>16</v>
      </c>
      <c r="C20" s="4">
        <f t="shared" si="2"/>
        <v>549.8</v>
      </c>
      <c r="D20" s="4">
        <f t="shared" si="3"/>
        <v>159.68</v>
      </c>
      <c r="E20" s="4">
        <f t="shared" si="4"/>
        <v>131.37</v>
      </c>
      <c r="F20" s="4">
        <f t="shared" si="5"/>
        <v>28.31</v>
      </c>
      <c r="G20" s="4">
        <f t="shared" si="6"/>
        <v>19.4206993995055</v>
      </c>
      <c r="H20" s="4">
        <f t="shared" si="7"/>
        <v>211.616</v>
      </c>
      <c r="I20" s="4">
        <f t="shared" si="8"/>
        <v>80.246</v>
      </c>
      <c r="J20" s="4">
        <f t="shared" si="9"/>
        <v>6.85143184707026</v>
      </c>
      <c r="N20" s="4">
        <f>N19+职业基础属性!D$3*LOOKUP($B20,职业基础属性!$M$8:$M$16,职业基础属性!$O$8:$O$16)</f>
        <v>165.5</v>
      </c>
      <c r="O20" s="4">
        <f>O19+职业基础属性!F$3*LOOKUP($B20,职业基础属性!$M$8:$M$16,职业基础属性!$O$8:$O$16)</f>
        <v>33.1</v>
      </c>
      <c r="P20" s="4">
        <f>P19+职业基础属性!I$3*LOOKUP($B20,职业基础属性!$M$8:$M$16,职业基础属性!$O$8:$O$16)</f>
        <v>16.55</v>
      </c>
      <c r="R20" s="4">
        <v>16</v>
      </c>
      <c r="S20" s="4">
        <f t="shared" si="10"/>
        <v>160</v>
      </c>
      <c r="T20" s="4">
        <f t="shared" si="1"/>
        <v>80</v>
      </c>
      <c r="U20" s="4">
        <f t="shared" si="1"/>
        <v>80</v>
      </c>
      <c r="W20" s="7" t="str">
        <f>IFERROR(VLOOKUP($B20&amp;"级"&amp;W$4,装备强化!$M:$N,2,0),W19)</f>
        <v>20级通用武器</v>
      </c>
      <c r="X20" s="7" t="str">
        <f>IFERROR(VLOOKUP($B20&amp;"级"&amp;X$4,装备强化!$M:$N,2,0),X19)</f>
        <v>10级通用头盔</v>
      </c>
      <c r="Y20" s="7" t="str">
        <f>IFERROR(VLOOKUP($B20&amp;"级"&amp;Y$4,装备强化!$M:$N,2,0),Y19)</f>
        <v>20级通用衣服</v>
      </c>
      <c r="Z20" s="7" t="str">
        <f>IFERROR(VLOOKUP($B20&amp;"级"&amp;Z$4,装备强化!$M:$N,2,0),Z19)</f>
        <v>10级通用腰带</v>
      </c>
      <c r="AA20" s="7" t="str">
        <f>IFERROR(VLOOKUP($B20&amp;"级"&amp;AA$4,装备强化!$M:$N,2,0),AA19)</f>
        <v>20级通用鞋子</v>
      </c>
      <c r="AB20" s="7" t="str">
        <f>IFERROR(VLOOKUP($B20&amp;"级"&amp;AB$4,装备强化!$M:$N,2,0),AB19)</f>
        <v>20级通用项链</v>
      </c>
      <c r="AC20" s="7" t="str">
        <f>IFERROR(VLOOKUP($B20&amp;"级"&amp;AC$4,装备强化!$M:$N,2,0),AC19)</f>
        <v>20级通用手镯</v>
      </c>
      <c r="AD20" s="7" t="str">
        <f>IFERROR(VLOOKUP($B20&amp;"级"&amp;AD$4,装备强化!$M:$N,2,0),AD19)</f>
        <v>20级通用戒指</v>
      </c>
      <c r="AE20" s="4">
        <f>IFERROR(VLOOKUP($W20,装备强化!$N:$T,AE$3,0),0)+IFERROR(VLOOKUP($X20,装备强化!$N:$T,AE$3,0),0)+IFERROR(VLOOKUP($Y20,装备强化!$N:$T,AE$3,0),0)+IFERROR(VLOOKUP($Z20,装备强化!$N:$T,AE$3,0),0)+IFERROR(VLOOKUP($AA20,装备强化!$N:$T,AE$3,0),0)+IFERROR(VLOOKUP($AB20,装备强化!$N:$T,AE$3,0),0)+IFERROR(VLOOKUP($AC20,装备强化!$N:$T,AE$3,0)*2,0)+IFERROR(VLOOKUP($AD20,装备强化!$N:$T,AE$3,0)*2,0)</f>
        <v>199.8</v>
      </c>
      <c r="AF20" s="4">
        <f>IFERROR(VLOOKUP($W20,装备强化!$N:$T,AF$3,0),0)+IFERROR(VLOOKUP($X20,装备强化!$N:$T,AF$3,0),0)+IFERROR(VLOOKUP($Y20,装备强化!$N:$T,AF$3,0),0)+IFERROR(VLOOKUP($Z20,装备强化!$N:$T,AF$3,0),0)+IFERROR(VLOOKUP($AA20,装备强化!$N:$T,AF$3,0),0)+IFERROR(VLOOKUP($AB20,装备强化!$N:$T,AF$3,0),0)+IFERROR(VLOOKUP($AC20,装备强化!$N:$T,AF$3,0)*2,0)+IFERROR(VLOOKUP($AD20,装备强化!$N:$T,AF$3,0)*2,0)</f>
        <v>22.08</v>
      </c>
      <c r="AG20" s="4">
        <f>IFERROR(VLOOKUP($W20,装备强化!$N:$T,AG$3,0),0)+IFERROR(VLOOKUP($X20,装备强化!$N:$T,AG$3,0),0)+IFERROR(VLOOKUP($Y20,装备强化!$N:$T,AG$3,0),0)+IFERROR(VLOOKUP($Z20,装备强化!$N:$T,AG$3,0),0)+IFERROR(VLOOKUP($AA20,装备强化!$N:$T,AG$3,0),0)+IFERROR(VLOOKUP($AB20,装备强化!$N:$T,AG$3,0),0)+IFERROR(VLOOKUP($AC20,装备强化!$N:$T,AG$3,0)*2,0)+IFERROR(VLOOKUP($AD20,装备强化!$N:$T,AG$3,0)*2,0)</f>
        <v>10.32</v>
      </c>
      <c r="AI20" s="4">
        <f>LOOKUP($B20,装备设定!$B$48:$B$55,装备设定!$F$48:$F$55)*(COUNTA($W20:$AB20)+COUNTA($AC20:$AD20)*2)*AI$3</f>
        <v>24.5</v>
      </c>
      <c r="AJ20" s="4">
        <f>LOOKUP($B20,装备设定!$B$48:$B$55,装备设定!$F$48:$F$55)*(COUNTA($W20:$AB20)+COUNTA($AC20:$AD20)*2)*AJ$3</f>
        <v>24.5</v>
      </c>
      <c r="AK20" s="4">
        <f>LOOKUP($B20,装备设定!$B$48:$B$55,装备设定!$F$48:$F$55)*(COUNTA($W20:$AB20)+COUNTA($AC20:$AD20)*2)*AK$3</f>
        <v>24.5</v>
      </c>
    </row>
    <row r="21" spans="1:37">
      <c r="A21" s="4">
        <f>INT(C21*基础设定!$D$9+D21*基础设定!$D$11+E21*基础设定!$D$14)</f>
        <v>4175</v>
      </c>
      <c r="B21" s="4">
        <v>17</v>
      </c>
      <c r="C21" s="4">
        <f t="shared" si="2"/>
        <v>566.3</v>
      </c>
      <c r="D21" s="4">
        <f t="shared" si="3"/>
        <v>166.7</v>
      </c>
      <c r="E21" s="4">
        <f t="shared" si="4"/>
        <v>137.62</v>
      </c>
      <c r="F21" s="4">
        <f t="shared" si="5"/>
        <v>29.08</v>
      </c>
      <c r="G21" s="4">
        <f t="shared" si="6"/>
        <v>19.4738651994498</v>
      </c>
      <c r="H21" s="4">
        <f t="shared" si="7"/>
        <v>220.04</v>
      </c>
      <c r="I21" s="4">
        <f t="shared" si="8"/>
        <v>82.42</v>
      </c>
      <c r="J21" s="4">
        <f t="shared" si="9"/>
        <v>6.87090512011648</v>
      </c>
      <c r="N21" s="4">
        <f>N20+职业基础属性!D$3*LOOKUP($B21,职业基础属性!$M$8:$M$16,职业基础属性!$O$8:$O$16)</f>
        <v>172</v>
      </c>
      <c r="O21" s="4">
        <f>O20+职业基础属性!F$3*LOOKUP($B21,职业基础属性!$M$8:$M$16,职业基础属性!$O$8:$O$16)</f>
        <v>34.4</v>
      </c>
      <c r="P21" s="4">
        <f>P20+职业基础属性!I$3*LOOKUP($B21,职业基础属性!$M$8:$M$16,职业基础属性!$O$8:$O$16)</f>
        <v>17.2</v>
      </c>
      <c r="R21" s="4">
        <v>17</v>
      </c>
      <c r="S21" s="4">
        <f t="shared" si="10"/>
        <v>170</v>
      </c>
      <c r="T21" s="4">
        <f t="shared" si="10"/>
        <v>85</v>
      </c>
      <c r="U21" s="4">
        <f t="shared" si="10"/>
        <v>85</v>
      </c>
      <c r="W21" s="7" t="str">
        <f>IFERROR(VLOOKUP($B21&amp;"级"&amp;W$4,装备强化!$M:$N,2,0),W20)</f>
        <v>20级通用武器</v>
      </c>
      <c r="X21" s="7" t="str">
        <f>IFERROR(VLOOKUP($B21&amp;"级"&amp;X$4,装备强化!$M:$N,2,0),X20)</f>
        <v>20级通用头盔</v>
      </c>
      <c r="Y21" s="7" t="str">
        <f>IFERROR(VLOOKUP($B21&amp;"级"&amp;Y$4,装备强化!$M:$N,2,0),Y20)</f>
        <v>20级通用衣服</v>
      </c>
      <c r="Z21" s="7" t="str">
        <f>IFERROR(VLOOKUP($B21&amp;"级"&amp;Z$4,装备强化!$M:$N,2,0),Z20)</f>
        <v>10级通用腰带</v>
      </c>
      <c r="AA21" s="7" t="str">
        <f>IFERROR(VLOOKUP($B21&amp;"级"&amp;AA$4,装备强化!$M:$N,2,0),AA20)</f>
        <v>20级通用鞋子</v>
      </c>
      <c r="AB21" s="7" t="str">
        <f>IFERROR(VLOOKUP($B21&amp;"级"&amp;AB$4,装备强化!$M:$N,2,0),AB20)</f>
        <v>20级通用项链</v>
      </c>
      <c r="AC21" s="7" t="str">
        <f>IFERROR(VLOOKUP($B21&amp;"级"&amp;AC$4,装备强化!$M:$N,2,0),AC20)</f>
        <v>20级通用手镯</v>
      </c>
      <c r="AD21" s="7" t="str">
        <f>IFERROR(VLOOKUP($B21&amp;"级"&amp;AD$4,装备强化!$M:$N,2,0),AD20)</f>
        <v>20级通用戒指</v>
      </c>
      <c r="AE21" s="4">
        <f>IFERROR(VLOOKUP($W21,装备强化!$N:$T,AE$3,0),0)+IFERROR(VLOOKUP($X21,装备强化!$N:$T,AE$3,0),0)+IFERROR(VLOOKUP($Y21,装备强化!$N:$T,AE$3,0),0)+IFERROR(VLOOKUP($Z21,装备强化!$N:$T,AE$3,0),0)+IFERROR(VLOOKUP($AA21,装备强化!$N:$T,AE$3,0),0)+IFERROR(VLOOKUP($AB21,装备强化!$N:$T,AE$3,0),0)+IFERROR(VLOOKUP($AC21,装备强化!$N:$T,AE$3,0)*2,0)+IFERROR(VLOOKUP($AD21,装备强化!$N:$T,AE$3,0)*2,0)</f>
        <v>199.8</v>
      </c>
      <c r="AF21" s="4">
        <f>IFERROR(VLOOKUP($W21,装备强化!$N:$T,AF$3,0),0)+IFERROR(VLOOKUP($X21,装备强化!$N:$T,AF$3,0),0)+IFERROR(VLOOKUP($Y21,装备强化!$N:$T,AF$3,0),0)+IFERROR(VLOOKUP($Z21,装备强化!$N:$T,AF$3,0),0)+IFERROR(VLOOKUP($AA21,装备强化!$N:$T,AF$3,0),0)+IFERROR(VLOOKUP($AB21,装备强化!$N:$T,AF$3,0),0)+IFERROR(VLOOKUP($AC21,装备强化!$N:$T,AF$3,0)*2,0)+IFERROR(VLOOKUP($AD21,装备强化!$N:$T,AF$3,0)*2,0)</f>
        <v>22.8</v>
      </c>
      <c r="AG21" s="4">
        <f>IFERROR(VLOOKUP($W21,装备强化!$N:$T,AG$3,0),0)+IFERROR(VLOOKUP($X21,装备强化!$N:$T,AG$3,0),0)+IFERROR(VLOOKUP($Y21,装备强化!$N:$T,AG$3,0),0)+IFERROR(VLOOKUP($Z21,装备强化!$N:$T,AG$3,0),0)+IFERROR(VLOOKUP($AA21,装备强化!$N:$T,AG$3,0),0)+IFERROR(VLOOKUP($AB21,装备强化!$N:$T,AG$3,0),0)+IFERROR(VLOOKUP($AC21,装备强化!$N:$T,AG$3,0)*2,0)+IFERROR(VLOOKUP($AD21,装备强化!$N:$T,AG$3,0)*2,0)</f>
        <v>10.92</v>
      </c>
      <c r="AI21" s="4">
        <f>LOOKUP($B21,装备设定!$B$48:$B$55,装备设定!$F$48:$F$55)*(COUNTA($W21:$AB21)+COUNTA($AC21:$AD21)*2)*AI$3</f>
        <v>24.5</v>
      </c>
      <c r="AJ21" s="4">
        <f>LOOKUP($B21,装备设定!$B$48:$B$55,装备设定!$F$48:$F$55)*(COUNTA($W21:$AB21)+COUNTA($AC21:$AD21)*2)*AJ$3</f>
        <v>24.5</v>
      </c>
      <c r="AK21" s="4">
        <f>LOOKUP($B21,装备设定!$B$48:$B$55,装备设定!$F$48:$F$55)*(COUNTA($W21:$AB21)+COUNTA($AC21:$AD21)*2)*AK$3</f>
        <v>24.5</v>
      </c>
    </row>
    <row r="22" spans="1:37">
      <c r="A22" s="4">
        <f>INT(C22*基础设定!$D$9+D22*基础设定!$D$11+E22*基础设定!$D$14)</f>
        <v>4343</v>
      </c>
      <c r="B22" s="4">
        <v>18</v>
      </c>
      <c r="C22" s="4">
        <f t="shared" si="2"/>
        <v>588.2</v>
      </c>
      <c r="D22" s="4">
        <f t="shared" si="3"/>
        <v>173</v>
      </c>
      <c r="E22" s="4">
        <f t="shared" si="4"/>
        <v>143.75</v>
      </c>
      <c r="F22" s="4">
        <f t="shared" si="5"/>
        <v>29.25</v>
      </c>
      <c r="G22" s="4">
        <f t="shared" si="6"/>
        <v>20.1094017094017</v>
      </c>
      <c r="H22" s="4">
        <f t="shared" si="7"/>
        <v>227.6</v>
      </c>
      <c r="I22" s="4">
        <f t="shared" si="8"/>
        <v>83.85</v>
      </c>
      <c r="J22" s="4">
        <f t="shared" si="9"/>
        <v>7.01490757304711</v>
      </c>
      <c r="N22" s="4">
        <f>N21+职业基础属性!D$3*LOOKUP($B22,职业基础属性!$M$8:$M$16,职业基础属性!$O$8:$O$16)</f>
        <v>178.5</v>
      </c>
      <c r="O22" s="4">
        <f>O21+职业基础属性!F$3*LOOKUP($B22,职业基础属性!$M$8:$M$16,职业基础属性!$O$8:$O$16)</f>
        <v>35.7</v>
      </c>
      <c r="P22" s="4">
        <f>P21+职业基础属性!I$3*LOOKUP($B22,职业基础属性!$M$8:$M$16,职业基础属性!$O$8:$O$16)</f>
        <v>17.85</v>
      </c>
      <c r="R22" s="4">
        <v>18</v>
      </c>
      <c r="S22" s="4">
        <f t="shared" si="10"/>
        <v>180</v>
      </c>
      <c r="T22" s="4">
        <f t="shared" si="10"/>
        <v>90</v>
      </c>
      <c r="U22" s="4">
        <f t="shared" si="10"/>
        <v>90</v>
      </c>
      <c r="W22" s="7" t="str">
        <f>IFERROR(VLOOKUP($B22&amp;"级"&amp;W$4,装备强化!$M:$N,2,0),W21)</f>
        <v>20级通用武器</v>
      </c>
      <c r="X22" s="7" t="str">
        <f>IFERROR(VLOOKUP($B22&amp;"级"&amp;X$4,装备强化!$M:$N,2,0),X21)</f>
        <v>20级通用头盔</v>
      </c>
      <c r="Y22" s="7" t="str">
        <f>IFERROR(VLOOKUP($B22&amp;"级"&amp;Y$4,装备强化!$M:$N,2,0),Y21)</f>
        <v>20级通用衣服</v>
      </c>
      <c r="Z22" s="7" t="str">
        <f>IFERROR(VLOOKUP($B22&amp;"级"&amp;Z$4,装备强化!$M:$N,2,0),Z21)</f>
        <v>20级通用腰带</v>
      </c>
      <c r="AA22" s="7" t="str">
        <f>IFERROR(VLOOKUP($B22&amp;"级"&amp;AA$4,装备强化!$M:$N,2,0),AA21)</f>
        <v>20级通用鞋子</v>
      </c>
      <c r="AB22" s="7" t="str">
        <f>IFERROR(VLOOKUP($B22&amp;"级"&amp;AB$4,装备强化!$M:$N,2,0),AB21)</f>
        <v>20级通用项链</v>
      </c>
      <c r="AC22" s="7" t="str">
        <f>IFERROR(VLOOKUP($B22&amp;"级"&amp;AC$4,装备强化!$M:$N,2,0),AC21)</f>
        <v>20级通用手镯</v>
      </c>
      <c r="AD22" s="7" t="str">
        <f>IFERROR(VLOOKUP($B22&amp;"级"&amp;AD$4,装备强化!$M:$N,2,0),AD21)</f>
        <v>20级通用戒指</v>
      </c>
      <c r="AE22" s="4">
        <f>IFERROR(VLOOKUP($W22,装备强化!$N:$T,AE$3,0),0)+IFERROR(VLOOKUP($X22,装备强化!$N:$T,AE$3,0),0)+IFERROR(VLOOKUP($Y22,装备强化!$N:$T,AE$3,0),0)+IFERROR(VLOOKUP($Z22,装备强化!$N:$T,AE$3,0),0)+IFERROR(VLOOKUP($AA22,装备强化!$N:$T,AE$3,0),0)+IFERROR(VLOOKUP($AB22,装备强化!$N:$T,AE$3,0),0)+IFERROR(VLOOKUP($AC22,装备强化!$N:$T,AE$3,0)*2,0)+IFERROR(VLOOKUP($AD22,装备强化!$N:$T,AE$3,0)*2,0)</f>
        <v>205.2</v>
      </c>
      <c r="AF22" s="4">
        <f>IFERROR(VLOOKUP($W22,装备强化!$N:$T,AF$3,0),0)+IFERROR(VLOOKUP($X22,装备强化!$N:$T,AF$3,0),0)+IFERROR(VLOOKUP($Y22,装备强化!$N:$T,AF$3,0),0)+IFERROR(VLOOKUP($Z22,装备强化!$N:$T,AF$3,0),0)+IFERROR(VLOOKUP($AA22,装备强化!$N:$T,AF$3,0),0)+IFERROR(VLOOKUP($AB22,装备强化!$N:$T,AF$3,0),0)+IFERROR(VLOOKUP($AC22,装备强化!$N:$T,AF$3,0)*2,0)+IFERROR(VLOOKUP($AD22,装备强化!$N:$T,AF$3,0)*2,0)</f>
        <v>22.8</v>
      </c>
      <c r="AG22" s="4">
        <f>IFERROR(VLOOKUP($W22,装备强化!$N:$T,AG$3,0),0)+IFERROR(VLOOKUP($X22,装备强化!$N:$T,AG$3,0),0)+IFERROR(VLOOKUP($Y22,装备强化!$N:$T,AG$3,0),0)+IFERROR(VLOOKUP($Z22,装备强化!$N:$T,AG$3,0),0)+IFERROR(VLOOKUP($AA22,装备强化!$N:$T,AG$3,0),0)+IFERROR(VLOOKUP($AB22,装备强化!$N:$T,AG$3,0),0)+IFERROR(VLOOKUP($AC22,装备强化!$N:$T,AG$3,0)*2,0)+IFERROR(VLOOKUP($AD22,装备强化!$N:$T,AG$3,0)*2,0)</f>
        <v>11.4</v>
      </c>
      <c r="AI22" s="4">
        <f>LOOKUP($B22,装备设定!$B$48:$B$55,装备设定!$F$48:$F$55)*(COUNTA($W22:$AB22)+COUNTA($AC22:$AD22)*2)*AI$3</f>
        <v>24.5</v>
      </c>
      <c r="AJ22" s="4">
        <f>LOOKUP($B22,装备设定!$B$48:$B$55,装备设定!$F$48:$F$55)*(COUNTA($W22:$AB22)+COUNTA($AC22:$AD22)*2)*AJ$3</f>
        <v>24.5</v>
      </c>
      <c r="AK22" s="4">
        <f>LOOKUP($B22,装备设定!$B$48:$B$55,装备设定!$F$48:$F$55)*(COUNTA($W22:$AB22)+COUNTA($AC22:$AD22)*2)*AK$3</f>
        <v>24.5</v>
      </c>
    </row>
    <row r="23" spans="1:37">
      <c r="A23" s="4">
        <f>INT(C23*基础设定!$D$9+D23*基础设定!$D$11+E23*基础设定!$D$14)</f>
        <v>4496</v>
      </c>
      <c r="B23" s="4">
        <v>19</v>
      </c>
      <c r="C23" s="4">
        <f t="shared" si="2"/>
        <v>604.7</v>
      </c>
      <c r="D23" s="4">
        <f t="shared" si="3"/>
        <v>179.3</v>
      </c>
      <c r="E23" s="4">
        <f t="shared" si="4"/>
        <v>149.4</v>
      </c>
      <c r="F23" s="4">
        <f t="shared" si="5"/>
        <v>29.9</v>
      </c>
      <c r="G23" s="4">
        <f t="shared" si="6"/>
        <v>20.2240802675585</v>
      </c>
      <c r="H23" s="4">
        <f t="shared" si="7"/>
        <v>235.16</v>
      </c>
      <c r="I23" s="4">
        <f t="shared" si="8"/>
        <v>85.76</v>
      </c>
      <c r="J23" s="4">
        <f t="shared" si="9"/>
        <v>7.05107276119403</v>
      </c>
      <c r="N23" s="4">
        <f>N22+职业基础属性!D$3*LOOKUP($B23,职业基础属性!$M$8:$M$16,职业基础属性!$O$8:$O$16)</f>
        <v>185</v>
      </c>
      <c r="O23" s="4">
        <f>O22+职业基础属性!F$3*LOOKUP($B23,职业基础属性!$M$8:$M$16,职业基础属性!$O$8:$O$16)</f>
        <v>37</v>
      </c>
      <c r="P23" s="4">
        <f>P22+职业基础属性!I$3*LOOKUP($B23,职业基础属性!$M$8:$M$16,职业基础属性!$O$8:$O$16)</f>
        <v>18.5</v>
      </c>
      <c r="R23" s="4">
        <v>19</v>
      </c>
      <c r="S23" s="4">
        <f t="shared" si="10"/>
        <v>190</v>
      </c>
      <c r="T23" s="4">
        <f t="shared" si="10"/>
        <v>95</v>
      </c>
      <c r="U23" s="4">
        <f t="shared" si="10"/>
        <v>95</v>
      </c>
      <c r="W23" s="7" t="str">
        <f>IFERROR(VLOOKUP($B23&amp;"级"&amp;W$4,装备强化!$M:$N,2,0),W22)</f>
        <v>20级通用武器</v>
      </c>
      <c r="X23" s="7" t="str">
        <f>IFERROR(VLOOKUP($B23&amp;"级"&amp;X$4,装备强化!$M:$N,2,0),X22)</f>
        <v>20级通用头盔</v>
      </c>
      <c r="Y23" s="7" t="str">
        <f>IFERROR(VLOOKUP($B23&amp;"级"&amp;Y$4,装备强化!$M:$N,2,0),Y22)</f>
        <v>20级通用衣服</v>
      </c>
      <c r="Z23" s="7" t="str">
        <f>IFERROR(VLOOKUP($B23&amp;"级"&amp;Z$4,装备强化!$M:$N,2,0),Z22)</f>
        <v>20级通用腰带</v>
      </c>
      <c r="AA23" s="7" t="str">
        <f>IFERROR(VLOOKUP($B23&amp;"级"&amp;AA$4,装备强化!$M:$N,2,0),AA22)</f>
        <v>20级通用鞋子</v>
      </c>
      <c r="AB23" s="7" t="str">
        <f>IFERROR(VLOOKUP($B23&amp;"级"&amp;AB$4,装备强化!$M:$N,2,0),AB22)</f>
        <v>20级通用项链</v>
      </c>
      <c r="AC23" s="7" t="str">
        <f>IFERROR(VLOOKUP($B23&amp;"级"&amp;AC$4,装备强化!$M:$N,2,0),AC22)</f>
        <v>20级通用手镯</v>
      </c>
      <c r="AD23" s="7" t="str">
        <f>IFERROR(VLOOKUP($B23&amp;"级"&amp;AD$4,装备强化!$M:$N,2,0),AD22)</f>
        <v>20级通用戒指</v>
      </c>
      <c r="AE23" s="4">
        <f>IFERROR(VLOOKUP($W23,装备强化!$N:$T,AE$3,0),0)+IFERROR(VLOOKUP($X23,装备强化!$N:$T,AE$3,0),0)+IFERROR(VLOOKUP($Y23,装备强化!$N:$T,AE$3,0),0)+IFERROR(VLOOKUP($Z23,装备强化!$N:$T,AE$3,0),0)+IFERROR(VLOOKUP($AA23,装备强化!$N:$T,AE$3,0),0)+IFERROR(VLOOKUP($AB23,装备强化!$N:$T,AE$3,0),0)+IFERROR(VLOOKUP($AC23,装备强化!$N:$T,AE$3,0)*2,0)+IFERROR(VLOOKUP($AD23,装备强化!$N:$T,AE$3,0)*2,0)</f>
        <v>205.2</v>
      </c>
      <c r="AF23" s="4">
        <f>IFERROR(VLOOKUP($W23,装备强化!$N:$T,AF$3,0),0)+IFERROR(VLOOKUP($X23,装备强化!$N:$T,AF$3,0),0)+IFERROR(VLOOKUP($Y23,装备强化!$N:$T,AF$3,0),0)+IFERROR(VLOOKUP($Z23,装备强化!$N:$T,AF$3,0),0)+IFERROR(VLOOKUP($AA23,装备强化!$N:$T,AF$3,0),0)+IFERROR(VLOOKUP($AB23,装备强化!$N:$T,AF$3,0),0)+IFERROR(VLOOKUP($AC23,装备强化!$N:$T,AF$3,0)*2,0)+IFERROR(VLOOKUP($AD23,装备强化!$N:$T,AF$3,0)*2,0)</f>
        <v>22.8</v>
      </c>
      <c r="AG23" s="4">
        <f>IFERROR(VLOOKUP($W23,装备强化!$N:$T,AG$3,0),0)+IFERROR(VLOOKUP($X23,装备强化!$N:$T,AG$3,0),0)+IFERROR(VLOOKUP($Y23,装备强化!$N:$T,AG$3,0),0)+IFERROR(VLOOKUP($Z23,装备强化!$N:$T,AG$3,0),0)+IFERROR(VLOOKUP($AA23,装备强化!$N:$T,AG$3,0),0)+IFERROR(VLOOKUP($AB23,装备强化!$N:$T,AG$3,0),0)+IFERROR(VLOOKUP($AC23,装备强化!$N:$T,AG$3,0)*2,0)+IFERROR(VLOOKUP($AD23,装备强化!$N:$T,AG$3,0)*2,0)</f>
        <v>11.4</v>
      </c>
      <c r="AI23" s="4">
        <f>LOOKUP($B23,装备设定!$B$48:$B$55,装备设定!$F$48:$F$55)*(COUNTA($W23:$AB23)+COUNTA($AC23:$AD23)*2)*AI$3</f>
        <v>24.5</v>
      </c>
      <c r="AJ23" s="4">
        <f>LOOKUP($B23,装备设定!$B$48:$B$55,装备设定!$F$48:$F$55)*(COUNTA($W23:$AB23)+COUNTA($AC23:$AD23)*2)*AJ$3</f>
        <v>24.5</v>
      </c>
      <c r="AK23" s="4">
        <f>LOOKUP($B23,装备设定!$B$48:$B$55,装备设定!$F$48:$F$55)*(COUNTA($W23:$AB23)+COUNTA($AC23:$AD23)*2)*AK$3</f>
        <v>24.5</v>
      </c>
    </row>
    <row r="24" spans="1:37">
      <c r="A24" s="4">
        <f>INT(C24*基础设定!$D$9+D24*基础设定!$D$11+E24*基础设定!$D$14)</f>
        <v>4648</v>
      </c>
      <c r="B24" s="4">
        <v>20</v>
      </c>
      <c r="C24" s="4">
        <f t="shared" si="2"/>
        <v>621.2</v>
      </c>
      <c r="D24" s="4">
        <f t="shared" si="3"/>
        <v>185.6</v>
      </c>
      <c r="E24" s="4">
        <f t="shared" si="4"/>
        <v>155.05</v>
      </c>
      <c r="F24" s="4">
        <f t="shared" si="5"/>
        <v>30.55</v>
      </c>
      <c r="G24" s="4">
        <f t="shared" si="6"/>
        <v>20.3338788870704</v>
      </c>
      <c r="H24" s="4">
        <f t="shared" si="7"/>
        <v>242.72</v>
      </c>
      <c r="I24" s="4">
        <f t="shared" si="8"/>
        <v>87.67</v>
      </c>
      <c r="J24" s="4">
        <f t="shared" si="9"/>
        <v>7.08566214212388</v>
      </c>
      <c r="N24" s="4">
        <f>N23+职业基础属性!D$3*LOOKUP($B24,职业基础属性!$M$8:$M$16,职业基础属性!$O$8:$O$16)</f>
        <v>191.5</v>
      </c>
      <c r="O24" s="4">
        <f>O23+职业基础属性!F$3*LOOKUP($B24,职业基础属性!$M$8:$M$16,职业基础属性!$O$8:$O$16)</f>
        <v>38.3</v>
      </c>
      <c r="P24" s="4">
        <f>P23+职业基础属性!I$3*LOOKUP($B24,职业基础属性!$M$8:$M$16,职业基础属性!$O$8:$O$16)</f>
        <v>19.15</v>
      </c>
      <c r="R24" s="4">
        <v>20</v>
      </c>
      <c r="S24" s="4">
        <f t="shared" si="10"/>
        <v>200</v>
      </c>
      <c r="T24" s="4">
        <f t="shared" si="10"/>
        <v>100</v>
      </c>
      <c r="U24" s="4">
        <f t="shared" si="10"/>
        <v>100</v>
      </c>
      <c r="W24" s="7" t="str">
        <f>IFERROR(VLOOKUP($B24&amp;"级"&amp;W$4,装备强化!$M:$N,2,0),W23)</f>
        <v>20级通用武器</v>
      </c>
      <c r="X24" s="7" t="str">
        <f>IFERROR(VLOOKUP($B24&amp;"级"&amp;X$4,装备强化!$M:$N,2,0),X23)</f>
        <v>20级通用头盔</v>
      </c>
      <c r="Y24" s="7" t="str">
        <f>IFERROR(VLOOKUP($B24&amp;"级"&amp;Y$4,装备强化!$M:$N,2,0),Y23)</f>
        <v>20级通用衣服</v>
      </c>
      <c r="Z24" s="7" t="str">
        <f>IFERROR(VLOOKUP($B24&amp;"级"&amp;Z$4,装备强化!$M:$N,2,0),Z23)</f>
        <v>20级通用腰带</v>
      </c>
      <c r="AA24" s="7" t="str">
        <f>IFERROR(VLOOKUP($B24&amp;"级"&amp;AA$4,装备强化!$M:$N,2,0),AA23)</f>
        <v>20级通用鞋子</v>
      </c>
      <c r="AB24" s="7" t="str">
        <f>IFERROR(VLOOKUP($B24&amp;"级"&amp;AB$4,装备强化!$M:$N,2,0),AB23)</f>
        <v>20级通用项链</v>
      </c>
      <c r="AC24" s="7" t="str">
        <f>IFERROR(VLOOKUP($B24&amp;"级"&amp;AC$4,装备强化!$M:$N,2,0),AC23)</f>
        <v>20级通用手镯</v>
      </c>
      <c r="AD24" s="7" t="str">
        <f>IFERROR(VLOOKUP($B24&amp;"级"&amp;AD$4,装备强化!$M:$N,2,0),AD23)</f>
        <v>20级通用戒指</v>
      </c>
      <c r="AE24" s="4">
        <f>IFERROR(VLOOKUP($W24,装备强化!$N:$T,AE$3,0),0)+IFERROR(VLOOKUP($X24,装备强化!$N:$T,AE$3,0),0)+IFERROR(VLOOKUP($Y24,装备强化!$N:$T,AE$3,0),0)+IFERROR(VLOOKUP($Z24,装备强化!$N:$T,AE$3,0),0)+IFERROR(VLOOKUP($AA24,装备强化!$N:$T,AE$3,0),0)+IFERROR(VLOOKUP($AB24,装备强化!$N:$T,AE$3,0),0)+IFERROR(VLOOKUP($AC24,装备强化!$N:$T,AE$3,0)*2,0)+IFERROR(VLOOKUP($AD24,装备强化!$N:$T,AE$3,0)*2,0)</f>
        <v>205.2</v>
      </c>
      <c r="AF24" s="4">
        <f>IFERROR(VLOOKUP($W24,装备强化!$N:$T,AF$3,0),0)+IFERROR(VLOOKUP($X24,装备强化!$N:$T,AF$3,0),0)+IFERROR(VLOOKUP($Y24,装备强化!$N:$T,AF$3,0),0)+IFERROR(VLOOKUP($Z24,装备强化!$N:$T,AF$3,0),0)+IFERROR(VLOOKUP($AA24,装备强化!$N:$T,AF$3,0),0)+IFERROR(VLOOKUP($AB24,装备强化!$N:$T,AF$3,0),0)+IFERROR(VLOOKUP($AC24,装备强化!$N:$T,AF$3,0)*2,0)+IFERROR(VLOOKUP($AD24,装备强化!$N:$T,AF$3,0)*2,0)</f>
        <v>22.8</v>
      </c>
      <c r="AG24" s="4">
        <f>IFERROR(VLOOKUP($W24,装备强化!$N:$T,AG$3,0),0)+IFERROR(VLOOKUP($X24,装备强化!$N:$T,AG$3,0),0)+IFERROR(VLOOKUP($Y24,装备强化!$N:$T,AG$3,0),0)+IFERROR(VLOOKUP($Z24,装备强化!$N:$T,AG$3,0),0)+IFERROR(VLOOKUP($AA24,装备强化!$N:$T,AG$3,0),0)+IFERROR(VLOOKUP($AB24,装备强化!$N:$T,AG$3,0),0)+IFERROR(VLOOKUP($AC24,装备强化!$N:$T,AG$3,0)*2,0)+IFERROR(VLOOKUP($AD24,装备强化!$N:$T,AG$3,0)*2,0)</f>
        <v>11.4</v>
      </c>
      <c r="AI24" s="4">
        <f>LOOKUP($B24,装备设定!$B$48:$B$55,装备设定!$F$48:$F$55)*(COUNTA($W24:$AB24)+COUNTA($AC24:$AD24)*2)*AI$3</f>
        <v>24.5</v>
      </c>
      <c r="AJ24" s="4">
        <f>LOOKUP($B24,装备设定!$B$48:$B$55,装备设定!$F$48:$F$55)*(COUNTA($W24:$AB24)+COUNTA($AC24:$AD24)*2)*AJ$3</f>
        <v>24.5</v>
      </c>
      <c r="AK24" s="4">
        <f>LOOKUP($B24,装备设定!$B$48:$B$55,装备设定!$F$48:$F$55)*(COUNTA($W24:$AB24)+COUNTA($AC24:$AD24)*2)*AK$3</f>
        <v>24.5</v>
      </c>
    </row>
    <row r="25" spans="1:37">
      <c r="A25" s="4">
        <f>INT(C25*基础设定!$D$9+D25*基础设定!$D$11+E25*基础设定!$D$14)</f>
        <v>5065</v>
      </c>
      <c r="B25" s="4">
        <v>21</v>
      </c>
      <c r="C25" s="4">
        <f t="shared" si="2"/>
        <v>649.7</v>
      </c>
      <c r="D25" s="4">
        <f t="shared" si="3"/>
        <v>205.22</v>
      </c>
      <c r="E25" s="4">
        <f t="shared" si="4"/>
        <v>171.35</v>
      </c>
      <c r="F25" s="4">
        <f t="shared" si="5"/>
        <v>33.87</v>
      </c>
      <c r="G25" s="4">
        <f t="shared" si="6"/>
        <v>19.1821671095365</v>
      </c>
      <c r="H25" s="4">
        <f t="shared" si="7"/>
        <v>266.264</v>
      </c>
      <c r="I25" s="4">
        <f t="shared" si="8"/>
        <v>94.914</v>
      </c>
      <c r="J25" s="4">
        <f t="shared" si="9"/>
        <v>6.84514402511747</v>
      </c>
      <c r="N25" s="4">
        <f>N24+职业基础属性!D$3*LOOKUP($B25,职业基础属性!$M$8:$M$16,职业基础属性!$O$8:$O$16)</f>
        <v>199.5</v>
      </c>
      <c r="O25" s="4">
        <f>O24+职业基础属性!F$3*LOOKUP($B25,职业基础属性!$M$8:$M$16,职业基础属性!$O$8:$O$16)</f>
        <v>39.9</v>
      </c>
      <c r="P25" s="4">
        <f>P24+职业基础属性!I$3*LOOKUP($B25,职业基础属性!$M$8:$M$16,职业基础属性!$O$8:$O$16)</f>
        <v>19.95</v>
      </c>
      <c r="R25" s="4">
        <v>21</v>
      </c>
      <c r="S25" s="4">
        <f t="shared" si="10"/>
        <v>210</v>
      </c>
      <c r="T25" s="4">
        <f t="shared" si="10"/>
        <v>105</v>
      </c>
      <c r="U25" s="4">
        <f t="shared" si="10"/>
        <v>105</v>
      </c>
      <c r="W25" s="7" t="str">
        <f>IFERROR(VLOOKUP($B25&amp;"级"&amp;W$4,装备强化!$M:$N,2,0),W24)</f>
        <v>30级通用武器</v>
      </c>
      <c r="X25" s="7" t="str">
        <f>IFERROR(VLOOKUP($B25&amp;"级"&amp;X$4,装备强化!$M:$N,2,0),X24)</f>
        <v>20级通用头盔</v>
      </c>
      <c r="Y25" s="7" t="str">
        <f>IFERROR(VLOOKUP($B25&amp;"级"&amp;Y$4,装备强化!$M:$N,2,0),Y24)</f>
        <v>20级通用衣服</v>
      </c>
      <c r="Z25" s="7" t="str">
        <f>IFERROR(VLOOKUP($B25&amp;"级"&amp;Z$4,装备强化!$M:$N,2,0),Z24)</f>
        <v>20级通用腰带</v>
      </c>
      <c r="AA25" s="7" t="str">
        <f>IFERROR(VLOOKUP($B25&amp;"级"&amp;AA$4,装备强化!$M:$N,2,0),AA24)</f>
        <v>20级通用鞋子</v>
      </c>
      <c r="AB25" s="7" t="str">
        <f>IFERROR(VLOOKUP($B25&amp;"级"&amp;AB$4,装备强化!$M:$N,2,0),AB24)</f>
        <v>20级通用项链</v>
      </c>
      <c r="AC25" s="7" t="str">
        <f>IFERROR(VLOOKUP($B25&amp;"级"&amp;AC$4,装备强化!$M:$N,2,0),AC24)</f>
        <v>20级通用手镯</v>
      </c>
      <c r="AD25" s="7" t="str">
        <f>IFERROR(VLOOKUP($B25&amp;"级"&amp;AD$4,装备强化!$M:$N,2,0),AD24)</f>
        <v>20级通用戒指</v>
      </c>
      <c r="AE25" s="4">
        <f>IFERROR(VLOOKUP($W25,装备强化!$N:$T,AE$3,0),0)+IFERROR(VLOOKUP($X25,装备强化!$N:$T,AE$3,0),0)+IFERROR(VLOOKUP($Y25,装备强化!$N:$T,AE$3,0),0)+IFERROR(VLOOKUP($Z25,装备强化!$N:$T,AE$3,0),0)+IFERROR(VLOOKUP($AA25,装备强化!$N:$T,AE$3,0),0)+IFERROR(VLOOKUP($AB25,装备强化!$N:$T,AE$3,0),0)+IFERROR(VLOOKUP($AC25,装备强化!$N:$T,AE$3,0)*2,0)+IFERROR(VLOOKUP($AD25,装备强化!$N:$T,AE$3,0)*2,0)</f>
        <v>205.2</v>
      </c>
      <c r="AF25" s="4">
        <f>IFERROR(VLOOKUP($W25,装备强化!$N:$T,AF$3,0),0)+IFERROR(VLOOKUP($X25,装备强化!$N:$T,AF$3,0),0)+IFERROR(VLOOKUP($Y25,装备强化!$N:$T,AF$3,0),0)+IFERROR(VLOOKUP($Z25,装备强化!$N:$T,AF$3,0),0)+IFERROR(VLOOKUP($AA25,装备强化!$N:$T,AF$3,0),0)+IFERROR(VLOOKUP($AB25,装备强化!$N:$T,AF$3,0),0)+IFERROR(VLOOKUP($AC25,装备强化!$N:$T,AF$3,0)*2,0)+IFERROR(VLOOKUP($AD25,装备强化!$N:$T,AF$3,0)*2,0)</f>
        <v>25.32</v>
      </c>
      <c r="AG25" s="4">
        <f>IFERROR(VLOOKUP($W25,装备强化!$N:$T,AG$3,0),0)+IFERROR(VLOOKUP($X25,装备强化!$N:$T,AG$3,0),0)+IFERROR(VLOOKUP($Y25,装备强化!$N:$T,AG$3,0),0)+IFERROR(VLOOKUP($Z25,装备强化!$N:$T,AG$3,0),0)+IFERROR(VLOOKUP($AA25,装备强化!$N:$T,AG$3,0),0)+IFERROR(VLOOKUP($AB25,装备强化!$N:$T,AG$3,0),0)+IFERROR(VLOOKUP($AC25,装备强化!$N:$T,AG$3,0)*2,0)+IFERROR(VLOOKUP($AD25,装备强化!$N:$T,AG$3,0)*2,0)</f>
        <v>11.4</v>
      </c>
      <c r="AI25" s="4">
        <f>LOOKUP($B25,装备设定!$B$48:$B$55,装备设定!$F$48:$F$55)*(COUNTA($W25:$AB25)+COUNTA($AC25:$AD25)*2)*AI$3</f>
        <v>35</v>
      </c>
      <c r="AJ25" s="4">
        <f>LOOKUP($B25,装备设定!$B$48:$B$55,装备设定!$F$48:$F$55)*(COUNTA($W25:$AB25)+COUNTA($AC25:$AD25)*2)*AJ$3</f>
        <v>35</v>
      </c>
      <c r="AK25" s="4">
        <f>LOOKUP($B25,装备设定!$B$48:$B$55,装备设定!$F$48:$F$55)*(COUNTA($W25:$AB25)+COUNTA($AC25:$AD25)*2)*AK$3</f>
        <v>35</v>
      </c>
    </row>
    <row r="26" spans="1:37">
      <c r="A26" s="4">
        <f>INT(C26*基础设定!$D$9+D26*基础设定!$D$11+E26*基础设定!$D$14)</f>
        <v>5252</v>
      </c>
      <c r="B26" s="4">
        <v>22</v>
      </c>
      <c r="C26" s="4">
        <f t="shared" si="2"/>
        <v>677.15</v>
      </c>
      <c r="D26" s="4">
        <f t="shared" si="3"/>
        <v>211.82</v>
      </c>
      <c r="E26" s="4">
        <f t="shared" si="4"/>
        <v>177.99</v>
      </c>
      <c r="F26" s="4">
        <f t="shared" si="5"/>
        <v>33.83</v>
      </c>
      <c r="G26" s="4">
        <f t="shared" si="6"/>
        <v>20.0162577593852</v>
      </c>
      <c r="H26" s="4">
        <f t="shared" si="7"/>
        <v>274.184</v>
      </c>
      <c r="I26" s="4">
        <f t="shared" si="8"/>
        <v>96.194</v>
      </c>
      <c r="J26" s="4">
        <f t="shared" si="9"/>
        <v>7.03942033806683</v>
      </c>
      <c r="N26" s="4">
        <f>N25+职业基础属性!D$3*LOOKUP($B26,职业基础属性!$M$8:$M$16,职业基础属性!$O$8:$O$16)</f>
        <v>207.5</v>
      </c>
      <c r="O26" s="4">
        <f>O25+职业基础属性!F$3*LOOKUP($B26,职业基础属性!$M$8:$M$16,职业基础属性!$O$8:$O$16)</f>
        <v>41.5</v>
      </c>
      <c r="P26" s="4">
        <f>P25+职业基础属性!I$3*LOOKUP($B26,职业基础属性!$M$8:$M$16,职业基础属性!$O$8:$O$16)</f>
        <v>20.75</v>
      </c>
      <c r="R26" s="4">
        <v>22</v>
      </c>
      <c r="S26" s="4">
        <f t="shared" si="10"/>
        <v>220</v>
      </c>
      <c r="T26" s="4">
        <f t="shared" si="10"/>
        <v>110</v>
      </c>
      <c r="U26" s="4">
        <f t="shared" si="10"/>
        <v>110</v>
      </c>
      <c r="W26" s="7" t="str">
        <f>IFERROR(VLOOKUP($B26&amp;"级"&amp;W$4,装备强化!$M:$N,2,0),W25)</f>
        <v>30级通用武器</v>
      </c>
      <c r="X26" s="7" t="str">
        <f>IFERROR(VLOOKUP($B26&amp;"级"&amp;X$4,装备强化!$M:$N,2,0),X25)</f>
        <v>20级通用头盔</v>
      </c>
      <c r="Y26" s="7" t="str">
        <f>IFERROR(VLOOKUP($B26&amp;"级"&amp;Y$4,装备强化!$M:$N,2,0),Y25)</f>
        <v>20级通用衣服</v>
      </c>
      <c r="Z26" s="7" t="str">
        <f>IFERROR(VLOOKUP($B26&amp;"级"&amp;Z$4,装备强化!$M:$N,2,0),Z25)</f>
        <v>20级通用腰带</v>
      </c>
      <c r="AA26" s="7" t="str">
        <f>IFERROR(VLOOKUP($B26&amp;"级"&amp;AA$4,装备强化!$M:$N,2,0),AA25)</f>
        <v>30级通用鞋子</v>
      </c>
      <c r="AB26" s="7" t="str">
        <f>IFERROR(VLOOKUP($B26&amp;"级"&amp;AB$4,装备强化!$M:$N,2,0),AB25)</f>
        <v>20级通用项链</v>
      </c>
      <c r="AC26" s="7" t="str">
        <f>IFERROR(VLOOKUP($B26&amp;"级"&amp;AC$4,装备强化!$M:$N,2,0),AC25)</f>
        <v>20级通用手镯</v>
      </c>
      <c r="AD26" s="7" t="str">
        <f>IFERROR(VLOOKUP($B26&amp;"级"&amp;AD$4,装备强化!$M:$N,2,0),AD25)</f>
        <v>20级通用戒指</v>
      </c>
      <c r="AE26" s="4">
        <f>IFERROR(VLOOKUP($W26,装备强化!$N:$T,AE$3,0),0)+IFERROR(VLOOKUP($X26,装备强化!$N:$T,AE$3,0),0)+IFERROR(VLOOKUP($Y26,装备强化!$N:$T,AE$3,0),0)+IFERROR(VLOOKUP($Z26,装备强化!$N:$T,AE$3,0),0)+IFERROR(VLOOKUP($AA26,装备强化!$N:$T,AE$3,0),0)+IFERROR(VLOOKUP($AB26,装备强化!$N:$T,AE$3,0),0)+IFERROR(VLOOKUP($AC26,装备强化!$N:$T,AE$3,0)*2,0)+IFERROR(VLOOKUP($AD26,装备强化!$N:$T,AE$3,0)*2,0)</f>
        <v>214.65</v>
      </c>
      <c r="AF26" s="4">
        <f>IFERROR(VLOOKUP($W26,装备强化!$N:$T,AF$3,0),0)+IFERROR(VLOOKUP($X26,装备强化!$N:$T,AF$3,0),0)+IFERROR(VLOOKUP($Y26,装备强化!$N:$T,AF$3,0),0)+IFERROR(VLOOKUP($Z26,装备强化!$N:$T,AF$3,0),0)+IFERROR(VLOOKUP($AA26,装备强化!$N:$T,AF$3,0),0)+IFERROR(VLOOKUP($AB26,装备强化!$N:$T,AF$3,0),0)+IFERROR(VLOOKUP($AC26,装备强化!$N:$T,AF$3,0)*2,0)+IFERROR(VLOOKUP($AD26,装备强化!$N:$T,AF$3,0)*2,0)</f>
        <v>25.32</v>
      </c>
      <c r="AG26" s="4">
        <f>IFERROR(VLOOKUP($W26,装备强化!$N:$T,AG$3,0),0)+IFERROR(VLOOKUP($X26,装备强化!$N:$T,AG$3,0),0)+IFERROR(VLOOKUP($Y26,装备强化!$N:$T,AG$3,0),0)+IFERROR(VLOOKUP($Z26,装备强化!$N:$T,AG$3,0),0)+IFERROR(VLOOKUP($AA26,装备强化!$N:$T,AG$3,0),0)+IFERROR(VLOOKUP($AB26,装备强化!$N:$T,AG$3,0),0)+IFERROR(VLOOKUP($AC26,装备强化!$N:$T,AG$3,0)*2,0)+IFERROR(VLOOKUP($AD26,装备强化!$N:$T,AG$3,0)*2,0)</f>
        <v>12.24</v>
      </c>
      <c r="AI26" s="4">
        <f>LOOKUP($B26,装备设定!$B$48:$B$55,装备设定!$F$48:$F$55)*(COUNTA($W26:$AB26)+COUNTA($AC26:$AD26)*2)*AI$3</f>
        <v>35</v>
      </c>
      <c r="AJ26" s="4">
        <f>LOOKUP($B26,装备设定!$B$48:$B$55,装备设定!$F$48:$F$55)*(COUNTA($W26:$AB26)+COUNTA($AC26:$AD26)*2)*AJ$3</f>
        <v>35</v>
      </c>
      <c r="AK26" s="4">
        <f>LOOKUP($B26,装备设定!$B$48:$B$55,装备设定!$F$48:$F$55)*(COUNTA($W26:$AB26)+COUNTA($AC26:$AD26)*2)*AK$3</f>
        <v>35</v>
      </c>
    </row>
    <row r="27" spans="1:37">
      <c r="A27" s="4">
        <f>INT(C27*基础设定!$D$9+D27*基础设定!$D$11+E27*基础设定!$D$14)</f>
        <v>5467</v>
      </c>
      <c r="B27" s="4">
        <v>23</v>
      </c>
      <c r="C27" s="4">
        <f t="shared" si="2"/>
        <v>714.05</v>
      </c>
      <c r="D27" s="4">
        <f t="shared" si="3"/>
        <v>220.1</v>
      </c>
      <c r="E27" s="4">
        <f t="shared" si="4"/>
        <v>183.79</v>
      </c>
      <c r="F27" s="4">
        <f t="shared" si="5"/>
        <v>36.31</v>
      </c>
      <c r="G27" s="4">
        <f t="shared" si="6"/>
        <v>19.6653814376205</v>
      </c>
      <c r="H27" s="4">
        <f t="shared" si="7"/>
        <v>284.12</v>
      </c>
      <c r="I27" s="4">
        <f t="shared" si="8"/>
        <v>100.33</v>
      </c>
      <c r="J27" s="4">
        <f t="shared" si="9"/>
        <v>7.11701385428087</v>
      </c>
      <c r="N27" s="4">
        <f>N26+职业基础属性!D$3*LOOKUP($B27,职业基础属性!$M$8:$M$16,职业基础属性!$O$8:$O$16)</f>
        <v>215.5</v>
      </c>
      <c r="O27" s="4">
        <f>O26+职业基础属性!F$3*LOOKUP($B27,职业基础属性!$M$8:$M$16,职业基础属性!$O$8:$O$16)</f>
        <v>43.1</v>
      </c>
      <c r="P27" s="4">
        <f>P26+职业基础属性!I$3*LOOKUP($B27,职业基础属性!$M$8:$M$16,职业基础属性!$O$8:$O$16)</f>
        <v>21.55</v>
      </c>
      <c r="R27" s="4">
        <v>23</v>
      </c>
      <c r="S27" s="4">
        <f t="shared" si="10"/>
        <v>230</v>
      </c>
      <c r="T27" s="4">
        <f t="shared" si="10"/>
        <v>115</v>
      </c>
      <c r="U27" s="4">
        <f t="shared" si="10"/>
        <v>115</v>
      </c>
      <c r="W27" s="7" t="str">
        <f>IFERROR(VLOOKUP($B27&amp;"级"&amp;W$4,装备强化!$M:$N,2,0),W26)</f>
        <v>30级通用武器</v>
      </c>
      <c r="X27" s="7" t="str">
        <f>IFERROR(VLOOKUP($B27&amp;"级"&amp;X$4,装备强化!$M:$N,2,0),X26)</f>
        <v>20级通用头盔</v>
      </c>
      <c r="Y27" s="7" t="str">
        <f>IFERROR(VLOOKUP($B27&amp;"级"&amp;Y$4,装备强化!$M:$N,2,0),Y26)</f>
        <v>20级通用衣服</v>
      </c>
      <c r="Z27" s="7" t="str">
        <f>IFERROR(VLOOKUP($B27&amp;"级"&amp;Z$4,装备强化!$M:$N,2,0),Z26)</f>
        <v>20级通用腰带</v>
      </c>
      <c r="AA27" s="7" t="str">
        <f>IFERROR(VLOOKUP($B27&amp;"级"&amp;AA$4,装备强化!$M:$N,2,0),AA26)</f>
        <v>30级通用鞋子</v>
      </c>
      <c r="AB27" s="7" t="str">
        <f>IFERROR(VLOOKUP($B27&amp;"级"&amp;AB$4,装备强化!$M:$N,2,0),AB26)</f>
        <v>20级通用项链</v>
      </c>
      <c r="AC27" s="7" t="str">
        <f>IFERROR(VLOOKUP($B27&amp;"级"&amp;AC$4,装备强化!$M:$N,2,0),AC26)</f>
        <v>20级通用手镯</v>
      </c>
      <c r="AD27" s="7" t="str">
        <f>IFERROR(VLOOKUP($B27&amp;"级"&amp;AD$4,装备强化!$M:$N,2,0),AD26)</f>
        <v>30级通用戒指</v>
      </c>
      <c r="AE27" s="4">
        <f>IFERROR(VLOOKUP($W27,装备强化!$N:$T,AE$3,0),0)+IFERROR(VLOOKUP($X27,装备强化!$N:$T,AE$3,0),0)+IFERROR(VLOOKUP($Y27,装备强化!$N:$T,AE$3,0),0)+IFERROR(VLOOKUP($Z27,装备强化!$N:$T,AE$3,0),0)+IFERROR(VLOOKUP($AA27,装备强化!$N:$T,AE$3,0),0)+IFERROR(VLOOKUP($AB27,装备强化!$N:$T,AE$3,0),0)+IFERROR(VLOOKUP($AC27,装备强化!$N:$T,AE$3,0)*2,0)+IFERROR(VLOOKUP($AD27,装备强化!$N:$T,AE$3,0)*2,0)</f>
        <v>233.55</v>
      </c>
      <c r="AF27" s="4">
        <f>IFERROR(VLOOKUP($W27,装备强化!$N:$T,AF$3,0),0)+IFERROR(VLOOKUP($X27,装备强化!$N:$T,AF$3,0),0)+IFERROR(VLOOKUP($Y27,装备强化!$N:$T,AF$3,0),0)+IFERROR(VLOOKUP($Z27,装备强化!$N:$T,AF$3,0),0)+IFERROR(VLOOKUP($AA27,装备强化!$N:$T,AF$3,0),0)+IFERROR(VLOOKUP($AB27,装备强化!$N:$T,AF$3,0),0)+IFERROR(VLOOKUP($AC27,装备强化!$N:$T,AF$3,0)*2,0)+IFERROR(VLOOKUP($AD27,装备强化!$N:$T,AF$3,0)*2,0)</f>
        <v>27</v>
      </c>
      <c r="AG27" s="4">
        <f>IFERROR(VLOOKUP($W27,装备强化!$N:$T,AG$3,0),0)+IFERROR(VLOOKUP($X27,装备强化!$N:$T,AG$3,0),0)+IFERROR(VLOOKUP($Y27,装备强化!$N:$T,AG$3,0),0)+IFERROR(VLOOKUP($Z27,装备强化!$N:$T,AG$3,0),0)+IFERROR(VLOOKUP($AA27,装备强化!$N:$T,AG$3,0),0)+IFERROR(VLOOKUP($AB27,装备强化!$N:$T,AG$3,0),0)+IFERROR(VLOOKUP($AC27,装备强化!$N:$T,AG$3,0)*2,0)+IFERROR(VLOOKUP($AD27,装备强化!$N:$T,AG$3,0)*2,0)</f>
        <v>12.24</v>
      </c>
      <c r="AI27" s="4">
        <f>LOOKUP($B27,装备设定!$B$48:$B$55,装备设定!$F$48:$F$55)*(COUNTA($W27:$AB27)+COUNTA($AC27:$AD27)*2)*AI$3</f>
        <v>35</v>
      </c>
      <c r="AJ27" s="4">
        <f>LOOKUP($B27,装备设定!$B$48:$B$55,装备设定!$F$48:$F$55)*(COUNTA($W27:$AB27)+COUNTA($AC27:$AD27)*2)*AJ$3</f>
        <v>35</v>
      </c>
      <c r="AK27" s="4">
        <f>LOOKUP($B27,装备设定!$B$48:$B$55,装备设定!$F$48:$F$55)*(COUNTA($W27:$AB27)+COUNTA($AC27:$AD27)*2)*AK$3</f>
        <v>35</v>
      </c>
    </row>
    <row r="28" spans="1:37">
      <c r="A28" s="4">
        <f>INT(C28*基础设定!$D$9+D28*基础设定!$D$11+E28*基础设定!$D$14)</f>
        <v>5643</v>
      </c>
      <c r="B28" s="4">
        <v>24</v>
      </c>
      <c r="C28" s="4">
        <f t="shared" si="2"/>
        <v>732.05</v>
      </c>
      <c r="D28" s="4">
        <f t="shared" si="3"/>
        <v>227.96</v>
      </c>
      <c r="E28" s="4">
        <f t="shared" si="4"/>
        <v>190.01</v>
      </c>
      <c r="F28" s="4">
        <f t="shared" si="5"/>
        <v>37.95</v>
      </c>
      <c r="G28" s="4">
        <f t="shared" si="6"/>
        <v>19.2898550724638</v>
      </c>
      <c r="H28" s="4">
        <f t="shared" si="7"/>
        <v>293.552</v>
      </c>
      <c r="I28" s="4">
        <f t="shared" si="8"/>
        <v>103.542</v>
      </c>
      <c r="J28" s="4">
        <f t="shared" si="9"/>
        <v>7.07007784280775</v>
      </c>
      <c r="N28" s="4">
        <f>N27+职业基础属性!D$3*LOOKUP($B28,职业基础属性!$M$8:$M$16,职业基础属性!$O$8:$O$16)</f>
        <v>223.5</v>
      </c>
      <c r="O28" s="4">
        <f>O27+职业基础属性!F$3*LOOKUP($B28,职业基础属性!$M$8:$M$16,职业基础属性!$O$8:$O$16)</f>
        <v>44.7</v>
      </c>
      <c r="P28" s="4">
        <f>P27+职业基础属性!I$3*LOOKUP($B28,职业基础属性!$M$8:$M$16,职业基础属性!$O$8:$O$16)</f>
        <v>22.35</v>
      </c>
      <c r="R28" s="4">
        <v>24</v>
      </c>
      <c r="S28" s="4">
        <f t="shared" si="10"/>
        <v>240</v>
      </c>
      <c r="T28" s="4">
        <f t="shared" si="10"/>
        <v>120</v>
      </c>
      <c r="U28" s="4">
        <f t="shared" si="10"/>
        <v>120</v>
      </c>
      <c r="W28" s="7" t="str">
        <f>IFERROR(VLOOKUP($B28&amp;"级"&amp;W$4,装备强化!$M:$N,2,0),W27)</f>
        <v>30级通用武器</v>
      </c>
      <c r="X28" s="7" t="str">
        <f>IFERROR(VLOOKUP($B28&amp;"级"&amp;X$4,装备强化!$M:$N,2,0),X27)</f>
        <v>20级通用头盔</v>
      </c>
      <c r="Y28" s="7" t="str">
        <f>IFERROR(VLOOKUP($B28&amp;"级"&amp;Y$4,装备强化!$M:$N,2,0),Y27)</f>
        <v>20级通用衣服</v>
      </c>
      <c r="Z28" s="7" t="str">
        <f>IFERROR(VLOOKUP($B28&amp;"级"&amp;Z$4,装备强化!$M:$N,2,0),Z27)</f>
        <v>20级通用腰带</v>
      </c>
      <c r="AA28" s="7" t="str">
        <f>IFERROR(VLOOKUP($B28&amp;"级"&amp;AA$4,装备强化!$M:$N,2,0),AA27)</f>
        <v>30级通用鞋子</v>
      </c>
      <c r="AB28" s="7" t="str">
        <f>IFERROR(VLOOKUP($B28&amp;"级"&amp;AB$4,装备强化!$M:$N,2,0),AB27)</f>
        <v>30级通用项链</v>
      </c>
      <c r="AC28" s="7" t="str">
        <f>IFERROR(VLOOKUP($B28&amp;"级"&amp;AC$4,装备强化!$M:$N,2,0),AC27)</f>
        <v>20级通用手镯</v>
      </c>
      <c r="AD28" s="7" t="str">
        <f>IFERROR(VLOOKUP($B28&amp;"级"&amp;AD$4,装备强化!$M:$N,2,0),AD27)</f>
        <v>30级通用戒指</v>
      </c>
      <c r="AE28" s="4">
        <f>IFERROR(VLOOKUP($W28,装备强化!$N:$T,AE$3,0),0)+IFERROR(VLOOKUP($X28,装备强化!$N:$T,AE$3,0),0)+IFERROR(VLOOKUP($Y28,装备强化!$N:$T,AE$3,0),0)+IFERROR(VLOOKUP($Z28,装备强化!$N:$T,AE$3,0),0)+IFERROR(VLOOKUP($AA28,装备强化!$N:$T,AE$3,0),0)+IFERROR(VLOOKUP($AB28,装备强化!$N:$T,AE$3,0),0)+IFERROR(VLOOKUP($AC28,装备强化!$N:$T,AE$3,0)*2,0)+IFERROR(VLOOKUP($AD28,装备强化!$N:$T,AE$3,0)*2,0)</f>
        <v>233.55</v>
      </c>
      <c r="AF28" s="4">
        <f>IFERROR(VLOOKUP($W28,装备强化!$N:$T,AF$3,0),0)+IFERROR(VLOOKUP($X28,装备强化!$N:$T,AF$3,0),0)+IFERROR(VLOOKUP($Y28,装备强化!$N:$T,AF$3,0),0)+IFERROR(VLOOKUP($Z28,装备强化!$N:$T,AF$3,0),0)+IFERROR(VLOOKUP($AA28,装备强化!$N:$T,AF$3,0),0)+IFERROR(VLOOKUP($AB28,装备强化!$N:$T,AF$3,0),0)+IFERROR(VLOOKUP($AC28,装备强化!$N:$T,AF$3,0)*2,0)+IFERROR(VLOOKUP($AD28,装备强化!$N:$T,AF$3,0)*2,0)</f>
        <v>28.26</v>
      </c>
      <c r="AG28" s="4">
        <f>IFERROR(VLOOKUP($W28,装备强化!$N:$T,AG$3,0),0)+IFERROR(VLOOKUP($X28,装备强化!$N:$T,AG$3,0),0)+IFERROR(VLOOKUP($Y28,装备强化!$N:$T,AG$3,0),0)+IFERROR(VLOOKUP($Z28,装备强化!$N:$T,AG$3,0),0)+IFERROR(VLOOKUP($AA28,装备强化!$N:$T,AG$3,0),0)+IFERROR(VLOOKUP($AB28,装备强化!$N:$T,AG$3,0),0)+IFERROR(VLOOKUP($AC28,装备强化!$N:$T,AG$3,0)*2,0)+IFERROR(VLOOKUP($AD28,装备强化!$N:$T,AG$3,0)*2,0)</f>
        <v>12.66</v>
      </c>
      <c r="AI28" s="4">
        <f>LOOKUP($B28,装备设定!$B$48:$B$55,装备设定!$F$48:$F$55)*(COUNTA($W28:$AB28)+COUNTA($AC28:$AD28)*2)*AI$3</f>
        <v>35</v>
      </c>
      <c r="AJ28" s="4">
        <f>LOOKUP($B28,装备设定!$B$48:$B$55,装备设定!$F$48:$F$55)*(COUNTA($W28:$AB28)+COUNTA($AC28:$AD28)*2)*AJ$3</f>
        <v>35</v>
      </c>
      <c r="AK28" s="4">
        <f>LOOKUP($B28,装备设定!$B$48:$B$55,装备设定!$F$48:$F$55)*(COUNTA($W28:$AB28)+COUNTA($AC28:$AD28)*2)*AK$3</f>
        <v>35</v>
      </c>
    </row>
    <row r="29" spans="1:37">
      <c r="A29" s="4">
        <f>INT(C29*基础设定!$D$9+D29*基础设定!$D$11+E29*基础设定!$D$14)</f>
        <v>5852</v>
      </c>
      <c r="B29" s="4">
        <v>25</v>
      </c>
      <c r="C29" s="4">
        <f t="shared" si="2"/>
        <v>768.95</v>
      </c>
      <c r="D29" s="4">
        <f t="shared" si="3"/>
        <v>234.56</v>
      </c>
      <c r="E29" s="4">
        <f t="shared" si="4"/>
        <v>196.86</v>
      </c>
      <c r="F29" s="4">
        <f t="shared" si="5"/>
        <v>37.7</v>
      </c>
      <c r="G29" s="4">
        <f t="shared" si="6"/>
        <v>20.3965517241379</v>
      </c>
      <c r="H29" s="4">
        <f t="shared" si="7"/>
        <v>301.472</v>
      </c>
      <c r="I29" s="4">
        <f t="shared" si="8"/>
        <v>104.612</v>
      </c>
      <c r="J29" s="4">
        <f t="shared" si="9"/>
        <v>7.35049516307881</v>
      </c>
      <c r="N29" s="4">
        <f>N28+职业基础属性!D$3*LOOKUP($B29,职业基础属性!$M$8:$M$16,职业基础属性!$O$8:$O$16)</f>
        <v>231.5</v>
      </c>
      <c r="O29" s="4">
        <f>O28+职业基础属性!F$3*LOOKUP($B29,职业基础属性!$M$8:$M$16,职业基础属性!$O$8:$O$16)</f>
        <v>46.3</v>
      </c>
      <c r="P29" s="4">
        <f>P28+职业基础属性!I$3*LOOKUP($B29,职业基础属性!$M$8:$M$16,职业基础属性!$O$8:$O$16)</f>
        <v>23.15</v>
      </c>
      <c r="R29" s="4">
        <v>25</v>
      </c>
      <c r="S29" s="4">
        <f t="shared" si="10"/>
        <v>250</v>
      </c>
      <c r="T29" s="4">
        <f t="shared" si="10"/>
        <v>125</v>
      </c>
      <c r="U29" s="4">
        <f t="shared" si="10"/>
        <v>125</v>
      </c>
      <c r="W29" s="7" t="str">
        <f>IFERROR(VLOOKUP($B29&amp;"级"&amp;W$4,装备强化!$M:$N,2,0),W28)</f>
        <v>30级通用武器</v>
      </c>
      <c r="X29" s="7" t="str">
        <f>IFERROR(VLOOKUP($B29&amp;"级"&amp;X$4,装备强化!$M:$N,2,0),X28)</f>
        <v>20级通用头盔</v>
      </c>
      <c r="Y29" s="7" t="str">
        <f>IFERROR(VLOOKUP($B29&amp;"级"&amp;Y$4,装备强化!$M:$N,2,0),Y28)</f>
        <v>30级通用衣服</v>
      </c>
      <c r="Z29" s="7" t="str">
        <f>IFERROR(VLOOKUP($B29&amp;"级"&amp;Z$4,装备强化!$M:$N,2,0),Z28)</f>
        <v>20级通用腰带</v>
      </c>
      <c r="AA29" s="7" t="str">
        <f>IFERROR(VLOOKUP($B29&amp;"级"&amp;AA$4,装备强化!$M:$N,2,0),AA28)</f>
        <v>30级通用鞋子</v>
      </c>
      <c r="AB29" s="7" t="str">
        <f>IFERROR(VLOOKUP($B29&amp;"级"&amp;AB$4,装备强化!$M:$N,2,0),AB28)</f>
        <v>30级通用项链</v>
      </c>
      <c r="AC29" s="7" t="str">
        <f>IFERROR(VLOOKUP($B29&amp;"级"&amp;AC$4,装备强化!$M:$N,2,0),AC28)</f>
        <v>20级通用手镯</v>
      </c>
      <c r="AD29" s="7" t="str">
        <f>IFERROR(VLOOKUP($B29&amp;"级"&amp;AD$4,装备强化!$M:$N,2,0),AD28)</f>
        <v>30级通用戒指</v>
      </c>
      <c r="AE29" s="4">
        <f>IFERROR(VLOOKUP($W29,装备强化!$N:$T,AE$3,0),0)+IFERROR(VLOOKUP($X29,装备强化!$N:$T,AE$3,0),0)+IFERROR(VLOOKUP($Y29,装备强化!$N:$T,AE$3,0),0)+IFERROR(VLOOKUP($Z29,装备强化!$N:$T,AE$3,0),0)+IFERROR(VLOOKUP($AA29,装备强化!$N:$T,AE$3,0),0)+IFERROR(VLOOKUP($AB29,装备强化!$N:$T,AE$3,0),0)+IFERROR(VLOOKUP($AC29,装备强化!$N:$T,AE$3,0)*2,0)+IFERROR(VLOOKUP($AD29,装备强化!$N:$T,AE$3,0)*2,0)</f>
        <v>252.45</v>
      </c>
      <c r="AF29" s="4">
        <f>IFERROR(VLOOKUP($W29,装备强化!$N:$T,AF$3,0),0)+IFERROR(VLOOKUP($X29,装备强化!$N:$T,AF$3,0),0)+IFERROR(VLOOKUP($Y29,装备强化!$N:$T,AF$3,0),0)+IFERROR(VLOOKUP($Z29,装备强化!$N:$T,AF$3,0),0)+IFERROR(VLOOKUP($AA29,装备强化!$N:$T,AF$3,0),0)+IFERROR(VLOOKUP($AB29,装备强化!$N:$T,AF$3,0),0)+IFERROR(VLOOKUP($AC29,装备强化!$N:$T,AF$3,0)*2,0)+IFERROR(VLOOKUP($AD29,装备强化!$N:$T,AF$3,0)*2,0)</f>
        <v>28.26</v>
      </c>
      <c r="AG29" s="4">
        <f>IFERROR(VLOOKUP($W29,装备强化!$N:$T,AG$3,0),0)+IFERROR(VLOOKUP($X29,装备强化!$N:$T,AG$3,0),0)+IFERROR(VLOOKUP($Y29,装备强化!$N:$T,AG$3,0),0)+IFERROR(VLOOKUP($Z29,装备强化!$N:$T,AG$3,0),0)+IFERROR(VLOOKUP($AA29,装备强化!$N:$T,AG$3,0),0)+IFERROR(VLOOKUP($AB29,装备强化!$N:$T,AG$3,0),0)+IFERROR(VLOOKUP($AC29,装备强化!$N:$T,AG$3,0)*2,0)+IFERROR(VLOOKUP($AD29,装备强化!$N:$T,AG$3,0)*2,0)</f>
        <v>13.71</v>
      </c>
      <c r="AI29" s="4">
        <f>LOOKUP($B29,装备设定!$B$48:$B$55,装备设定!$F$48:$F$55)*(COUNTA($W29:$AB29)+COUNTA($AC29:$AD29)*2)*AI$3</f>
        <v>35</v>
      </c>
      <c r="AJ29" s="4">
        <f>LOOKUP($B29,装备设定!$B$48:$B$55,装备设定!$F$48:$F$55)*(COUNTA($W29:$AB29)+COUNTA($AC29:$AD29)*2)*AJ$3</f>
        <v>35</v>
      </c>
      <c r="AK29" s="4">
        <f>LOOKUP($B29,装备设定!$B$48:$B$55,装备设定!$F$48:$F$55)*(COUNTA($W29:$AB29)+COUNTA($AC29:$AD29)*2)*AK$3</f>
        <v>35</v>
      </c>
    </row>
    <row r="30" spans="1:37">
      <c r="A30" s="4">
        <f>INT(C30*基础设定!$D$9+D30*基础设定!$D$11+E30*基础设定!$D$14)</f>
        <v>6066</v>
      </c>
      <c r="B30" s="4">
        <v>26</v>
      </c>
      <c r="C30" s="4">
        <f t="shared" si="2"/>
        <v>805.85</v>
      </c>
      <c r="D30" s="4">
        <f t="shared" si="3"/>
        <v>242.84</v>
      </c>
      <c r="E30" s="4">
        <f t="shared" si="4"/>
        <v>202.66</v>
      </c>
      <c r="F30" s="4">
        <f t="shared" si="5"/>
        <v>40.18</v>
      </c>
      <c r="G30" s="4">
        <f t="shared" si="6"/>
        <v>20.0559980089597</v>
      </c>
      <c r="H30" s="4">
        <f t="shared" si="7"/>
        <v>311.408</v>
      </c>
      <c r="I30" s="4">
        <f t="shared" si="8"/>
        <v>108.748</v>
      </c>
      <c r="J30" s="4">
        <f t="shared" si="9"/>
        <v>7.410251223011</v>
      </c>
      <c r="N30" s="4">
        <f>N29+职业基础属性!D$3*LOOKUP($B30,职业基础属性!$M$8:$M$16,职业基础属性!$O$8:$O$16)</f>
        <v>239.5</v>
      </c>
      <c r="O30" s="4">
        <f>O29+职业基础属性!F$3*LOOKUP($B30,职业基础属性!$M$8:$M$16,职业基础属性!$O$8:$O$16)</f>
        <v>47.9</v>
      </c>
      <c r="P30" s="4">
        <f>P29+职业基础属性!I$3*LOOKUP($B30,职业基础属性!$M$8:$M$16,职业基础属性!$O$8:$O$16)</f>
        <v>23.95</v>
      </c>
      <c r="R30" s="4">
        <v>26</v>
      </c>
      <c r="S30" s="4">
        <f t="shared" si="10"/>
        <v>260</v>
      </c>
      <c r="T30" s="4">
        <f t="shared" si="10"/>
        <v>130</v>
      </c>
      <c r="U30" s="4">
        <f t="shared" si="10"/>
        <v>130</v>
      </c>
      <c r="W30" s="7" t="str">
        <f>IFERROR(VLOOKUP($B30&amp;"级"&amp;W$4,装备强化!$M:$N,2,0),W29)</f>
        <v>30级通用武器</v>
      </c>
      <c r="X30" s="7" t="str">
        <f>IFERROR(VLOOKUP($B30&amp;"级"&amp;X$4,装备强化!$M:$N,2,0),X29)</f>
        <v>20级通用头盔</v>
      </c>
      <c r="Y30" s="7" t="str">
        <f>IFERROR(VLOOKUP($B30&amp;"级"&amp;Y$4,装备强化!$M:$N,2,0),Y29)</f>
        <v>30级通用衣服</v>
      </c>
      <c r="Z30" s="7" t="str">
        <f>IFERROR(VLOOKUP($B30&amp;"级"&amp;Z$4,装备强化!$M:$N,2,0),Z29)</f>
        <v>20级通用腰带</v>
      </c>
      <c r="AA30" s="7" t="str">
        <f>IFERROR(VLOOKUP($B30&amp;"级"&amp;AA$4,装备强化!$M:$N,2,0),AA29)</f>
        <v>30级通用鞋子</v>
      </c>
      <c r="AB30" s="7" t="str">
        <f>IFERROR(VLOOKUP($B30&amp;"级"&amp;AB$4,装备强化!$M:$N,2,0),AB29)</f>
        <v>30级通用项链</v>
      </c>
      <c r="AC30" s="7" t="str">
        <f>IFERROR(VLOOKUP($B30&amp;"级"&amp;AC$4,装备强化!$M:$N,2,0),AC29)</f>
        <v>30级通用手镯</v>
      </c>
      <c r="AD30" s="7" t="str">
        <f>IFERROR(VLOOKUP($B30&amp;"级"&amp;AD$4,装备强化!$M:$N,2,0),AD29)</f>
        <v>30级通用戒指</v>
      </c>
      <c r="AE30" s="4">
        <f>IFERROR(VLOOKUP($W30,装备强化!$N:$T,AE$3,0),0)+IFERROR(VLOOKUP($X30,装备强化!$N:$T,AE$3,0),0)+IFERROR(VLOOKUP($Y30,装备强化!$N:$T,AE$3,0),0)+IFERROR(VLOOKUP($Z30,装备强化!$N:$T,AE$3,0),0)+IFERROR(VLOOKUP($AA30,装备强化!$N:$T,AE$3,0),0)+IFERROR(VLOOKUP($AB30,装备强化!$N:$T,AE$3,0),0)+IFERROR(VLOOKUP($AC30,装备强化!$N:$T,AE$3,0)*2,0)+IFERROR(VLOOKUP($AD30,装备强化!$N:$T,AE$3,0)*2,0)</f>
        <v>271.35</v>
      </c>
      <c r="AF30" s="4">
        <f>IFERROR(VLOOKUP($W30,装备强化!$N:$T,AF$3,0),0)+IFERROR(VLOOKUP($X30,装备强化!$N:$T,AF$3,0),0)+IFERROR(VLOOKUP($Y30,装备强化!$N:$T,AF$3,0),0)+IFERROR(VLOOKUP($Z30,装备强化!$N:$T,AF$3,0),0)+IFERROR(VLOOKUP($AA30,装备强化!$N:$T,AF$3,0),0)+IFERROR(VLOOKUP($AB30,装备强化!$N:$T,AF$3,0),0)+IFERROR(VLOOKUP($AC30,装备强化!$N:$T,AF$3,0)*2,0)+IFERROR(VLOOKUP($AD30,装备强化!$N:$T,AF$3,0)*2,0)</f>
        <v>29.94</v>
      </c>
      <c r="AG30" s="4">
        <f>IFERROR(VLOOKUP($W30,装备强化!$N:$T,AG$3,0),0)+IFERROR(VLOOKUP($X30,装备强化!$N:$T,AG$3,0),0)+IFERROR(VLOOKUP($Y30,装备强化!$N:$T,AG$3,0),0)+IFERROR(VLOOKUP($Z30,装备强化!$N:$T,AG$3,0),0)+IFERROR(VLOOKUP($AA30,装备强化!$N:$T,AG$3,0),0)+IFERROR(VLOOKUP($AB30,装备强化!$N:$T,AG$3,0),0)+IFERROR(VLOOKUP($AC30,装备强化!$N:$T,AG$3,0)*2,0)+IFERROR(VLOOKUP($AD30,装备强化!$N:$T,AG$3,0)*2,0)</f>
        <v>13.71</v>
      </c>
      <c r="AI30" s="4">
        <f>LOOKUP($B30,装备设定!$B$48:$B$55,装备设定!$F$48:$F$55)*(COUNTA($W30:$AB30)+COUNTA($AC30:$AD30)*2)*AI$3</f>
        <v>35</v>
      </c>
      <c r="AJ30" s="4">
        <f>LOOKUP($B30,装备设定!$B$48:$B$55,装备设定!$F$48:$F$55)*(COUNTA($W30:$AB30)+COUNTA($AC30:$AD30)*2)*AJ$3</f>
        <v>35</v>
      </c>
      <c r="AK30" s="4">
        <f>LOOKUP($B30,装备设定!$B$48:$B$55,装备设定!$F$48:$F$55)*(COUNTA($W30:$AB30)+COUNTA($AC30:$AD30)*2)*AK$3</f>
        <v>35</v>
      </c>
    </row>
    <row r="31" spans="1:37">
      <c r="A31" s="4">
        <f>INT(C31*基础设定!$D$9+D31*基础设定!$D$11+E31*基础设定!$D$14)</f>
        <v>6249</v>
      </c>
      <c r="B31" s="4">
        <v>27</v>
      </c>
      <c r="C31" s="4">
        <f t="shared" si="2"/>
        <v>823.85</v>
      </c>
      <c r="D31" s="4">
        <f t="shared" si="3"/>
        <v>250.7</v>
      </c>
      <c r="E31" s="4">
        <f t="shared" si="4"/>
        <v>209.51</v>
      </c>
      <c r="F31" s="4">
        <f t="shared" si="5"/>
        <v>41.19</v>
      </c>
      <c r="G31" s="4">
        <f t="shared" si="6"/>
        <v>20.0012138868657</v>
      </c>
      <c r="H31" s="4">
        <f t="shared" si="7"/>
        <v>320.84</v>
      </c>
      <c r="I31" s="4">
        <f t="shared" si="8"/>
        <v>111.33</v>
      </c>
      <c r="J31" s="4">
        <f t="shared" si="9"/>
        <v>7.40007185843888</v>
      </c>
      <c r="N31" s="4">
        <f>N30+职业基础属性!D$3*LOOKUP($B31,职业基础属性!$M$8:$M$16,职业基础属性!$O$8:$O$16)</f>
        <v>247.5</v>
      </c>
      <c r="O31" s="4">
        <f>O30+职业基础属性!F$3*LOOKUP($B31,职业基础属性!$M$8:$M$16,职业基础属性!$O$8:$O$16)</f>
        <v>49.5</v>
      </c>
      <c r="P31" s="4">
        <f>P30+职业基础属性!I$3*LOOKUP($B31,职业基础属性!$M$8:$M$16,职业基础属性!$O$8:$O$16)</f>
        <v>24.75</v>
      </c>
      <c r="R31" s="4">
        <v>27</v>
      </c>
      <c r="S31" s="4">
        <f t="shared" si="10"/>
        <v>270</v>
      </c>
      <c r="T31" s="4">
        <f t="shared" si="10"/>
        <v>135</v>
      </c>
      <c r="U31" s="4">
        <f t="shared" si="10"/>
        <v>135</v>
      </c>
      <c r="W31" s="7" t="str">
        <f>IFERROR(VLOOKUP($B31&amp;"级"&amp;W$4,装备强化!$M:$N,2,0),W30)</f>
        <v>30级通用武器</v>
      </c>
      <c r="X31" s="7" t="str">
        <f>IFERROR(VLOOKUP($B31&amp;"级"&amp;X$4,装备强化!$M:$N,2,0),X30)</f>
        <v>30级通用头盔</v>
      </c>
      <c r="Y31" s="7" t="str">
        <f>IFERROR(VLOOKUP($B31&amp;"级"&amp;Y$4,装备强化!$M:$N,2,0),Y30)</f>
        <v>30级通用衣服</v>
      </c>
      <c r="Z31" s="7" t="str">
        <f>IFERROR(VLOOKUP($B31&amp;"级"&amp;Z$4,装备强化!$M:$N,2,0),Z30)</f>
        <v>20级通用腰带</v>
      </c>
      <c r="AA31" s="7" t="str">
        <f>IFERROR(VLOOKUP($B31&amp;"级"&amp;AA$4,装备强化!$M:$N,2,0),AA30)</f>
        <v>30级通用鞋子</v>
      </c>
      <c r="AB31" s="7" t="str">
        <f>IFERROR(VLOOKUP($B31&amp;"级"&amp;AB$4,装备强化!$M:$N,2,0),AB30)</f>
        <v>30级通用项链</v>
      </c>
      <c r="AC31" s="7" t="str">
        <f>IFERROR(VLOOKUP($B31&amp;"级"&amp;AC$4,装备强化!$M:$N,2,0),AC30)</f>
        <v>30级通用手镯</v>
      </c>
      <c r="AD31" s="7" t="str">
        <f>IFERROR(VLOOKUP($B31&amp;"级"&amp;AD$4,装备强化!$M:$N,2,0),AD30)</f>
        <v>30级通用戒指</v>
      </c>
      <c r="AE31" s="4">
        <f>IFERROR(VLOOKUP($W31,装备强化!$N:$T,AE$3,0),0)+IFERROR(VLOOKUP($X31,装备强化!$N:$T,AE$3,0),0)+IFERROR(VLOOKUP($Y31,装备强化!$N:$T,AE$3,0),0)+IFERROR(VLOOKUP($Z31,装备强化!$N:$T,AE$3,0),0)+IFERROR(VLOOKUP($AA31,装备强化!$N:$T,AE$3,0),0)+IFERROR(VLOOKUP($AB31,装备强化!$N:$T,AE$3,0),0)+IFERROR(VLOOKUP($AC31,装备强化!$N:$T,AE$3,0)*2,0)+IFERROR(VLOOKUP($AD31,装备强化!$N:$T,AE$3,0)*2,0)</f>
        <v>271.35</v>
      </c>
      <c r="AF31" s="4">
        <f>IFERROR(VLOOKUP($W31,装备强化!$N:$T,AF$3,0),0)+IFERROR(VLOOKUP($X31,装备强化!$N:$T,AF$3,0),0)+IFERROR(VLOOKUP($Y31,装备强化!$N:$T,AF$3,0),0)+IFERROR(VLOOKUP($Z31,装备强化!$N:$T,AF$3,0),0)+IFERROR(VLOOKUP($AA31,装备强化!$N:$T,AF$3,0),0)+IFERROR(VLOOKUP($AB31,装备强化!$N:$T,AF$3,0),0)+IFERROR(VLOOKUP($AC31,装备强化!$N:$T,AF$3,0)*2,0)+IFERROR(VLOOKUP($AD31,装备强化!$N:$T,AF$3,0)*2,0)</f>
        <v>31.2</v>
      </c>
      <c r="AG31" s="4">
        <f>IFERROR(VLOOKUP($W31,装备强化!$N:$T,AG$3,0),0)+IFERROR(VLOOKUP($X31,装备强化!$N:$T,AG$3,0),0)+IFERROR(VLOOKUP($Y31,装备强化!$N:$T,AG$3,0),0)+IFERROR(VLOOKUP($Z31,装备强化!$N:$T,AG$3,0),0)+IFERROR(VLOOKUP($AA31,装备强化!$N:$T,AG$3,0),0)+IFERROR(VLOOKUP($AB31,装备强化!$N:$T,AG$3,0),0)+IFERROR(VLOOKUP($AC31,装备强化!$N:$T,AG$3,0)*2,0)+IFERROR(VLOOKUP($AD31,装备强化!$N:$T,AG$3,0)*2,0)</f>
        <v>14.76</v>
      </c>
      <c r="AI31" s="4">
        <f>LOOKUP($B31,装备设定!$B$48:$B$55,装备设定!$F$48:$F$55)*(COUNTA($W31:$AB31)+COUNTA($AC31:$AD31)*2)*AI$3</f>
        <v>35</v>
      </c>
      <c r="AJ31" s="4">
        <f>LOOKUP($B31,装备设定!$B$48:$B$55,装备设定!$F$48:$F$55)*(COUNTA($W31:$AB31)+COUNTA($AC31:$AD31)*2)*AJ$3</f>
        <v>35</v>
      </c>
      <c r="AK31" s="4">
        <f>LOOKUP($B31,装备设定!$B$48:$B$55,装备设定!$F$48:$F$55)*(COUNTA($W31:$AB31)+COUNTA($AC31:$AD31)*2)*AK$3</f>
        <v>35</v>
      </c>
    </row>
    <row r="32" spans="1:37">
      <c r="A32" s="4">
        <f>INT(C32*基础设定!$D$9+D32*基础设定!$D$11+E32*基础设定!$D$14)</f>
        <v>6437</v>
      </c>
      <c r="B32" s="4">
        <v>28</v>
      </c>
      <c r="C32" s="4">
        <f t="shared" si="2"/>
        <v>851.3</v>
      </c>
      <c r="D32" s="4">
        <f t="shared" si="3"/>
        <v>257.3</v>
      </c>
      <c r="E32" s="4">
        <f t="shared" si="4"/>
        <v>216.15</v>
      </c>
      <c r="F32" s="4">
        <f t="shared" si="5"/>
        <v>41.15</v>
      </c>
      <c r="G32" s="4">
        <f t="shared" si="6"/>
        <v>20.6877278250304</v>
      </c>
      <c r="H32" s="4">
        <f t="shared" si="7"/>
        <v>328.76</v>
      </c>
      <c r="I32" s="4">
        <f t="shared" si="8"/>
        <v>112.61</v>
      </c>
      <c r="J32" s="4">
        <f t="shared" si="9"/>
        <v>7.55971938548974</v>
      </c>
      <c r="N32" s="4">
        <f>N31+职业基础属性!D$3*LOOKUP($B32,职业基础属性!$M$8:$M$16,职业基础属性!$O$8:$O$16)</f>
        <v>255.5</v>
      </c>
      <c r="O32" s="4">
        <f>O31+职业基础属性!F$3*LOOKUP($B32,职业基础属性!$M$8:$M$16,职业基础属性!$O$8:$O$16)</f>
        <v>51.1</v>
      </c>
      <c r="P32" s="4">
        <f>P31+职业基础属性!I$3*LOOKUP($B32,职业基础属性!$M$8:$M$16,职业基础属性!$O$8:$O$16)</f>
        <v>25.55</v>
      </c>
      <c r="R32" s="4">
        <v>28</v>
      </c>
      <c r="S32" s="4">
        <f t="shared" si="10"/>
        <v>280</v>
      </c>
      <c r="T32" s="4">
        <f t="shared" si="10"/>
        <v>140</v>
      </c>
      <c r="U32" s="4">
        <f t="shared" si="10"/>
        <v>140</v>
      </c>
      <c r="W32" s="7" t="str">
        <f>IFERROR(VLOOKUP($B32&amp;"级"&amp;W$4,装备强化!$M:$N,2,0),W31)</f>
        <v>30级通用武器</v>
      </c>
      <c r="X32" s="7" t="str">
        <f>IFERROR(VLOOKUP($B32&amp;"级"&amp;X$4,装备强化!$M:$N,2,0),X31)</f>
        <v>30级通用头盔</v>
      </c>
      <c r="Y32" s="7" t="str">
        <f>IFERROR(VLOOKUP($B32&amp;"级"&amp;Y$4,装备强化!$M:$N,2,0),Y31)</f>
        <v>30级通用衣服</v>
      </c>
      <c r="Z32" s="7" t="str">
        <f>IFERROR(VLOOKUP($B32&amp;"级"&amp;Z$4,装备强化!$M:$N,2,0),Z31)</f>
        <v>30级通用腰带</v>
      </c>
      <c r="AA32" s="7" t="str">
        <f>IFERROR(VLOOKUP($B32&amp;"级"&amp;AA$4,装备强化!$M:$N,2,0),AA31)</f>
        <v>30级通用鞋子</v>
      </c>
      <c r="AB32" s="7" t="str">
        <f>IFERROR(VLOOKUP($B32&amp;"级"&amp;AB$4,装备强化!$M:$N,2,0),AB31)</f>
        <v>30级通用项链</v>
      </c>
      <c r="AC32" s="7" t="str">
        <f>IFERROR(VLOOKUP($B32&amp;"级"&amp;AC$4,装备强化!$M:$N,2,0),AC31)</f>
        <v>30级通用手镯</v>
      </c>
      <c r="AD32" s="7" t="str">
        <f>IFERROR(VLOOKUP($B32&amp;"级"&amp;AD$4,装备强化!$M:$N,2,0),AD31)</f>
        <v>30级通用戒指</v>
      </c>
      <c r="AE32" s="4">
        <f>IFERROR(VLOOKUP($W32,装备强化!$N:$T,AE$3,0),0)+IFERROR(VLOOKUP($X32,装备强化!$N:$T,AE$3,0),0)+IFERROR(VLOOKUP($Y32,装备强化!$N:$T,AE$3,0),0)+IFERROR(VLOOKUP($Z32,装备强化!$N:$T,AE$3,0),0)+IFERROR(VLOOKUP($AA32,装备强化!$N:$T,AE$3,0),0)+IFERROR(VLOOKUP($AB32,装备强化!$N:$T,AE$3,0),0)+IFERROR(VLOOKUP($AC32,装备强化!$N:$T,AE$3,0)*2,0)+IFERROR(VLOOKUP($AD32,装备强化!$N:$T,AE$3,0)*2,0)</f>
        <v>280.8</v>
      </c>
      <c r="AF32" s="4">
        <f>IFERROR(VLOOKUP($W32,装备强化!$N:$T,AF$3,0),0)+IFERROR(VLOOKUP($X32,装备强化!$N:$T,AF$3,0),0)+IFERROR(VLOOKUP($Y32,装备强化!$N:$T,AF$3,0),0)+IFERROR(VLOOKUP($Z32,装备强化!$N:$T,AF$3,0),0)+IFERROR(VLOOKUP($AA32,装备强化!$N:$T,AF$3,0),0)+IFERROR(VLOOKUP($AB32,装备强化!$N:$T,AF$3,0),0)+IFERROR(VLOOKUP($AC32,装备强化!$N:$T,AF$3,0)*2,0)+IFERROR(VLOOKUP($AD32,装备强化!$N:$T,AF$3,0)*2,0)</f>
        <v>31.2</v>
      </c>
      <c r="AG32" s="4">
        <f>IFERROR(VLOOKUP($W32,装备强化!$N:$T,AG$3,0),0)+IFERROR(VLOOKUP($X32,装备强化!$N:$T,AG$3,0),0)+IFERROR(VLOOKUP($Y32,装备强化!$N:$T,AG$3,0),0)+IFERROR(VLOOKUP($Z32,装备强化!$N:$T,AG$3,0),0)+IFERROR(VLOOKUP($AA32,装备强化!$N:$T,AG$3,0),0)+IFERROR(VLOOKUP($AB32,装备强化!$N:$T,AG$3,0),0)+IFERROR(VLOOKUP($AC32,装备强化!$N:$T,AG$3,0)*2,0)+IFERROR(VLOOKUP($AD32,装备强化!$N:$T,AG$3,0)*2,0)</f>
        <v>15.6</v>
      </c>
      <c r="AI32" s="4">
        <f>LOOKUP($B32,装备设定!$B$48:$B$55,装备设定!$F$48:$F$55)*(COUNTA($W32:$AB32)+COUNTA($AC32:$AD32)*2)*AI$3</f>
        <v>35</v>
      </c>
      <c r="AJ32" s="4">
        <f>LOOKUP($B32,装备设定!$B$48:$B$55,装备设定!$F$48:$F$55)*(COUNTA($W32:$AB32)+COUNTA($AC32:$AD32)*2)*AJ$3</f>
        <v>35</v>
      </c>
      <c r="AK32" s="4">
        <f>LOOKUP($B32,装备设定!$B$48:$B$55,装备设定!$F$48:$F$55)*(COUNTA($W32:$AB32)+COUNTA($AC32:$AD32)*2)*AK$3</f>
        <v>35</v>
      </c>
    </row>
    <row r="33" spans="1:37">
      <c r="A33" s="4">
        <f>INT(C33*基础设定!$D$9+D33*基础设定!$D$11+E33*基础设定!$D$14)</f>
        <v>6597</v>
      </c>
      <c r="B33" s="4">
        <v>29</v>
      </c>
      <c r="C33" s="4">
        <f t="shared" si="2"/>
        <v>869.3</v>
      </c>
      <c r="D33" s="4">
        <f t="shared" si="3"/>
        <v>263.9</v>
      </c>
      <c r="E33" s="4">
        <f t="shared" si="4"/>
        <v>221.95</v>
      </c>
      <c r="F33" s="4">
        <f t="shared" si="5"/>
        <v>41.95</v>
      </c>
      <c r="G33" s="4">
        <f t="shared" si="6"/>
        <v>20.7222884386174</v>
      </c>
      <c r="H33" s="4">
        <f t="shared" si="7"/>
        <v>336.68</v>
      </c>
      <c r="I33" s="4">
        <f t="shared" si="8"/>
        <v>114.73</v>
      </c>
      <c r="J33" s="4">
        <f t="shared" si="9"/>
        <v>7.57691972457073</v>
      </c>
      <c r="N33" s="4">
        <f>N32+职业基础属性!D$3*LOOKUP($B33,职业基础属性!$M$8:$M$16,职业基础属性!$O$8:$O$16)</f>
        <v>263.5</v>
      </c>
      <c r="O33" s="4">
        <f>O32+职业基础属性!F$3*LOOKUP($B33,职业基础属性!$M$8:$M$16,职业基础属性!$O$8:$O$16)</f>
        <v>52.7</v>
      </c>
      <c r="P33" s="4">
        <f>P32+职业基础属性!I$3*LOOKUP($B33,职业基础属性!$M$8:$M$16,职业基础属性!$O$8:$O$16)</f>
        <v>26.35</v>
      </c>
      <c r="R33" s="4">
        <v>29</v>
      </c>
      <c r="S33" s="4">
        <f t="shared" si="10"/>
        <v>290</v>
      </c>
      <c r="T33" s="4">
        <f t="shared" si="10"/>
        <v>145</v>
      </c>
      <c r="U33" s="4">
        <f t="shared" si="10"/>
        <v>145</v>
      </c>
      <c r="W33" s="7" t="str">
        <f>IFERROR(VLOOKUP($B33&amp;"级"&amp;W$4,装备强化!$M:$N,2,0),W32)</f>
        <v>30级通用武器</v>
      </c>
      <c r="X33" s="7" t="str">
        <f>IFERROR(VLOOKUP($B33&amp;"级"&amp;X$4,装备强化!$M:$N,2,0),X32)</f>
        <v>30级通用头盔</v>
      </c>
      <c r="Y33" s="7" t="str">
        <f>IFERROR(VLOOKUP($B33&amp;"级"&amp;Y$4,装备强化!$M:$N,2,0),Y32)</f>
        <v>30级通用衣服</v>
      </c>
      <c r="Z33" s="7" t="str">
        <f>IFERROR(VLOOKUP($B33&amp;"级"&amp;Z$4,装备强化!$M:$N,2,0),Z32)</f>
        <v>30级通用腰带</v>
      </c>
      <c r="AA33" s="7" t="str">
        <f>IFERROR(VLOOKUP($B33&amp;"级"&amp;AA$4,装备强化!$M:$N,2,0),AA32)</f>
        <v>30级通用鞋子</v>
      </c>
      <c r="AB33" s="7" t="str">
        <f>IFERROR(VLOOKUP($B33&amp;"级"&amp;AB$4,装备强化!$M:$N,2,0),AB32)</f>
        <v>30级通用项链</v>
      </c>
      <c r="AC33" s="7" t="str">
        <f>IFERROR(VLOOKUP($B33&amp;"级"&amp;AC$4,装备强化!$M:$N,2,0),AC32)</f>
        <v>30级通用手镯</v>
      </c>
      <c r="AD33" s="7" t="str">
        <f>IFERROR(VLOOKUP($B33&amp;"级"&amp;AD$4,装备强化!$M:$N,2,0),AD32)</f>
        <v>30级通用戒指</v>
      </c>
      <c r="AE33" s="4">
        <f>IFERROR(VLOOKUP($W33,装备强化!$N:$T,AE$3,0),0)+IFERROR(VLOOKUP($X33,装备强化!$N:$T,AE$3,0),0)+IFERROR(VLOOKUP($Y33,装备强化!$N:$T,AE$3,0),0)+IFERROR(VLOOKUP($Z33,装备强化!$N:$T,AE$3,0),0)+IFERROR(VLOOKUP($AA33,装备强化!$N:$T,AE$3,0),0)+IFERROR(VLOOKUP($AB33,装备强化!$N:$T,AE$3,0),0)+IFERROR(VLOOKUP($AC33,装备强化!$N:$T,AE$3,0)*2,0)+IFERROR(VLOOKUP($AD33,装备强化!$N:$T,AE$3,0)*2,0)</f>
        <v>280.8</v>
      </c>
      <c r="AF33" s="4">
        <f>IFERROR(VLOOKUP($W33,装备强化!$N:$T,AF$3,0),0)+IFERROR(VLOOKUP($X33,装备强化!$N:$T,AF$3,0),0)+IFERROR(VLOOKUP($Y33,装备强化!$N:$T,AF$3,0),0)+IFERROR(VLOOKUP($Z33,装备强化!$N:$T,AF$3,0),0)+IFERROR(VLOOKUP($AA33,装备强化!$N:$T,AF$3,0),0)+IFERROR(VLOOKUP($AB33,装备强化!$N:$T,AF$3,0),0)+IFERROR(VLOOKUP($AC33,装备强化!$N:$T,AF$3,0)*2,0)+IFERROR(VLOOKUP($AD33,装备强化!$N:$T,AF$3,0)*2,0)</f>
        <v>31.2</v>
      </c>
      <c r="AG33" s="4">
        <f>IFERROR(VLOOKUP($W33,装备强化!$N:$T,AG$3,0),0)+IFERROR(VLOOKUP($X33,装备强化!$N:$T,AG$3,0),0)+IFERROR(VLOOKUP($Y33,装备强化!$N:$T,AG$3,0),0)+IFERROR(VLOOKUP($Z33,装备强化!$N:$T,AG$3,0),0)+IFERROR(VLOOKUP($AA33,装备强化!$N:$T,AG$3,0),0)+IFERROR(VLOOKUP($AB33,装备强化!$N:$T,AG$3,0),0)+IFERROR(VLOOKUP($AC33,装备强化!$N:$T,AG$3,0)*2,0)+IFERROR(VLOOKUP($AD33,装备强化!$N:$T,AG$3,0)*2,0)</f>
        <v>15.6</v>
      </c>
      <c r="AI33" s="4">
        <f>LOOKUP($B33,装备设定!$B$48:$B$55,装备设定!$F$48:$F$55)*(COUNTA($W33:$AB33)+COUNTA($AC33:$AD33)*2)*AI$3</f>
        <v>35</v>
      </c>
      <c r="AJ33" s="4">
        <f>LOOKUP($B33,装备设定!$B$48:$B$55,装备设定!$F$48:$F$55)*(COUNTA($W33:$AB33)+COUNTA($AC33:$AD33)*2)*AJ$3</f>
        <v>35</v>
      </c>
      <c r="AK33" s="4">
        <f>LOOKUP($B33,装备设定!$B$48:$B$55,装备设定!$F$48:$F$55)*(COUNTA($W33:$AB33)+COUNTA($AC33:$AD33)*2)*AK$3</f>
        <v>35</v>
      </c>
    </row>
    <row r="34" spans="1:37">
      <c r="A34" s="4">
        <f>INT(C34*基础设定!$D$9+D34*基础设定!$D$11+E34*基础设定!$D$14)</f>
        <v>6757</v>
      </c>
      <c r="B34" s="4">
        <v>30</v>
      </c>
      <c r="C34" s="4">
        <f t="shared" si="2"/>
        <v>887.3</v>
      </c>
      <c r="D34" s="4">
        <f t="shared" si="3"/>
        <v>270.5</v>
      </c>
      <c r="E34" s="4">
        <f t="shared" si="4"/>
        <v>227.75</v>
      </c>
      <c r="F34" s="4">
        <f t="shared" si="5"/>
        <v>42.75</v>
      </c>
      <c r="G34" s="4">
        <f t="shared" si="6"/>
        <v>20.7555555555556</v>
      </c>
      <c r="H34" s="4">
        <f t="shared" si="7"/>
        <v>344.6</v>
      </c>
      <c r="I34" s="4">
        <f t="shared" si="8"/>
        <v>116.85</v>
      </c>
      <c r="J34" s="4">
        <f t="shared" si="9"/>
        <v>7.59349593495935</v>
      </c>
      <c r="N34" s="4">
        <f>N33+职业基础属性!D$3*LOOKUP($B34,职业基础属性!$M$8:$M$16,职业基础属性!$O$8:$O$16)</f>
        <v>271.5</v>
      </c>
      <c r="O34" s="4">
        <f>O33+职业基础属性!F$3*LOOKUP($B34,职业基础属性!$M$8:$M$16,职业基础属性!$O$8:$O$16)</f>
        <v>54.3</v>
      </c>
      <c r="P34" s="4">
        <f>P33+职业基础属性!I$3*LOOKUP($B34,职业基础属性!$M$8:$M$16,职业基础属性!$O$8:$O$16)</f>
        <v>27.15</v>
      </c>
      <c r="R34" s="4">
        <v>30</v>
      </c>
      <c r="S34" s="4">
        <f t="shared" si="10"/>
        <v>300</v>
      </c>
      <c r="T34" s="4">
        <f t="shared" si="10"/>
        <v>150</v>
      </c>
      <c r="U34" s="4">
        <f t="shared" si="10"/>
        <v>150</v>
      </c>
      <c r="W34" s="7" t="str">
        <f>IFERROR(VLOOKUP($B34&amp;"级"&amp;W$4,装备强化!$M:$N,2,0),W33)</f>
        <v>30级通用武器</v>
      </c>
      <c r="X34" s="7" t="str">
        <f>IFERROR(VLOOKUP($B34&amp;"级"&amp;X$4,装备强化!$M:$N,2,0),X33)</f>
        <v>30级通用头盔</v>
      </c>
      <c r="Y34" s="7" t="str">
        <f>IFERROR(VLOOKUP($B34&amp;"级"&amp;Y$4,装备强化!$M:$N,2,0),Y33)</f>
        <v>30级通用衣服</v>
      </c>
      <c r="Z34" s="7" t="str">
        <f>IFERROR(VLOOKUP($B34&amp;"级"&amp;Z$4,装备强化!$M:$N,2,0),Z33)</f>
        <v>30级通用腰带</v>
      </c>
      <c r="AA34" s="7" t="str">
        <f>IFERROR(VLOOKUP($B34&amp;"级"&amp;AA$4,装备强化!$M:$N,2,0),AA33)</f>
        <v>30级通用鞋子</v>
      </c>
      <c r="AB34" s="7" t="str">
        <f>IFERROR(VLOOKUP($B34&amp;"级"&amp;AB$4,装备强化!$M:$N,2,0),AB33)</f>
        <v>30级通用项链</v>
      </c>
      <c r="AC34" s="7" t="str">
        <f>IFERROR(VLOOKUP($B34&amp;"级"&amp;AC$4,装备强化!$M:$N,2,0),AC33)</f>
        <v>30级通用手镯</v>
      </c>
      <c r="AD34" s="7" t="str">
        <f>IFERROR(VLOOKUP($B34&amp;"级"&amp;AD$4,装备强化!$M:$N,2,0),AD33)</f>
        <v>30级通用戒指</v>
      </c>
      <c r="AE34" s="4">
        <f>IFERROR(VLOOKUP($W34,装备强化!$N:$T,AE$3,0),0)+IFERROR(VLOOKUP($X34,装备强化!$N:$T,AE$3,0),0)+IFERROR(VLOOKUP($Y34,装备强化!$N:$T,AE$3,0),0)+IFERROR(VLOOKUP($Z34,装备强化!$N:$T,AE$3,0),0)+IFERROR(VLOOKUP($AA34,装备强化!$N:$T,AE$3,0),0)+IFERROR(VLOOKUP($AB34,装备强化!$N:$T,AE$3,0),0)+IFERROR(VLOOKUP($AC34,装备强化!$N:$T,AE$3,0)*2,0)+IFERROR(VLOOKUP($AD34,装备强化!$N:$T,AE$3,0)*2,0)</f>
        <v>280.8</v>
      </c>
      <c r="AF34" s="4">
        <f>IFERROR(VLOOKUP($W34,装备强化!$N:$T,AF$3,0),0)+IFERROR(VLOOKUP($X34,装备强化!$N:$T,AF$3,0),0)+IFERROR(VLOOKUP($Y34,装备强化!$N:$T,AF$3,0),0)+IFERROR(VLOOKUP($Z34,装备强化!$N:$T,AF$3,0),0)+IFERROR(VLOOKUP($AA34,装备强化!$N:$T,AF$3,0),0)+IFERROR(VLOOKUP($AB34,装备强化!$N:$T,AF$3,0),0)+IFERROR(VLOOKUP($AC34,装备强化!$N:$T,AF$3,0)*2,0)+IFERROR(VLOOKUP($AD34,装备强化!$N:$T,AF$3,0)*2,0)</f>
        <v>31.2</v>
      </c>
      <c r="AG34" s="4">
        <f>IFERROR(VLOOKUP($W34,装备强化!$N:$T,AG$3,0),0)+IFERROR(VLOOKUP($X34,装备强化!$N:$T,AG$3,0),0)+IFERROR(VLOOKUP($Y34,装备强化!$N:$T,AG$3,0),0)+IFERROR(VLOOKUP($Z34,装备强化!$N:$T,AG$3,0),0)+IFERROR(VLOOKUP($AA34,装备强化!$N:$T,AG$3,0),0)+IFERROR(VLOOKUP($AB34,装备强化!$N:$T,AG$3,0),0)+IFERROR(VLOOKUP($AC34,装备强化!$N:$T,AG$3,0)*2,0)+IFERROR(VLOOKUP($AD34,装备强化!$N:$T,AG$3,0)*2,0)</f>
        <v>15.6</v>
      </c>
      <c r="AI34" s="4">
        <f>LOOKUP($B34,装备设定!$B$48:$B$55,装备设定!$F$48:$F$55)*(COUNTA($W34:$AB34)+COUNTA($AC34:$AD34)*2)*AI$3</f>
        <v>35</v>
      </c>
      <c r="AJ34" s="4">
        <f>LOOKUP($B34,装备设定!$B$48:$B$55,装备设定!$F$48:$F$55)*(COUNTA($W34:$AB34)+COUNTA($AC34:$AD34)*2)*AJ$3</f>
        <v>35</v>
      </c>
      <c r="AK34" s="4">
        <f>LOOKUP($B34,装备设定!$B$48:$B$55,装备设定!$F$48:$F$55)*(COUNTA($W34:$AB34)+COUNTA($AC34:$AD34)*2)*AK$3</f>
        <v>35</v>
      </c>
    </row>
    <row r="35" spans="1:37">
      <c r="A35" s="4">
        <f>INT(C35*基础设定!$D$9+D35*基础设定!$D$11+E35*基础设定!$D$14)</f>
        <v>7147</v>
      </c>
      <c r="B35" s="4">
        <v>31</v>
      </c>
      <c r="C35" s="4">
        <f t="shared" si="2"/>
        <v>911.3</v>
      </c>
      <c r="D35" s="4">
        <f t="shared" si="3"/>
        <v>289.74</v>
      </c>
      <c r="E35" s="4">
        <f t="shared" si="4"/>
        <v>242.75</v>
      </c>
      <c r="F35" s="4">
        <f t="shared" si="5"/>
        <v>46.99</v>
      </c>
      <c r="G35" s="4">
        <f t="shared" si="6"/>
        <v>19.3934879761651</v>
      </c>
      <c r="H35" s="4">
        <f t="shared" si="7"/>
        <v>367.688</v>
      </c>
      <c r="I35" s="4">
        <f t="shared" si="8"/>
        <v>124.938</v>
      </c>
      <c r="J35" s="4">
        <f t="shared" si="9"/>
        <v>7.29401783284509</v>
      </c>
      <c r="N35" s="4">
        <f>N34+职业基础属性!D$3*LOOKUP($B35,职业基础属性!$M$8:$M$16,职业基础属性!$O$8:$O$16)</f>
        <v>281.5</v>
      </c>
      <c r="O35" s="4">
        <f>O34+职业基础属性!F$3*LOOKUP($B35,职业基础属性!$M$8:$M$16,职业基础属性!$O$8:$O$16)</f>
        <v>56.3</v>
      </c>
      <c r="P35" s="4">
        <f>P34+职业基础属性!I$3*LOOKUP($B35,职业基础属性!$M$8:$M$16,职业基础属性!$O$8:$O$16)</f>
        <v>28.15</v>
      </c>
      <c r="R35" s="4">
        <f>R34</f>
        <v>30</v>
      </c>
      <c r="S35" s="4">
        <f t="shared" si="10"/>
        <v>300</v>
      </c>
      <c r="T35" s="4">
        <f t="shared" si="10"/>
        <v>150</v>
      </c>
      <c r="U35" s="4">
        <f t="shared" si="10"/>
        <v>150</v>
      </c>
      <c r="W35" s="7" t="str">
        <f>IFERROR(VLOOKUP($B35&amp;"级"&amp;W$4,装备强化!$M:$N,2,0),W34)</f>
        <v>40级通用武器</v>
      </c>
      <c r="X35" s="7" t="str">
        <f>IFERROR(VLOOKUP($B35&amp;"级"&amp;X$4,装备强化!$M:$N,2,0),X34)</f>
        <v>30级通用头盔</v>
      </c>
      <c r="Y35" s="7" t="str">
        <f>IFERROR(VLOOKUP($B35&amp;"级"&amp;Y$4,装备强化!$M:$N,2,0),Y34)</f>
        <v>30级通用衣服</v>
      </c>
      <c r="Z35" s="7" t="str">
        <f>IFERROR(VLOOKUP($B35&amp;"级"&amp;Z$4,装备强化!$M:$N,2,0),Z34)</f>
        <v>30级通用腰带</v>
      </c>
      <c r="AA35" s="7" t="str">
        <f>IFERROR(VLOOKUP($B35&amp;"级"&amp;AA$4,装备强化!$M:$N,2,0),AA34)</f>
        <v>30级通用鞋子</v>
      </c>
      <c r="AB35" s="7" t="str">
        <f>IFERROR(VLOOKUP($B35&amp;"级"&amp;AB$4,装备强化!$M:$N,2,0),AB34)</f>
        <v>30级通用项链</v>
      </c>
      <c r="AC35" s="7" t="str">
        <f>IFERROR(VLOOKUP($B35&amp;"级"&amp;AC$4,装备强化!$M:$N,2,0),AC34)</f>
        <v>30级通用手镯</v>
      </c>
      <c r="AD35" s="7" t="str">
        <f>IFERROR(VLOOKUP($B35&amp;"级"&amp;AD$4,装备强化!$M:$N,2,0),AD34)</f>
        <v>30级通用戒指</v>
      </c>
      <c r="AE35" s="4">
        <f>IFERROR(VLOOKUP($W35,装备强化!$N:$T,AE$3,0),0)+IFERROR(VLOOKUP($X35,装备强化!$N:$T,AE$3,0),0)+IFERROR(VLOOKUP($Y35,装备强化!$N:$T,AE$3,0),0)+IFERROR(VLOOKUP($Z35,装备强化!$N:$T,AE$3,0),0)+IFERROR(VLOOKUP($AA35,装备强化!$N:$T,AE$3,0),0)+IFERROR(VLOOKUP($AB35,装备强化!$N:$T,AE$3,0),0)+IFERROR(VLOOKUP($AC35,装备强化!$N:$T,AE$3,0)*2,0)+IFERROR(VLOOKUP($AD35,装备强化!$N:$T,AE$3,0)*2,0)</f>
        <v>280.8</v>
      </c>
      <c r="AF35" s="4">
        <f>IFERROR(VLOOKUP($W35,装备强化!$N:$T,AF$3,0),0)+IFERROR(VLOOKUP($X35,装备强化!$N:$T,AF$3,0),0)+IFERROR(VLOOKUP($Y35,装备强化!$N:$T,AF$3,0),0)+IFERROR(VLOOKUP($Z35,装备强化!$N:$T,AF$3,0),0)+IFERROR(VLOOKUP($AA35,装备强化!$N:$T,AF$3,0),0)+IFERROR(VLOOKUP($AB35,装备强化!$N:$T,AF$3,0),0)+IFERROR(VLOOKUP($AC35,装备强化!$N:$T,AF$3,0)*2,0)+IFERROR(VLOOKUP($AD35,装备强化!$N:$T,AF$3,0)*2,0)</f>
        <v>34.44</v>
      </c>
      <c r="AG35" s="4">
        <f>IFERROR(VLOOKUP($W35,装备强化!$N:$T,AG$3,0),0)+IFERROR(VLOOKUP($X35,装备强化!$N:$T,AG$3,0),0)+IFERROR(VLOOKUP($Y35,装备强化!$N:$T,AG$3,0),0)+IFERROR(VLOOKUP($Z35,装备强化!$N:$T,AG$3,0),0)+IFERROR(VLOOKUP($AA35,装备强化!$N:$T,AG$3,0),0)+IFERROR(VLOOKUP($AB35,装备强化!$N:$T,AG$3,0),0)+IFERROR(VLOOKUP($AC35,装备强化!$N:$T,AG$3,0)*2,0)+IFERROR(VLOOKUP($AD35,装备强化!$N:$T,AG$3,0)*2,0)</f>
        <v>15.6</v>
      </c>
      <c r="AI35" s="4">
        <f>LOOKUP($B35,装备设定!$B$48:$B$55,装备设定!$F$48:$F$55)*(COUNTA($W35:$AB35)+COUNTA($AC35:$AD35)*2)*AI$3</f>
        <v>49</v>
      </c>
      <c r="AJ35" s="4">
        <f>LOOKUP($B35,装备设定!$B$48:$B$55,装备设定!$F$48:$F$55)*(COUNTA($W35:$AB35)+COUNTA($AC35:$AD35)*2)*AJ$3</f>
        <v>49</v>
      </c>
      <c r="AK35" s="4">
        <f>LOOKUP($B35,装备设定!$B$48:$B$55,装备设定!$F$48:$F$55)*(COUNTA($W35:$AB35)+COUNTA($AC35:$AD35)*2)*AK$3</f>
        <v>49</v>
      </c>
    </row>
    <row r="36" spans="1:37">
      <c r="A36" s="4">
        <f>INT(C36*基础设定!$D$9+D36*基础设定!$D$11+E36*基础设定!$D$14)</f>
        <v>7352</v>
      </c>
      <c r="B36" s="4">
        <v>32</v>
      </c>
      <c r="C36" s="4">
        <f t="shared" si="2"/>
        <v>943.45</v>
      </c>
      <c r="D36" s="4">
        <f t="shared" si="3"/>
        <v>296.74</v>
      </c>
      <c r="E36" s="4">
        <f t="shared" si="4"/>
        <v>249.83</v>
      </c>
      <c r="F36" s="4">
        <f t="shared" si="5"/>
        <v>46.91</v>
      </c>
      <c r="G36" s="4">
        <f t="shared" si="6"/>
        <v>20.111916435728</v>
      </c>
      <c r="H36" s="4">
        <f t="shared" si="7"/>
        <v>376.088</v>
      </c>
      <c r="I36" s="4">
        <f t="shared" si="8"/>
        <v>126.258</v>
      </c>
      <c r="J36" s="4">
        <f t="shared" si="9"/>
        <v>7.47239778865497</v>
      </c>
      <c r="N36" s="4">
        <f>N35+职业基础属性!D$3*LOOKUP($B36,职业基础属性!$M$8:$M$16,职业基础属性!$O$8:$O$16)</f>
        <v>291.5</v>
      </c>
      <c r="O36" s="4">
        <f>O35+职业基础属性!F$3*LOOKUP($B36,职业基础属性!$M$8:$M$16,职业基础属性!$O$8:$O$16)</f>
        <v>58.3</v>
      </c>
      <c r="P36" s="4">
        <f>P35+职业基础属性!I$3*LOOKUP($B36,职业基础属性!$M$8:$M$16,职业基础属性!$O$8:$O$16)</f>
        <v>29.15</v>
      </c>
      <c r="R36" s="4">
        <f>R34+1</f>
        <v>31</v>
      </c>
      <c r="S36" s="4">
        <f t="shared" si="10"/>
        <v>310</v>
      </c>
      <c r="T36" s="4">
        <f t="shared" si="10"/>
        <v>155</v>
      </c>
      <c r="U36" s="4">
        <f t="shared" si="10"/>
        <v>155</v>
      </c>
      <c r="W36" s="7" t="str">
        <f>IFERROR(VLOOKUP($B36&amp;"级"&amp;W$4,装备强化!$M:$N,2,0),W35)</f>
        <v>40级通用武器</v>
      </c>
      <c r="X36" s="7" t="str">
        <f>IFERROR(VLOOKUP($B36&amp;"级"&amp;X$4,装备强化!$M:$N,2,0),X35)</f>
        <v>30级通用头盔</v>
      </c>
      <c r="Y36" s="7" t="str">
        <f>IFERROR(VLOOKUP($B36&amp;"级"&amp;Y$4,装备强化!$M:$N,2,0),Y35)</f>
        <v>30级通用衣服</v>
      </c>
      <c r="Z36" s="7" t="str">
        <f>IFERROR(VLOOKUP($B36&amp;"级"&amp;Z$4,装备强化!$M:$N,2,0),Z35)</f>
        <v>30级通用腰带</v>
      </c>
      <c r="AA36" s="7" t="str">
        <f>IFERROR(VLOOKUP($B36&amp;"级"&amp;AA$4,装备强化!$M:$N,2,0),AA35)</f>
        <v>40级通用鞋子</v>
      </c>
      <c r="AB36" s="7" t="str">
        <f>IFERROR(VLOOKUP($B36&amp;"级"&amp;AB$4,装备强化!$M:$N,2,0),AB35)</f>
        <v>30级通用项链</v>
      </c>
      <c r="AC36" s="7" t="str">
        <f>IFERROR(VLOOKUP($B36&amp;"级"&amp;AC$4,装备强化!$M:$N,2,0),AC35)</f>
        <v>30级通用手镯</v>
      </c>
      <c r="AD36" s="7" t="str">
        <f>IFERROR(VLOOKUP($B36&amp;"级"&amp;AD$4,装备强化!$M:$N,2,0),AD35)</f>
        <v>30级通用戒指</v>
      </c>
      <c r="AE36" s="4">
        <f>IFERROR(VLOOKUP($W36,装备强化!$N:$T,AE$3,0),0)+IFERROR(VLOOKUP($X36,装备强化!$N:$T,AE$3,0),0)+IFERROR(VLOOKUP($Y36,装备强化!$N:$T,AE$3,0),0)+IFERROR(VLOOKUP($Z36,装备强化!$N:$T,AE$3,0),0)+IFERROR(VLOOKUP($AA36,装备强化!$N:$T,AE$3,0),0)+IFERROR(VLOOKUP($AB36,装备强化!$N:$T,AE$3,0),0)+IFERROR(VLOOKUP($AC36,装备强化!$N:$T,AE$3,0)*2,0)+IFERROR(VLOOKUP($AD36,装备强化!$N:$T,AE$3,0)*2,0)</f>
        <v>292.95</v>
      </c>
      <c r="AF36" s="4">
        <f>IFERROR(VLOOKUP($W36,装备强化!$N:$T,AF$3,0),0)+IFERROR(VLOOKUP($X36,装备强化!$N:$T,AF$3,0),0)+IFERROR(VLOOKUP($Y36,装备强化!$N:$T,AF$3,0),0)+IFERROR(VLOOKUP($Z36,装备强化!$N:$T,AF$3,0),0)+IFERROR(VLOOKUP($AA36,装备强化!$N:$T,AF$3,0),0)+IFERROR(VLOOKUP($AB36,装备强化!$N:$T,AF$3,0),0)+IFERROR(VLOOKUP($AC36,装备强化!$N:$T,AF$3,0)*2,0)+IFERROR(VLOOKUP($AD36,装备强化!$N:$T,AF$3,0)*2,0)</f>
        <v>34.44</v>
      </c>
      <c r="AG36" s="4">
        <f>IFERROR(VLOOKUP($W36,装备强化!$N:$T,AG$3,0),0)+IFERROR(VLOOKUP($X36,装备强化!$N:$T,AG$3,0),0)+IFERROR(VLOOKUP($Y36,装备强化!$N:$T,AG$3,0),0)+IFERROR(VLOOKUP($Z36,装备强化!$N:$T,AG$3,0),0)+IFERROR(VLOOKUP($AA36,装备强化!$N:$T,AG$3,0),0)+IFERROR(VLOOKUP($AB36,装备强化!$N:$T,AG$3,0),0)+IFERROR(VLOOKUP($AC36,装备强化!$N:$T,AG$3,0)*2,0)+IFERROR(VLOOKUP($AD36,装备强化!$N:$T,AG$3,0)*2,0)</f>
        <v>16.68</v>
      </c>
      <c r="AI36" s="4">
        <f>LOOKUP($B36,装备设定!$B$48:$B$55,装备设定!$F$48:$F$55)*(COUNTA($W36:$AB36)+COUNTA($AC36:$AD36)*2)*AI$3</f>
        <v>49</v>
      </c>
      <c r="AJ36" s="4">
        <f>LOOKUP($B36,装备设定!$B$48:$B$55,装备设定!$F$48:$F$55)*(COUNTA($W36:$AB36)+COUNTA($AC36:$AD36)*2)*AJ$3</f>
        <v>49</v>
      </c>
      <c r="AK36" s="4">
        <f>LOOKUP($B36,装备设定!$B$48:$B$55,装备设定!$F$48:$F$55)*(COUNTA($W36:$AB36)+COUNTA($AC36:$AD36)*2)*AK$3</f>
        <v>49</v>
      </c>
    </row>
    <row r="37" spans="1:37">
      <c r="A37" s="4">
        <f>INT(C37*基础设定!$D$9+D37*基础设定!$D$11+E37*基础设定!$D$14)</f>
        <v>7472</v>
      </c>
      <c r="B37" s="4">
        <v>33</v>
      </c>
      <c r="C37" s="4">
        <f t="shared" si="2"/>
        <v>977.75</v>
      </c>
      <c r="D37" s="4">
        <f t="shared" si="3"/>
        <v>300.9</v>
      </c>
      <c r="E37" s="4">
        <f t="shared" si="4"/>
        <v>250.83</v>
      </c>
      <c r="F37" s="4">
        <f t="shared" si="5"/>
        <v>50.07</v>
      </c>
      <c r="G37" s="4">
        <f t="shared" si="6"/>
        <v>19.5276612742161</v>
      </c>
      <c r="H37" s="4">
        <f t="shared" si="7"/>
        <v>381.08</v>
      </c>
      <c r="I37" s="4">
        <f t="shared" si="8"/>
        <v>130.25</v>
      </c>
      <c r="J37" s="4">
        <f t="shared" si="9"/>
        <v>7.50671785028791</v>
      </c>
      <c r="N37" s="4">
        <f>N36+职业基础属性!D$3*LOOKUP($B37,职业基础属性!$M$8:$M$16,职业基础属性!$O$8:$O$16)</f>
        <v>301.5</v>
      </c>
      <c r="O37" s="4">
        <f>O36+职业基础属性!F$3*LOOKUP($B37,职业基础属性!$M$8:$M$16,职业基础属性!$O$8:$O$16)</f>
        <v>60.3</v>
      </c>
      <c r="P37" s="4">
        <f>P36+职业基础属性!I$3*LOOKUP($B37,职业基础属性!$M$8:$M$16,职业基础属性!$O$8:$O$16)</f>
        <v>30.15</v>
      </c>
      <c r="R37" s="4">
        <f t="shared" ref="R37:R84" si="11">R35+1</f>
        <v>31</v>
      </c>
      <c r="S37" s="4">
        <f t="shared" si="10"/>
        <v>310</v>
      </c>
      <c r="T37" s="4">
        <f t="shared" si="10"/>
        <v>155</v>
      </c>
      <c r="U37" s="4">
        <f t="shared" si="10"/>
        <v>155</v>
      </c>
      <c r="W37" s="7" t="str">
        <f>IFERROR(VLOOKUP($B37&amp;"级"&amp;W$4,装备强化!$M:$N,2,0),W36)</f>
        <v>40级通用武器</v>
      </c>
      <c r="X37" s="7" t="str">
        <f>IFERROR(VLOOKUP($B37&amp;"级"&amp;X$4,装备强化!$M:$N,2,0),X36)</f>
        <v>30级通用头盔</v>
      </c>
      <c r="Y37" s="7" t="str">
        <f>IFERROR(VLOOKUP($B37&amp;"级"&amp;Y$4,装备强化!$M:$N,2,0),Y36)</f>
        <v>30级通用衣服</v>
      </c>
      <c r="Z37" s="7" t="str">
        <f>IFERROR(VLOOKUP($B37&amp;"级"&amp;Z$4,装备强化!$M:$N,2,0),Z36)</f>
        <v>30级通用腰带</v>
      </c>
      <c r="AA37" s="7" t="str">
        <f>IFERROR(VLOOKUP($B37&amp;"级"&amp;AA$4,装备强化!$M:$N,2,0),AA36)</f>
        <v>40级通用鞋子</v>
      </c>
      <c r="AB37" s="7" t="str">
        <f>IFERROR(VLOOKUP($B37&amp;"级"&amp;AB$4,装备强化!$M:$N,2,0),AB36)</f>
        <v>30级通用项链</v>
      </c>
      <c r="AC37" s="7" t="str">
        <f>IFERROR(VLOOKUP($B37&amp;"级"&amp;AC$4,装备强化!$M:$N,2,0),AC36)</f>
        <v>30级通用手镯</v>
      </c>
      <c r="AD37" s="7" t="str">
        <f>IFERROR(VLOOKUP($B37&amp;"级"&amp;AD$4,装备强化!$M:$N,2,0),AD36)</f>
        <v>40级通用戒指</v>
      </c>
      <c r="AE37" s="4">
        <f>IFERROR(VLOOKUP($W37,装备强化!$N:$T,AE$3,0),0)+IFERROR(VLOOKUP($X37,装备强化!$N:$T,AE$3,0),0)+IFERROR(VLOOKUP($Y37,装备强化!$N:$T,AE$3,0),0)+IFERROR(VLOOKUP($Z37,装备强化!$N:$T,AE$3,0),0)+IFERROR(VLOOKUP($AA37,装备强化!$N:$T,AE$3,0),0)+IFERROR(VLOOKUP($AB37,装备强化!$N:$T,AE$3,0),0)+IFERROR(VLOOKUP($AC37,装备强化!$N:$T,AE$3,0)*2,0)+IFERROR(VLOOKUP($AD37,装备强化!$N:$T,AE$3,0)*2,0)</f>
        <v>317.25</v>
      </c>
      <c r="AF37" s="4">
        <f>IFERROR(VLOOKUP($W37,装备强化!$N:$T,AF$3,0),0)+IFERROR(VLOOKUP($X37,装备强化!$N:$T,AF$3,0),0)+IFERROR(VLOOKUP($Y37,装备强化!$N:$T,AF$3,0),0)+IFERROR(VLOOKUP($Z37,装备强化!$N:$T,AF$3,0),0)+IFERROR(VLOOKUP($AA37,装备强化!$N:$T,AF$3,0),0)+IFERROR(VLOOKUP($AB37,装备强化!$N:$T,AF$3,0),0)+IFERROR(VLOOKUP($AC37,装备强化!$N:$T,AF$3,0)*2,0)+IFERROR(VLOOKUP($AD37,装备强化!$N:$T,AF$3,0)*2,0)</f>
        <v>36.6</v>
      </c>
      <c r="AG37" s="4">
        <f>IFERROR(VLOOKUP($W37,装备强化!$N:$T,AG$3,0),0)+IFERROR(VLOOKUP($X37,装备强化!$N:$T,AG$3,0),0)+IFERROR(VLOOKUP($Y37,装备强化!$N:$T,AG$3,0),0)+IFERROR(VLOOKUP($Z37,装备强化!$N:$T,AG$3,0),0)+IFERROR(VLOOKUP($AA37,装备强化!$N:$T,AG$3,0),0)+IFERROR(VLOOKUP($AB37,装备强化!$N:$T,AG$3,0),0)+IFERROR(VLOOKUP($AC37,装备强化!$N:$T,AG$3,0)*2,0)+IFERROR(VLOOKUP($AD37,装备强化!$N:$T,AG$3,0)*2,0)</f>
        <v>16.68</v>
      </c>
      <c r="AI37" s="4">
        <f>LOOKUP($B37,装备设定!$B$48:$B$55,装备设定!$F$48:$F$55)*(COUNTA($W37:$AB37)+COUNTA($AC37:$AD37)*2)*AI$3</f>
        <v>49</v>
      </c>
      <c r="AJ37" s="4">
        <f>LOOKUP($B37,装备设定!$B$48:$B$55,装备设定!$F$48:$F$55)*(COUNTA($W37:$AB37)+COUNTA($AC37:$AD37)*2)*AJ$3</f>
        <v>49</v>
      </c>
      <c r="AK37" s="4">
        <f>LOOKUP($B37,装备设定!$B$48:$B$55,装备设定!$F$48:$F$55)*(COUNTA($W37:$AB37)+COUNTA($AC37:$AD37)*2)*AK$3</f>
        <v>49</v>
      </c>
    </row>
    <row r="38" spans="1:37">
      <c r="A38" s="4">
        <f>INT(C38*基础设定!$D$9+D38*基础设定!$D$11+E38*基础设定!$D$14)</f>
        <v>7664</v>
      </c>
      <c r="B38" s="4">
        <v>34</v>
      </c>
      <c r="C38" s="4">
        <f t="shared" si="2"/>
        <v>997.75</v>
      </c>
      <c r="D38" s="4">
        <f t="shared" si="3"/>
        <v>309.52</v>
      </c>
      <c r="E38" s="4">
        <f t="shared" si="4"/>
        <v>257.37</v>
      </c>
      <c r="F38" s="4">
        <f t="shared" si="5"/>
        <v>52.15</v>
      </c>
      <c r="G38" s="4">
        <f t="shared" si="6"/>
        <v>19.1323106423778</v>
      </c>
      <c r="H38" s="4">
        <f t="shared" si="7"/>
        <v>391.424</v>
      </c>
      <c r="I38" s="4">
        <f t="shared" si="8"/>
        <v>134.054</v>
      </c>
      <c r="J38" s="4">
        <f t="shared" si="9"/>
        <v>7.44289614632909</v>
      </c>
      <c r="N38" s="4">
        <f>N37+职业基础属性!D$3*LOOKUP($B38,职业基础属性!$M$8:$M$16,职业基础属性!$O$8:$O$16)</f>
        <v>311.5</v>
      </c>
      <c r="O38" s="4">
        <f>O37+职业基础属性!F$3*LOOKUP($B38,职业基础属性!$M$8:$M$16,职业基础属性!$O$8:$O$16)</f>
        <v>62.3</v>
      </c>
      <c r="P38" s="4">
        <f>P37+职业基础属性!I$3*LOOKUP($B38,职业基础属性!$M$8:$M$16,职业基础属性!$O$8:$O$16)</f>
        <v>31.15</v>
      </c>
      <c r="R38" s="4">
        <f t="shared" si="11"/>
        <v>32</v>
      </c>
      <c r="S38" s="4">
        <f t="shared" ref="S38:U84" si="12">S$3*$R38</f>
        <v>320</v>
      </c>
      <c r="T38" s="4">
        <f t="shared" si="12"/>
        <v>160</v>
      </c>
      <c r="U38" s="4">
        <f t="shared" si="12"/>
        <v>160</v>
      </c>
      <c r="W38" s="7" t="str">
        <f>IFERROR(VLOOKUP($B38&amp;"级"&amp;W$4,装备强化!$M:$N,2,0),W37)</f>
        <v>40级通用武器</v>
      </c>
      <c r="X38" s="7" t="str">
        <f>IFERROR(VLOOKUP($B38&amp;"级"&amp;X$4,装备强化!$M:$N,2,0),X37)</f>
        <v>30级通用头盔</v>
      </c>
      <c r="Y38" s="7" t="str">
        <f>IFERROR(VLOOKUP($B38&amp;"级"&amp;Y$4,装备强化!$M:$N,2,0),Y37)</f>
        <v>30级通用衣服</v>
      </c>
      <c r="Z38" s="7" t="str">
        <f>IFERROR(VLOOKUP($B38&amp;"级"&amp;Z$4,装备强化!$M:$N,2,0),Z37)</f>
        <v>30级通用腰带</v>
      </c>
      <c r="AA38" s="7" t="str">
        <f>IFERROR(VLOOKUP($B38&amp;"级"&amp;AA$4,装备强化!$M:$N,2,0),AA37)</f>
        <v>40级通用鞋子</v>
      </c>
      <c r="AB38" s="7" t="str">
        <f>IFERROR(VLOOKUP($B38&amp;"级"&amp;AB$4,装备强化!$M:$N,2,0),AB37)</f>
        <v>40级通用项链</v>
      </c>
      <c r="AC38" s="7" t="str">
        <f>IFERROR(VLOOKUP($B38&amp;"级"&amp;AC$4,装备强化!$M:$N,2,0),AC37)</f>
        <v>30级通用手镯</v>
      </c>
      <c r="AD38" s="7" t="str">
        <f>IFERROR(VLOOKUP($B38&amp;"级"&amp;AD$4,装备强化!$M:$N,2,0),AD37)</f>
        <v>40级通用戒指</v>
      </c>
      <c r="AE38" s="4">
        <f>IFERROR(VLOOKUP($W38,装备强化!$N:$T,AE$3,0),0)+IFERROR(VLOOKUP($X38,装备强化!$N:$T,AE$3,0),0)+IFERROR(VLOOKUP($Y38,装备强化!$N:$T,AE$3,0),0)+IFERROR(VLOOKUP($Z38,装备强化!$N:$T,AE$3,0),0)+IFERROR(VLOOKUP($AA38,装备强化!$N:$T,AE$3,0),0)+IFERROR(VLOOKUP($AB38,装备强化!$N:$T,AE$3,0),0)+IFERROR(VLOOKUP($AC38,装备强化!$N:$T,AE$3,0)*2,0)+IFERROR(VLOOKUP($AD38,装备强化!$N:$T,AE$3,0)*2,0)</f>
        <v>317.25</v>
      </c>
      <c r="AF38" s="4">
        <f>IFERROR(VLOOKUP($W38,装备强化!$N:$T,AF$3,0),0)+IFERROR(VLOOKUP($X38,装备强化!$N:$T,AF$3,0),0)+IFERROR(VLOOKUP($Y38,装备强化!$N:$T,AF$3,0),0)+IFERROR(VLOOKUP($Z38,装备强化!$N:$T,AF$3,0),0)+IFERROR(VLOOKUP($AA38,装备强化!$N:$T,AF$3,0),0)+IFERROR(VLOOKUP($AB38,装备强化!$N:$T,AF$3,0),0)+IFERROR(VLOOKUP($AC38,装备强化!$N:$T,AF$3,0)*2,0)+IFERROR(VLOOKUP($AD38,装备强化!$N:$T,AF$3,0)*2,0)</f>
        <v>38.22</v>
      </c>
      <c r="AG38" s="4">
        <f>IFERROR(VLOOKUP($W38,装备强化!$N:$T,AG$3,0),0)+IFERROR(VLOOKUP($X38,装备强化!$N:$T,AG$3,0),0)+IFERROR(VLOOKUP($Y38,装备强化!$N:$T,AG$3,0),0)+IFERROR(VLOOKUP($Z38,装备强化!$N:$T,AG$3,0),0)+IFERROR(VLOOKUP($AA38,装备强化!$N:$T,AG$3,0),0)+IFERROR(VLOOKUP($AB38,装备强化!$N:$T,AG$3,0),0)+IFERROR(VLOOKUP($AC38,装备强化!$N:$T,AG$3,0)*2,0)+IFERROR(VLOOKUP($AD38,装备强化!$N:$T,AG$3,0)*2,0)</f>
        <v>17.22</v>
      </c>
      <c r="AI38" s="4">
        <f>LOOKUP($B38,装备设定!$B$48:$B$55,装备设定!$F$48:$F$55)*(COUNTA($W38:$AB38)+COUNTA($AC38:$AD38)*2)*AI$3</f>
        <v>49</v>
      </c>
      <c r="AJ38" s="4">
        <f>LOOKUP($B38,装备设定!$B$48:$B$55,装备设定!$F$48:$F$55)*(COUNTA($W38:$AB38)+COUNTA($AC38:$AD38)*2)*AJ$3</f>
        <v>49</v>
      </c>
      <c r="AK38" s="4">
        <f>LOOKUP($B38,装备设定!$B$48:$B$55,装备设定!$F$48:$F$55)*(COUNTA($W38:$AB38)+COUNTA($AC38:$AD38)*2)*AK$3</f>
        <v>49</v>
      </c>
    </row>
    <row r="39" spans="1:37">
      <c r="A39" s="4">
        <f>INT(C39*基础设定!$D$9+D39*基础设定!$D$11+E39*基础设定!$D$14)</f>
        <v>7776</v>
      </c>
      <c r="B39" s="4">
        <v>35</v>
      </c>
      <c r="C39" s="4">
        <f t="shared" si="2"/>
        <v>1032.05</v>
      </c>
      <c r="D39" s="4">
        <f t="shared" si="3"/>
        <v>311.52</v>
      </c>
      <c r="E39" s="4">
        <f t="shared" si="4"/>
        <v>259.72</v>
      </c>
      <c r="F39" s="4">
        <f t="shared" si="5"/>
        <v>51.8</v>
      </c>
      <c r="G39" s="4">
        <f t="shared" si="6"/>
        <v>19.9237451737452</v>
      </c>
      <c r="H39" s="4">
        <f t="shared" si="7"/>
        <v>393.824</v>
      </c>
      <c r="I39" s="4">
        <f t="shared" si="8"/>
        <v>134.104</v>
      </c>
      <c r="J39" s="4">
        <f t="shared" si="9"/>
        <v>7.69589273996302</v>
      </c>
      <c r="N39" s="4">
        <f>N38+职业基础属性!D$3*LOOKUP($B39,职业基础属性!$M$8:$M$16,职业基础属性!$O$8:$O$16)</f>
        <v>321.5</v>
      </c>
      <c r="O39" s="4">
        <f>O38+职业基础属性!F$3*LOOKUP($B39,职业基础属性!$M$8:$M$16,职业基础属性!$O$8:$O$16)</f>
        <v>64.3</v>
      </c>
      <c r="P39" s="4">
        <f>P38+职业基础属性!I$3*LOOKUP($B39,职业基础属性!$M$8:$M$16,职业基础属性!$O$8:$O$16)</f>
        <v>32.15</v>
      </c>
      <c r="R39" s="4">
        <f t="shared" si="11"/>
        <v>32</v>
      </c>
      <c r="S39" s="4">
        <f t="shared" si="12"/>
        <v>320</v>
      </c>
      <c r="T39" s="4">
        <f t="shared" si="12"/>
        <v>160</v>
      </c>
      <c r="U39" s="4">
        <f t="shared" si="12"/>
        <v>160</v>
      </c>
      <c r="W39" s="7" t="str">
        <f>IFERROR(VLOOKUP($B39&amp;"级"&amp;W$4,装备强化!$M:$N,2,0),W38)</f>
        <v>40级通用武器</v>
      </c>
      <c r="X39" s="7" t="str">
        <f>IFERROR(VLOOKUP($B39&amp;"级"&amp;X$4,装备强化!$M:$N,2,0),X38)</f>
        <v>30级通用头盔</v>
      </c>
      <c r="Y39" s="7" t="str">
        <f>IFERROR(VLOOKUP($B39&amp;"级"&amp;Y$4,装备强化!$M:$N,2,0),Y38)</f>
        <v>40级通用衣服</v>
      </c>
      <c r="Z39" s="7" t="str">
        <f>IFERROR(VLOOKUP($B39&amp;"级"&amp;Z$4,装备强化!$M:$N,2,0),Z38)</f>
        <v>30级通用腰带</v>
      </c>
      <c r="AA39" s="7" t="str">
        <f>IFERROR(VLOOKUP($B39&amp;"级"&amp;AA$4,装备强化!$M:$N,2,0),AA38)</f>
        <v>40级通用鞋子</v>
      </c>
      <c r="AB39" s="7" t="str">
        <f>IFERROR(VLOOKUP($B39&amp;"级"&amp;AB$4,装备强化!$M:$N,2,0),AB38)</f>
        <v>40级通用项链</v>
      </c>
      <c r="AC39" s="7" t="str">
        <f>IFERROR(VLOOKUP($B39&amp;"级"&amp;AC$4,装备强化!$M:$N,2,0),AC38)</f>
        <v>30级通用手镯</v>
      </c>
      <c r="AD39" s="7" t="str">
        <f>IFERROR(VLOOKUP($B39&amp;"级"&amp;AD$4,装备强化!$M:$N,2,0),AD38)</f>
        <v>40级通用戒指</v>
      </c>
      <c r="AE39" s="4">
        <f>IFERROR(VLOOKUP($W39,装备强化!$N:$T,AE$3,0),0)+IFERROR(VLOOKUP($X39,装备强化!$N:$T,AE$3,0),0)+IFERROR(VLOOKUP($Y39,装备强化!$N:$T,AE$3,0),0)+IFERROR(VLOOKUP($Z39,装备强化!$N:$T,AE$3,0),0)+IFERROR(VLOOKUP($AA39,装备强化!$N:$T,AE$3,0),0)+IFERROR(VLOOKUP($AB39,装备强化!$N:$T,AE$3,0),0)+IFERROR(VLOOKUP($AC39,装备强化!$N:$T,AE$3,0)*2,0)+IFERROR(VLOOKUP($AD39,装备强化!$N:$T,AE$3,0)*2,0)</f>
        <v>341.55</v>
      </c>
      <c r="AF39" s="4">
        <f>IFERROR(VLOOKUP($W39,装备强化!$N:$T,AF$3,0),0)+IFERROR(VLOOKUP($X39,装备强化!$N:$T,AF$3,0),0)+IFERROR(VLOOKUP($Y39,装备强化!$N:$T,AF$3,0),0)+IFERROR(VLOOKUP($Z39,装备强化!$N:$T,AF$3,0),0)+IFERROR(VLOOKUP($AA39,装备强化!$N:$T,AF$3,0),0)+IFERROR(VLOOKUP($AB39,装备强化!$N:$T,AF$3,0),0)+IFERROR(VLOOKUP($AC39,装备强化!$N:$T,AF$3,0)*2,0)+IFERROR(VLOOKUP($AD39,装备强化!$N:$T,AF$3,0)*2,0)</f>
        <v>38.22</v>
      </c>
      <c r="AG39" s="4">
        <f>IFERROR(VLOOKUP($W39,装备强化!$N:$T,AG$3,0),0)+IFERROR(VLOOKUP($X39,装备强化!$N:$T,AG$3,0),0)+IFERROR(VLOOKUP($Y39,装备强化!$N:$T,AG$3,0),0)+IFERROR(VLOOKUP($Z39,装备强化!$N:$T,AG$3,0),0)+IFERROR(VLOOKUP($AA39,装备强化!$N:$T,AG$3,0),0)+IFERROR(VLOOKUP($AB39,装备强化!$N:$T,AG$3,0),0)+IFERROR(VLOOKUP($AC39,装备强化!$N:$T,AG$3,0)*2,0)+IFERROR(VLOOKUP($AD39,装备强化!$N:$T,AG$3,0)*2,0)</f>
        <v>18.57</v>
      </c>
      <c r="AI39" s="4">
        <f>LOOKUP($B39,装备设定!$B$48:$B$55,装备设定!$F$48:$F$55)*(COUNTA($W39:$AB39)+COUNTA($AC39:$AD39)*2)*AI$3</f>
        <v>49</v>
      </c>
      <c r="AJ39" s="4">
        <f>LOOKUP($B39,装备设定!$B$48:$B$55,装备设定!$F$48:$F$55)*(COUNTA($W39:$AB39)+COUNTA($AC39:$AD39)*2)*AJ$3</f>
        <v>49</v>
      </c>
      <c r="AK39" s="4">
        <f>LOOKUP($B39,装备设定!$B$48:$B$55,装备设定!$F$48:$F$55)*(COUNTA($W39:$AB39)+COUNTA($AC39:$AD39)*2)*AK$3</f>
        <v>49</v>
      </c>
    </row>
    <row r="40" spans="1:37">
      <c r="A40" s="4">
        <f>INT(C40*基础设定!$D$9+D40*基础设定!$D$11+E40*基础设定!$D$14)</f>
        <v>8016</v>
      </c>
      <c r="B40" s="4">
        <v>36</v>
      </c>
      <c r="C40" s="4">
        <f t="shared" si="2"/>
        <v>1076.35</v>
      </c>
      <c r="D40" s="4">
        <f t="shared" si="3"/>
        <v>320.68</v>
      </c>
      <c r="E40" s="4">
        <f t="shared" si="4"/>
        <v>265.72</v>
      </c>
      <c r="F40" s="4">
        <f t="shared" si="5"/>
        <v>54.96</v>
      </c>
      <c r="G40" s="4">
        <f t="shared" si="6"/>
        <v>19.5842430858806</v>
      </c>
      <c r="H40" s="4">
        <f t="shared" si="7"/>
        <v>404.816</v>
      </c>
      <c r="I40" s="4">
        <f t="shared" si="8"/>
        <v>139.096</v>
      </c>
      <c r="J40" s="4">
        <f t="shared" si="9"/>
        <v>7.73818082475413</v>
      </c>
      <c r="N40" s="4">
        <f>N39+职业基础属性!D$3*LOOKUP($B40,职业基础属性!$M$8:$M$16,职业基础属性!$O$8:$O$16)</f>
        <v>331.5</v>
      </c>
      <c r="O40" s="4">
        <f>O39+职业基础属性!F$3*LOOKUP($B40,职业基础属性!$M$8:$M$16,职业基础属性!$O$8:$O$16)</f>
        <v>66.3</v>
      </c>
      <c r="P40" s="4">
        <f>P39+职业基础属性!I$3*LOOKUP($B40,职业基础属性!$M$8:$M$16,职业基础属性!$O$8:$O$16)</f>
        <v>33.15</v>
      </c>
      <c r="R40" s="4">
        <f t="shared" si="11"/>
        <v>33</v>
      </c>
      <c r="S40" s="4">
        <f t="shared" si="12"/>
        <v>330</v>
      </c>
      <c r="T40" s="4">
        <f t="shared" si="12"/>
        <v>165</v>
      </c>
      <c r="U40" s="4">
        <f t="shared" si="12"/>
        <v>165</v>
      </c>
      <c r="W40" s="7" t="str">
        <f>IFERROR(VLOOKUP($B40&amp;"级"&amp;W$4,装备强化!$M:$N,2,0),W39)</f>
        <v>40级通用武器</v>
      </c>
      <c r="X40" s="7" t="str">
        <f>IFERROR(VLOOKUP($B40&amp;"级"&amp;X$4,装备强化!$M:$N,2,0),X39)</f>
        <v>30级通用头盔</v>
      </c>
      <c r="Y40" s="7" t="str">
        <f>IFERROR(VLOOKUP($B40&amp;"级"&amp;Y$4,装备强化!$M:$N,2,0),Y39)</f>
        <v>40级通用衣服</v>
      </c>
      <c r="Z40" s="7" t="str">
        <f>IFERROR(VLOOKUP($B40&amp;"级"&amp;Z$4,装备强化!$M:$N,2,0),Z39)</f>
        <v>30级通用腰带</v>
      </c>
      <c r="AA40" s="7" t="str">
        <f>IFERROR(VLOOKUP($B40&amp;"级"&amp;AA$4,装备强化!$M:$N,2,0),AA39)</f>
        <v>40级通用鞋子</v>
      </c>
      <c r="AB40" s="7" t="str">
        <f>IFERROR(VLOOKUP($B40&amp;"级"&amp;AB$4,装备强化!$M:$N,2,0),AB39)</f>
        <v>40级通用项链</v>
      </c>
      <c r="AC40" s="7" t="str">
        <f>IFERROR(VLOOKUP($B40&amp;"级"&amp;AC$4,装备强化!$M:$N,2,0),AC39)</f>
        <v>40级通用手镯</v>
      </c>
      <c r="AD40" s="7" t="str">
        <f>IFERROR(VLOOKUP($B40&amp;"级"&amp;AD$4,装备强化!$M:$N,2,0),AD39)</f>
        <v>40级通用戒指</v>
      </c>
      <c r="AE40" s="4">
        <f>IFERROR(VLOOKUP($W40,装备强化!$N:$T,AE$3,0),0)+IFERROR(VLOOKUP($X40,装备强化!$N:$T,AE$3,0),0)+IFERROR(VLOOKUP($Y40,装备强化!$N:$T,AE$3,0),0)+IFERROR(VLOOKUP($Z40,装备强化!$N:$T,AE$3,0),0)+IFERROR(VLOOKUP($AA40,装备强化!$N:$T,AE$3,0),0)+IFERROR(VLOOKUP($AB40,装备强化!$N:$T,AE$3,0),0)+IFERROR(VLOOKUP($AC40,装备强化!$N:$T,AE$3,0)*2,0)+IFERROR(VLOOKUP($AD40,装备强化!$N:$T,AE$3,0)*2,0)</f>
        <v>365.85</v>
      </c>
      <c r="AF40" s="4">
        <f>IFERROR(VLOOKUP($W40,装备强化!$N:$T,AF$3,0),0)+IFERROR(VLOOKUP($X40,装备强化!$N:$T,AF$3,0),0)+IFERROR(VLOOKUP($Y40,装备强化!$N:$T,AF$3,0),0)+IFERROR(VLOOKUP($Z40,装备强化!$N:$T,AF$3,0),0)+IFERROR(VLOOKUP($AA40,装备强化!$N:$T,AF$3,0),0)+IFERROR(VLOOKUP($AB40,装备强化!$N:$T,AF$3,0),0)+IFERROR(VLOOKUP($AC40,装备强化!$N:$T,AF$3,0)*2,0)+IFERROR(VLOOKUP($AD40,装备强化!$N:$T,AF$3,0)*2,0)</f>
        <v>40.38</v>
      </c>
      <c r="AG40" s="4">
        <f>IFERROR(VLOOKUP($W40,装备强化!$N:$T,AG$3,0),0)+IFERROR(VLOOKUP($X40,装备强化!$N:$T,AG$3,0),0)+IFERROR(VLOOKUP($Y40,装备强化!$N:$T,AG$3,0),0)+IFERROR(VLOOKUP($Z40,装备强化!$N:$T,AG$3,0),0)+IFERROR(VLOOKUP($AA40,装备强化!$N:$T,AG$3,0),0)+IFERROR(VLOOKUP($AB40,装备强化!$N:$T,AG$3,0),0)+IFERROR(VLOOKUP($AC40,装备强化!$N:$T,AG$3,0)*2,0)+IFERROR(VLOOKUP($AD40,装备强化!$N:$T,AG$3,0)*2,0)</f>
        <v>18.57</v>
      </c>
      <c r="AI40" s="4">
        <f>LOOKUP($B40,装备设定!$B$48:$B$55,装备设定!$F$48:$F$55)*(COUNTA($W40:$AB40)+COUNTA($AC40:$AD40)*2)*AI$3</f>
        <v>49</v>
      </c>
      <c r="AJ40" s="4">
        <f>LOOKUP($B40,装备设定!$B$48:$B$55,装备设定!$F$48:$F$55)*(COUNTA($W40:$AB40)+COUNTA($AC40:$AD40)*2)*AJ$3</f>
        <v>49</v>
      </c>
      <c r="AK40" s="4">
        <f>LOOKUP($B40,装备设定!$B$48:$B$55,装备设定!$F$48:$F$55)*(COUNTA($W40:$AB40)+COUNTA($AC40:$AD40)*2)*AK$3</f>
        <v>49</v>
      </c>
    </row>
    <row r="41" spans="1:37">
      <c r="A41" s="4">
        <f>INT(C41*基础设定!$D$9+D41*基础设定!$D$11+E41*基础设定!$D$14)</f>
        <v>8096</v>
      </c>
      <c r="B41" s="4">
        <v>37</v>
      </c>
      <c r="C41" s="4">
        <f t="shared" si="2"/>
        <v>1086.35</v>
      </c>
      <c r="D41" s="4">
        <f t="shared" si="3"/>
        <v>324.3</v>
      </c>
      <c r="E41" s="4">
        <f t="shared" si="4"/>
        <v>268.07</v>
      </c>
      <c r="F41" s="4">
        <f t="shared" si="5"/>
        <v>56.23</v>
      </c>
      <c r="G41" s="4">
        <f t="shared" si="6"/>
        <v>19.3197581362262</v>
      </c>
      <c r="H41" s="4">
        <f t="shared" si="7"/>
        <v>409.16</v>
      </c>
      <c r="I41" s="4">
        <f t="shared" si="8"/>
        <v>141.09</v>
      </c>
      <c r="J41" s="4">
        <f t="shared" si="9"/>
        <v>7.69969522999504</v>
      </c>
      <c r="N41" s="4">
        <f>N40+职业基础属性!D$3*LOOKUP($B41,职业基础属性!$M$8:$M$16,职业基础属性!$O$8:$O$16)</f>
        <v>341.5</v>
      </c>
      <c r="O41" s="4">
        <f>O40+职业基础属性!F$3*LOOKUP($B41,职业基础属性!$M$8:$M$16,职业基础属性!$O$8:$O$16)</f>
        <v>68.3</v>
      </c>
      <c r="P41" s="4">
        <f>P40+职业基础属性!I$3*LOOKUP($B41,职业基础属性!$M$8:$M$16,职业基础属性!$O$8:$O$16)</f>
        <v>34.15</v>
      </c>
      <c r="R41" s="4">
        <f t="shared" si="11"/>
        <v>33</v>
      </c>
      <c r="S41" s="4">
        <f t="shared" si="12"/>
        <v>330</v>
      </c>
      <c r="T41" s="4">
        <f t="shared" si="12"/>
        <v>165</v>
      </c>
      <c r="U41" s="4">
        <f t="shared" si="12"/>
        <v>165</v>
      </c>
      <c r="W41" s="7" t="str">
        <f>IFERROR(VLOOKUP($B41&amp;"级"&amp;W$4,装备强化!$M:$N,2,0),W40)</f>
        <v>40级通用武器</v>
      </c>
      <c r="X41" s="7" t="str">
        <f>IFERROR(VLOOKUP($B41&amp;"级"&amp;X$4,装备强化!$M:$N,2,0),X40)</f>
        <v>40级通用头盔</v>
      </c>
      <c r="Y41" s="7" t="str">
        <f>IFERROR(VLOOKUP($B41&amp;"级"&amp;Y$4,装备强化!$M:$N,2,0),Y40)</f>
        <v>40级通用衣服</v>
      </c>
      <c r="Z41" s="7" t="str">
        <f>IFERROR(VLOOKUP($B41&amp;"级"&amp;Z$4,装备强化!$M:$N,2,0),Z40)</f>
        <v>30级通用腰带</v>
      </c>
      <c r="AA41" s="7" t="str">
        <f>IFERROR(VLOOKUP($B41&amp;"级"&amp;AA$4,装备强化!$M:$N,2,0),AA40)</f>
        <v>40级通用鞋子</v>
      </c>
      <c r="AB41" s="7" t="str">
        <f>IFERROR(VLOOKUP($B41&amp;"级"&amp;AB$4,装备强化!$M:$N,2,0),AB40)</f>
        <v>40级通用项链</v>
      </c>
      <c r="AC41" s="7" t="str">
        <f>IFERROR(VLOOKUP($B41&amp;"级"&amp;AC$4,装备强化!$M:$N,2,0),AC40)</f>
        <v>40级通用手镯</v>
      </c>
      <c r="AD41" s="7" t="str">
        <f>IFERROR(VLOOKUP($B41&amp;"级"&amp;AD$4,装备强化!$M:$N,2,0),AD40)</f>
        <v>40级通用戒指</v>
      </c>
      <c r="AE41" s="4">
        <f>IFERROR(VLOOKUP($W41,装备强化!$N:$T,AE$3,0),0)+IFERROR(VLOOKUP($X41,装备强化!$N:$T,AE$3,0),0)+IFERROR(VLOOKUP($Y41,装备强化!$N:$T,AE$3,0),0)+IFERROR(VLOOKUP($Z41,装备强化!$N:$T,AE$3,0),0)+IFERROR(VLOOKUP($AA41,装备强化!$N:$T,AE$3,0),0)+IFERROR(VLOOKUP($AB41,装备强化!$N:$T,AE$3,0),0)+IFERROR(VLOOKUP($AC41,装备强化!$N:$T,AE$3,0)*2,0)+IFERROR(VLOOKUP($AD41,装备强化!$N:$T,AE$3,0)*2,0)</f>
        <v>365.85</v>
      </c>
      <c r="AF41" s="4">
        <f>IFERROR(VLOOKUP($W41,装备强化!$N:$T,AF$3,0),0)+IFERROR(VLOOKUP($X41,装备强化!$N:$T,AF$3,0),0)+IFERROR(VLOOKUP($Y41,装备强化!$N:$T,AF$3,0),0)+IFERROR(VLOOKUP($Z41,装备强化!$N:$T,AF$3,0),0)+IFERROR(VLOOKUP($AA41,装备强化!$N:$T,AF$3,0),0)+IFERROR(VLOOKUP($AB41,装备强化!$N:$T,AF$3,0),0)+IFERROR(VLOOKUP($AC41,装备强化!$N:$T,AF$3,0)*2,0)+IFERROR(VLOOKUP($AD41,装备强化!$N:$T,AF$3,0)*2,0)</f>
        <v>42</v>
      </c>
      <c r="AG41" s="4">
        <f>IFERROR(VLOOKUP($W41,装备强化!$N:$T,AG$3,0),0)+IFERROR(VLOOKUP($X41,装备强化!$N:$T,AG$3,0),0)+IFERROR(VLOOKUP($Y41,装备强化!$N:$T,AG$3,0),0)+IFERROR(VLOOKUP($Z41,装备强化!$N:$T,AG$3,0),0)+IFERROR(VLOOKUP($AA41,装备强化!$N:$T,AG$3,0),0)+IFERROR(VLOOKUP($AB41,装备强化!$N:$T,AG$3,0),0)+IFERROR(VLOOKUP($AC41,装备强化!$N:$T,AG$3,0)*2,0)+IFERROR(VLOOKUP($AD41,装备强化!$N:$T,AG$3,0)*2,0)</f>
        <v>19.92</v>
      </c>
      <c r="AI41" s="4">
        <f>LOOKUP($B41,装备设定!$B$48:$B$55,装备设定!$F$48:$F$55)*(COUNTA($W41:$AB41)+COUNTA($AC41:$AD41)*2)*AI$3</f>
        <v>49</v>
      </c>
      <c r="AJ41" s="4">
        <f>LOOKUP($B41,装备设定!$B$48:$B$55,装备设定!$F$48:$F$55)*(COUNTA($W41:$AB41)+COUNTA($AC41:$AD41)*2)*AJ$3</f>
        <v>49</v>
      </c>
      <c r="AK41" s="4">
        <f>LOOKUP($B41,装备设定!$B$48:$B$55,装备设定!$F$48:$F$55)*(COUNTA($W41:$AB41)+COUNTA($AC41:$AD41)*2)*AK$3</f>
        <v>49</v>
      </c>
    </row>
    <row r="42" spans="1:37">
      <c r="A42" s="4">
        <f>INT(C42*基础设定!$D$9+D42*基础设定!$D$11+E42*基础设定!$D$14)</f>
        <v>8301</v>
      </c>
      <c r="B42" s="4">
        <v>38</v>
      </c>
      <c r="C42" s="4">
        <f t="shared" si="2"/>
        <v>1118.5</v>
      </c>
      <c r="D42" s="4">
        <f t="shared" si="3"/>
        <v>331.3</v>
      </c>
      <c r="E42" s="4">
        <f t="shared" si="4"/>
        <v>275.15</v>
      </c>
      <c r="F42" s="4">
        <f t="shared" si="5"/>
        <v>56.15</v>
      </c>
      <c r="G42" s="4">
        <f t="shared" si="6"/>
        <v>19.919857524488</v>
      </c>
      <c r="H42" s="4">
        <f t="shared" si="7"/>
        <v>417.56</v>
      </c>
      <c r="I42" s="4">
        <f t="shared" si="8"/>
        <v>142.41</v>
      </c>
      <c r="J42" s="4">
        <f t="shared" si="9"/>
        <v>7.85408328066849</v>
      </c>
      <c r="N42" s="4">
        <f>N41+职业基础属性!D$3*LOOKUP($B42,职业基础属性!$M$8:$M$16,职业基础属性!$O$8:$O$16)</f>
        <v>351.5</v>
      </c>
      <c r="O42" s="4">
        <f>O41+职业基础属性!F$3*LOOKUP($B42,职业基础属性!$M$8:$M$16,职业基础属性!$O$8:$O$16)</f>
        <v>70.3</v>
      </c>
      <c r="P42" s="4">
        <f>P41+职业基础属性!I$3*LOOKUP($B42,职业基础属性!$M$8:$M$16,职业基础属性!$O$8:$O$16)</f>
        <v>35.15</v>
      </c>
      <c r="R42" s="4">
        <f t="shared" si="11"/>
        <v>34</v>
      </c>
      <c r="S42" s="4">
        <f t="shared" si="12"/>
        <v>340</v>
      </c>
      <c r="T42" s="4">
        <f t="shared" si="12"/>
        <v>170</v>
      </c>
      <c r="U42" s="4">
        <f t="shared" si="12"/>
        <v>170</v>
      </c>
      <c r="W42" s="7" t="str">
        <f>IFERROR(VLOOKUP($B42&amp;"级"&amp;W$4,装备强化!$M:$N,2,0),W41)</f>
        <v>40级通用武器</v>
      </c>
      <c r="X42" s="7" t="str">
        <f>IFERROR(VLOOKUP($B42&amp;"级"&amp;X$4,装备强化!$M:$N,2,0),X41)</f>
        <v>40级通用头盔</v>
      </c>
      <c r="Y42" s="7" t="str">
        <f>IFERROR(VLOOKUP($B42&amp;"级"&amp;Y$4,装备强化!$M:$N,2,0),Y41)</f>
        <v>40级通用衣服</v>
      </c>
      <c r="Z42" s="7" t="str">
        <f>IFERROR(VLOOKUP($B42&amp;"级"&amp;Z$4,装备强化!$M:$N,2,0),Z41)</f>
        <v>40级通用腰带</v>
      </c>
      <c r="AA42" s="7" t="str">
        <f>IFERROR(VLOOKUP($B42&amp;"级"&amp;AA$4,装备强化!$M:$N,2,0),AA41)</f>
        <v>40级通用鞋子</v>
      </c>
      <c r="AB42" s="7" t="str">
        <f>IFERROR(VLOOKUP($B42&amp;"级"&amp;AB$4,装备强化!$M:$N,2,0),AB41)</f>
        <v>40级通用项链</v>
      </c>
      <c r="AC42" s="7" t="str">
        <f>IFERROR(VLOOKUP($B42&amp;"级"&amp;AC$4,装备强化!$M:$N,2,0),AC41)</f>
        <v>40级通用手镯</v>
      </c>
      <c r="AD42" s="7" t="str">
        <f>IFERROR(VLOOKUP($B42&amp;"级"&amp;AD$4,装备强化!$M:$N,2,0),AD41)</f>
        <v>40级通用戒指</v>
      </c>
      <c r="AE42" s="4">
        <f>IFERROR(VLOOKUP($W42,装备强化!$N:$T,AE$3,0),0)+IFERROR(VLOOKUP($X42,装备强化!$N:$T,AE$3,0),0)+IFERROR(VLOOKUP($Y42,装备强化!$N:$T,AE$3,0),0)+IFERROR(VLOOKUP($Z42,装备强化!$N:$T,AE$3,0),0)+IFERROR(VLOOKUP($AA42,装备强化!$N:$T,AE$3,0),0)+IFERROR(VLOOKUP($AB42,装备强化!$N:$T,AE$3,0),0)+IFERROR(VLOOKUP($AC42,装备强化!$N:$T,AE$3,0)*2,0)+IFERROR(VLOOKUP($AD42,装备强化!$N:$T,AE$3,0)*2,0)</f>
        <v>378</v>
      </c>
      <c r="AF42" s="4">
        <f>IFERROR(VLOOKUP($W42,装备强化!$N:$T,AF$3,0),0)+IFERROR(VLOOKUP($X42,装备强化!$N:$T,AF$3,0),0)+IFERROR(VLOOKUP($Y42,装备强化!$N:$T,AF$3,0),0)+IFERROR(VLOOKUP($Z42,装备强化!$N:$T,AF$3,0),0)+IFERROR(VLOOKUP($AA42,装备强化!$N:$T,AF$3,0),0)+IFERROR(VLOOKUP($AB42,装备强化!$N:$T,AF$3,0),0)+IFERROR(VLOOKUP($AC42,装备强化!$N:$T,AF$3,0)*2,0)+IFERROR(VLOOKUP($AD42,装备强化!$N:$T,AF$3,0)*2,0)</f>
        <v>42</v>
      </c>
      <c r="AG42" s="4">
        <f>IFERROR(VLOOKUP($W42,装备强化!$N:$T,AG$3,0),0)+IFERROR(VLOOKUP($X42,装备强化!$N:$T,AG$3,0),0)+IFERROR(VLOOKUP($Y42,装备强化!$N:$T,AG$3,0),0)+IFERROR(VLOOKUP($Z42,装备强化!$N:$T,AG$3,0),0)+IFERROR(VLOOKUP($AA42,装备强化!$N:$T,AG$3,0),0)+IFERROR(VLOOKUP($AB42,装备强化!$N:$T,AG$3,0),0)+IFERROR(VLOOKUP($AC42,装备强化!$N:$T,AG$3,0)*2,0)+IFERROR(VLOOKUP($AD42,装备强化!$N:$T,AG$3,0)*2,0)</f>
        <v>21</v>
      </c>
      <c r="AI42" s="4">
        <f>LOOKUP($B42,装备设定!$B$48:$B$55,装备设定!$F$48:$F$55)*(COUNTA($W42:$AB42)+COUNTA($AC42:$AD42)*2)*AI$3</f>
        <v>49</v>
      </c>
      <c r="AJ42" s="4">
        <f>LOOKUP($B42,装备设定!$B$48:$B$55,装备设定!$F$48:$F$55)*(COUNTA($W42:$AB42)+COUNTA($AC42:$AD42)*2)*AJ$3</f>
        <v>49</v>
      </c>
      <c r="AK42" s="4">
        <f>LOOKUP($B42,装备设定!$B$48:$B$55,装备设定!$F$48:$F$55)*(COUNTA($W42:$AB42)+COUNTA($AC42:$AD42)*2)*AK$3</f>
        <v>49</v>
      </c>
    </row>
    <row r="43" spans="1:37">
      <c r="A43" s="4">
        <f>INT(C43*基础设定!$D$9+D43*基础设定!$D$11+E43*基础设定!$D$14)</f>
        <v>8351</v>
      </c>
      <c r="B43" s="4">
        <v>39</v>
      </c>
      <c r="C43" s="4">
        <f t="shared" si="2"/>
        <v>1128.5</v>
      </c>
      <c r="D43" s="4">
        <f t="shared" si="3"/>
        <v>333.3</v>
      </c>
      <c r="E43" s="4">
        <f t="shared" si="4"/>
        <v>276.15</v>
      </c>
      <c r="F43" s="4">
        <f t="shared" si="5"/>
        <v>57.15</v>
      </c>
      <c r="G43" s="4">
        <f t="shared" si="6"/>
        <v>19.7462817147856</v>
      </c>
      <c r="H43" s="4">
        <f t="shared" si="7"/>
        <v>419.96</v>
      </c>
      <c r="I43" s="4">
        <f t="shared" si="8"/>
        <v>143.81</v>
      </c>
      <c r="J43" s="4">
        <f t="shared" si="9"/>
        <v>7.8471594464919</v>
      </c>
      <c r="N43" s="4">
        <f>N42+职业基础属性!D$3*LOOKUP($B43,职业基础属性!$M$8:$M$16,职业基础属性!$O$8:$O$16)</f>
        <v>361.5</v>
      </c>
      <c r="O43" s="4">
        <f>O42+职业基础属性!F$3*LOOKUP($B43,职业基础属性!$M$8:$M$16,职业基础属性!$O$8:$O$16)</f>
        <v>72.3</v>
      </c>
      <c r="P43" s="4">
        <f>P42+职业基础属性!I$3*LOOKUP($B43,职业基础属性!$M$8:$M$16,职业基础属性!$O$8:$O$16)</f>
        <v>36.15</v>
      </c>
      <c r="R43" s="4">
        <f t="shared" si="11"/>
        <v>34</v>
      </c>
      <c r="S43" s="4">
        <f t="shared" si="12"/>
        <v>340</v>
      </c>
      <c r="T43" s="4">
        <f t="shared" si="12"/>
        <v>170</v>
      </c>
      <c r="U43" s="4">
        <f t="shared" si="12"/>
        <v>170</v>
      </c>
      <c r="W43" s="7" t="str">
        <f>IFERROR(VLOOKUP($B43&amp;"级"&amp;W$4,装备强化!$M:$N,2,0),W42)</f>
        <v>40级通用武器</v>
      </c>
      <c r="X43" s="7" t="str">
        <f>IFERROR(VLOOKUP($B43&amp;"级"&amp;X$4,装备强化!$M:$N,2,0),X42)</f>
        <v>40级通用头盔</v>
      </c>
      <c r="Y43" s="7" t="str">
        <f>IFERROR(VLOOKUP($B43&amp;"级"&amp;Y$4,装备强化!$M:$N,2,0),Y42)</f>
        <v>40级通用衣服</v>
      </c>
      <c r="Z43" s="7" t="str">
        <f>IFERROR(VLOOKUP($B43&amp;"级"&amp;Z$4,装备强化!$M:$N,2,0),Z42)</f>
        <v>40级通用腰带</v>
      </c>
      <c r="AA43" s="7" t="str">
        <f>IFERROR(VLOOKUP($B43&amp;"级"&amp;AA$4,装备强化!$M:$N,2,0),AA42)</f>
        <v>40级通用鞋子</v>
      </c>
      <c r="AB43" s="7" t="str">
        <f>IFERROR(VLOOKUP($B43&amp;"级"&amp;AB$4,装备强化!$M:$N,2,0),AB42)</f>
        <v>40级通用项链</v>
      </c>
      <c r="AC43" s="7" t="str">
        <f>IFERROR(VLOOKUP($B43&amp;"级"&amp;AC$4,装备强化!$M:$N,2,0),AC42)</f>
        <v>40级通用手镯</v>
      </c>
      <c r="AD43" s="7" t="str">
        <f>IFERROR(VLOOKUP($B43&amp;"级"&amp;AD$4,装备强化!$M:$N,2,0),AD42)</f>
        <v>40级通用戒指</v>
      </c>
      <c r="AE43" s="4">
        <f>IFERROR(VLOOKUP($W43,装备强化!$N:$T,AE$3,0),0)+IFERROR(VLOOKUP($X43,装备强化!$N:$T,AE$3,0),0)+IFERROR(VLOOKUP($Y43,装备强化!$N:$T,AE$3,0),0)+IFERROR(VLOOKUP($Z43,装备强化!$N:$T,AE$3,0),0)+IFERROR(VLOOKUP($AA43,装备强化!$N:$T,AE$3,0),0)+IFERROR(VLOOKUP($AB43,装备强化!$N:$T,AE$3,0),0)+IFERROR(VLOOKUP($AC43,装备强化!$N:$T,AE$3,0)*2,0)+IFERROR(VLOOKUP($AD43,装备强化!$N:$T,AE$3,0)*2,0)</f>
        <v>378</v>
      </c>
      <c r="AF43" s="4">
        <f>IFERROR(VLOOKUP($W43,装备强化!$N:$T,AF$3,0),0)+IFERROR(VLOOKUP($X43,装备强化!$N:$T,AF$3,0),0)+IFERROR(VLOOKUP($Y43,装备强化!$N:$T,AF$3,0),0)+IFERROR(VLOOKUP($Z43,装备强化!$N:$T,AF$3,0),0)+IFERROR(VLOOKUP($AA43,装备强化!$N:$T,AF$3,0),0)+IFERROR(VLOOKUP($AB43,装备强化!$N:$T,AF$3,0),0)+IFERROR(VLOOKUP($AC43,装备强化!$N:$T,AF$3,0)*2,0)+IFERROR(VLOOKUP($AD43,装备强化!$N:$T,AF$3,0)*2,0)</f>
        <v>42</v>
      </c>
      <c r="AG43" s="4">
        <f>IFERROR(VLOOKUP($W43,装备强化!$N:$T,AG$3,0),0)+IFERROR(VLOOKUP($X43,装备强化!$N:$T,AG$3,0),0)+IFERROR(VLOOKUP($Y43,装备强化!$N:$T,AG$3,0),0)+IFERROR(VLOOKUP($Z43,装备强化!$N:$T,AG$3,0),0)+IFERROR(VLOOKUP($AA43,装备强化!$N:$T,AG$3,0),0)+IFERROR(VLOOKUP($AB43,装备强化!$N:$T,AG$3,0),0)+IFERROR(VLOOKUP($AC43,装备强化!$N:$T,AG$3,0)*2,0)+IFERROR(VLOOKUP($AD43,装备强化!$N:$T,AG$3,0)*2,0)</f>
        <v>21</v>
      </c>
      <c r="AI43" s="4">
        <f>LOOKUP($B43,装备设定!$B$48:$B$55,装备设定!$F$48:$F$55)*(COUNTA($W43:$AB43)+COUNTA($AC43:$AD43)*2)*AI$3</f>
        <v>49</v>
      </c>
      <c r="AJ43" s="4">
        <f>LOOKUP($B43,装备设定!$B$48:$B$55,装备设定!$F$48:$F$55)*(COUNTA($W43:$AB43)+COUNTA($AC43:$AD43)*2)*AJ$3</f>
        <v>49</v>
      </c>
      <c r="AK43" s="4">
        <f>LOOKUP($B43,装备设定!$B$48:$B$55,装备设定!$F$48:$F$55)*(COUNTA($W43:$AB43)+COUNTA($AC43:$AD43)*2)*AK$3</f>
        <v>49</v>
      </c>
    </row>
    <row r="44" spans="1:37">
      <c r="A44" s="4">
        <f>INT(C44*基础设定!$D$9+D44*基础设定!$D$11+E44*基础设定!$D$14)</f>
        <v>8521</v>
      </c>
      <c r="B44" s="4">
        <v>40</v>
      </c>
      <c r="C44" s="4">
        <f t="shared" si="2"/>
        <v>1148.5</v>
      </c>
      <c r="D44" s="4">
        <f t="shared" si="3"/>
        <v>340.3</v>
      </c>
      <c r="E44" s="4">
        <f t="shared" si="4"/>
        <v>282.15</v>
      </c>
      <c r="F44" s="4">
        <f t="shared" si="5"/>
        <v>58.15</v>
      </c>
      <c r="G44" s="4">
        <f t="shared" si="6"/>
        <v>19.7506448839209</v>
      </c>
      <c r="H44" s="4">
        <f t="shared" si="7"/>
        <v>428.36</v>
      </c>
      <c r="I44" s="4">
        <f t="shared" si="8"/>
        <v>146.21</v>
      </c>
      <c r="J44" s="4">
        <f t="shared" si="9"/>
        <v>7.85513986731414</v>
      </c>
      <c r="N44" s="4">
        <f>N43+职业基础属性!D$3*LOOKUP($B44,职业基础属性!$M$8:$M$16,职业基础属性!$O$8:$O$16)</f>
        <v>371.5</v>
      </c>
      <c r="O44" s="4">
        <f>O43+职业基础属性!F$3*LOOKUP($B44,职业基础属性!$M$8:$M$16,职业基础属性!$O$8:$O$16)</f>
        <v>74.3</v>
      </c>
      <c r="P44" s="4">
        <f>P43+职业基础属性!I$3*LOOKUP($B44,职业基础属性!$M$8:$M$16,职业基础属性!$O$8:$O$16)</f>
        <v>37.15</v>
      </c>
      <c r="R44" s="4">
        <f t="shared" si="11"/>
        <v>35</v>
      </c>
      <c r="S44" s="4">
        <f t="shared" si="12"/>
        <v>350</v>
      </c>
      <c r="T44" s="4">
        <f t="shared" si="12"/>
        <v>175</v>
      </c>
      <c r="U44" s="4">
        <f t="shared" si="12"/>
        <v>175</v>
      </c>
      <c r="W44" s="7" t="str">
        <f>IFERROR(VLOOKUP($B44&amp;"级"&amp;W$4,装备强化!$M:$N,2,0),W43)</f>
        <v>40级通用武器</v>
      </c>
      <c r="X44" s="7" t="str">
        <f>IFERROR(VLOOKUP($B44&amp;"级"&amp;X$4,装备强化!$M:$N,2,0),X43)</f>
        <v>40级通用头盔</v>
      </c>
      <c r="Y44" s="7" t="str">
        <f>IFERROR(VLOOKUP($B44&amp;"级"&amp;Y$4,装备强化!$M:$N,2,0),Y43)</f>
        <v>40级通用衣服</v>
      </c>
      <c r="Z44" s="7" t="str">
        <f>IFERROR(VLOOKUP($B44&amp;"级"&amp;Z$4,装备强化!$M:$N,2,0),Z43)</f>
        <v>40级通用腰带</v>
      </c>
      <c r="AA44" s="7" t="str">
        <f>IFERROR(VLOOKUP($B44&amp;"级"&amp;AA$4,装备强化!$M:$N,2,0),AA43)</f>
        <v>40级通用鞋子</v>
      </c>
      <c r="AB44" s="7" t="str">
        <f>IFERROR(VLOOKUP($B44&amp;"级"&amp;AB$4,装备强化!$M:$N,2,0),AB43)</f>
        <v>40级通用项链</v>
      </c>
      <c r="AC44" s="7" t="str">
        <f>IFERROR(VLOOKUP($B44&amp;"级"&amp;AC$4,装备强化!$M:$N,2,0),AC43)</f>
        <v>40级通用手镯</v>
      </c>
      <c r="AD44" s="7" t="str">
        <f>IFERROR(VLOOKUP($B44&amp;"级"&amp;AD$4,装备强化!$M:$N,2,0),AD43)</f>
        <v>40级通用戒指</v>
      </c>
      <c r="AE44" s="4">
        <f>IFERROR(VLOOKUP($W44,装备强化!$N:$T,AE$3,0),0)+IFERROR(VLOOKUP($X44,装备强化!$N:$T,AE$3,0),0)+IFERROR(VLOOKUP($Y44,装备强化!$N:$T,AE$3,0),0)+IFERROR(VLOOKUP($Z44,装备强化!$N:$T,AE$3,0),0)+IFERROR(VLOOKUP($AA44,装备强化!$N:$T,AE$3,0),0)+IFERROR(VLOOKUP($AB44,装备强化!$N:$T,AE$3,0),0)+IFERROR(VLOOKUP($AC44,装备强化!$N:$T,AE$3,0)*2,0)+IFERROR(VLOOKUP($AD44,装备强化!$N:$T,AE$3,0)*2,0)</f>
        <v>378</v>
      </c>
      <c r="AF44" s="4">
        <f>IFERROR(VLOOKUP($W44,装备强化!$N:$T,AF$3,0),0)+IFERROR(VLOOKUP($X44,装备强化!$N:$T,AF$3,0),0)+IFERROR(VLOOKUP($Y44,装备强化!$N:$T,AF$3,0),0)+IFERROR(VLOOKUP($Z44,装备强化!$N:$T,AF$3,0),0)+IFERROR(VLOOKUP($AA44,装备强化!$N:$T,AF$3,0),0)+IFERROR(VLOOKUP($AB44,装备强化!$N:$T,AF$3,0),0)+IFERROR(VLOOKUP($AC44,装备强化!$N:$T,AF$3,0)*2,0)+IFERROR(VLOOKUP($AD44,装备强化!$N:$T,AF$3,0)*2,0)</f>
        <v>42</v>
      </c>
      <c r="AG44" s="4">
        <f>IFERROR(VLOOKUP($W44,装备强化!$N:$T,AG$3,0),0)+IFERROR(VLOOKUP($X44,装备强化!$N:$T,AG$3,0),0)+IFERROR(VLOOKUP($Y44,装备强化!$N:$T,AG$3,0),0)+IFERROR(VLOOKUP($Z44,装备强化!$N:$T,AG$3,0),0)+IFERROR(VLOOKUP($AA44,装备强化!$N:$T,AG$3,0),0)+IFERROR(VLOOKUP($AB44,装备强化!$N:$T,AG$3,0),0)+IFERROR(VLOOKUP($AC44,装备强化!$N:$T,AG$3,0)*2,0)+IFERROR(VLOOKUP($AD44,装备强化!$N:$T,AG$3,0)*2,0)</f>
        <v>21</v>
      </c>
      <c r="AI44" s="4">
        <f>LOOKUP($B44,装备设定!$B$48:$B$55,装备设定!$F$48:$F$55)*(COUNTA($W44:$AB44)+COUNTA($AC44:$AD44)*2)*AI$3</f>
        <v>49</v>
      </c>
      <c r="AJ44" s="4">
        <f>LOOKUP($B44,装备设定!$B$48:$B$55,装备设定!$F$48:$F$55)*(COUNTA($W44:$AB44)+COUNTA($AC44:$AD44)*2)*AJ$3</f>
        <v>49</v>
      </c>
      <c r="AK44" s="4">
        <f>LOOKUP($B44,装备设定!$B$48:$B$55,装备设定!$F$48:$F$55)*(COUNTA($W44:$AB44)+COUNTA($AC44:$AD44)*2)*AK$3</f>
        <v>49</v>
      </c>
    </row>
    <row r="45" spans="1:37">
      <c r="A45" s="4">
        <f>INT(C45*基础设定!$D$9+D45*基础设定!$D$11+E45*基础设定!$D$14)</f>
        <v>9013</v>
      </c>
      <c r="B45" s="4">
        <v>41</v>
      </c>
      <c r="C45" s="4">
        <f t="shared" si="2"/>
        <v>1178</v>
      </c>
      <c r="D45" s="4">
        <f t="shared" si="3"/>
        <v>364.88</v>
      </c>
      <c r="E45" s="4">
        <f t="shared" si="4"/>
        <v>300.85</v>
      </c>
      <c r="F45" s="4">
        <f t="shared" si="5"/>
        <v>64.03</v>
      </c>
      <c r="G45" s="4">
        <f t="shared" si="6"/>
        <v>18.3976261127597</v>
      </c>
      <c r="H45" s="4">
        <f t="shared" si="7"/>
        <v>457.856</v>
      </c>
      <c r="I45" s="4">
        <f t="shared" si="8"/>
        <v>157.006</v>
      </c>
      <c r="J45" s="4">
        <f t="shared" si="9"/>
        <v>7.50289797842121</v>
      </c>
      <c r="N45" s="4">
        <f>N44+职业基础属性!D$3*LOOKUP($B45,职业基础属性!$M$8:$M$16,职业基础属性!$O$8:$O$16)</f>
        <v>383.5</v>
      </c>
      <c r="O45" s="4">
        <f>O44+职业基础属性!F$3*LOOKUP($B45,职业基础属性!$M$8:$M$16,职业基础属性!$O$8:$O$16)</f>
        <v>76.7</v>
      </c>
      <c r="P45" s="4">
        <f>P44+职业基础属性!I$3*LOOKUP($B45,职业基础属性!$M$8:$M$16,职业基础属性!$O$8:$O$16)</f>
        <v>38.35</v>
      </c>
      <c r="R45" s="4">
        <f t="shared" si="11"/>
        <v>35</v>
      </c>
      <c r="S45" s="4">
        <f t="shared" si="12"/>
        <v>350</v>
      </c>
      <c r="T45" s="4">
        <f t="shared" si="12"/>
        <v>175</v>
      </c>
      <c r="U45" s="4">
        <f t="shared" si="12"/>
        <v>175</v>
      </c>
      <c r="W45" s="7" t="str">
        <f>IFERROR(VLOOKUP($B45&amp;"级"&amp;W$4,装备强化!$M:$N,2,0),W44)</f>
        <v>50级通用武器</v>
      </c>
      <c r="X45" s="7" t="str">
        <f>IFERROR(VLOOKUP($B45&amp;"级"&amp;X$4,装备强化!$M:$N,2,0),X44)</f>
        <v>40级通用头盔</v>
      </c>
      <c r="Y45" s="7" t="str">
        <f>IFERROR(VLOOKUP($B45&amp;"级"&amp;Y$4,装备强化!$M:$N,2,0),Y44)</f>
        <v>40级通用衣服</v>
      </c>
      <c r="Z45" s="7" t="str">
        <f>IFERROR(VLOOKUP($B45&amp;"级"&amp;Z$4,装备强化!$M:$N,2,0),Z44)</f>
        <v>40级通用腰带</v>
      </c>
      <c r="AA45" s="7" t="str">
        <f>IFERROR(VLOOKUP($B45&amp;"级"&amp;AA$4,装备强化!$M:$N,2,0),AA44)</f>
        <v>40级通用鞋子</v>
      </c>
      <c r="AB45" s="7" t="str">
        <f>IFERROR(VLOOKUP($B45&amp;"级"&amp;AB$4,装备强化!$M:$N,2,0),AB44)</f>
        <v>40级通用项链</v>
      </c>
      <c r="AC45" s="7" t="str">
        <f>IFERROR(VLOOKUP($B45&amp;"级"&amp;AC$4,装备强化!$M:$N,2,0),AC44)</f>
        <v>40级通用手镯</v>
      </c>
      <c r="AD45" s="7" t="str">
        <f>IFERROR(VLOOKUP($B45&amp;"级"&amp;AD$4,装备强化!$M:$N,2,0),AD44)</f>
        <v>40级通用戒指</v>
      </c>
      <c r="AE45" s="4">
        <f>IFERROR(VLOOKUP($W45,装备强化!$N:$T,AE$3,0),0)+IFERROR(VLOOKUP($X45,装备强化!$N:$T,AE$3,0),0)+IFERROR(VLOOKUP($Y45,装备强化!$N:$T,AE$3,0),0)+IFERROR(VLOOKUP($Z45,装备强化!$N:$T,AE$3,0),0)+IFERROR(VLOOKUP($AA45,装备强化!$N:$T,AE$3,0),0)+IFERROR(VLOOKUP($AB45,装备强化!$N:$T,AE$3,0),0)+IFERROR(VLOOKUP($AC45,装备强化!$N:$T,AE$3,0)*2,0)+IFERROR(VLOOKUP($AD45,装备强化!$N:$T,AE$3,0)*2,0)</f>
        <v>378</v>
      </c>
      <c r="AF45" s="4">
        <f>IFERROR(VLOOKUP($W45,装备强化!$N:$T,AF$3,0),0)+IFERROR(VLOOKUP($X45,装备强化!$N:$T,AF$3,0),0)+IFERROR(VLOOKUP($Y45,装备强化!$N:$T,AF$3,0),0)+IFERROR(VLOOKUP($Z45,装备强化!$N:$T,AF$3,0),0)+IFERROR(VLOOKUP($AA45,装备强化!$N:$T,AF$3,0),0)+IFERROR(VLOOKUP($AB45,装备强化!$N:$T,AF$3,0),0)+IFERROR(VLOOKUP($AC45,装备强化!$N:$T,AF$3,0)*2,0)+IFERROR(VLOOKUP($AD45,装备强化!$N:$T,AF$3,0)*2,0)</f>
        <v>46.68</v>
      </c>
      <c r="AG45" s="4">
        <f>IFERROR(VLOOKUP($W45,装备强化!$N:$T,AG$3,0),0)+IFERROR(VLOOKUP($X45,装备强化!$N:$T,AG$3,0),0)+IFERROR(VLOOKUP($Y45,装备强化!$N:$T,AG$3,0),0)+IFERROR(VLOOKUP($Z45,装备强化!$N:$T,AG$3,0),0)+IFERROR(VLOOKUP($AA45,装备强化!$N:$T,AG$3,0),0)+IFERROR(VLOOKUP($AB45,装备强化!$N:$T,AG$3,0),0)+IFERROR(VLOOKUP($AC45,装备强化!$N:$T,AG$3,0)*2,0)+IFERROR(VLOOKUP($AD45,装备强化!$N:$T,AG$3,0)*2,0)</f>
        <v>21</v>
      </c>
      <c r="AI45" s="4">
        <f>LOOKUP($B45,装备设定!$B$48:$B$55,装备设定!$F$48:$F$55)*(COUNTA($W45:$AB45)+COUNTA($AC45:$AD45)*2)*AI$3</f>
        <v>66.5</v>
      </c>
      <c r="AJ45" s="4">
        <f>LOOKUP($B45,装备设定!$B$48:$B$55,装备设定!$F$48:$F$55)*(COUNTA($W45:$AB45)+COUNTA($AC45:$AD45)*2)*AJ$3</f>
        <v>66.5</v>
      </c>
      <c r="AK45" s="4">
        <f>LOOKUP($B45,装备设定!$B$48:$B$55,装备设定!$F$48:$F$55)*(COUNTA($W45:$AB45)+COUNTA($AC45:$AD45)*2)*AK$3</f>
        <v>66.5</v>
      </c>
    </row>
    <row r="46" spans="1:37">
      <c r="A46" s="4">
        <f>INT(C46*基础设定!$D$9+D46*基础设定!$D$11+E46*基础设定!$D$14)</f>
        <v>9244</v>
      </c>
      <c r="B46" s="4">
        <v>42</v>
      </c>
      <c r="C46" s="4">
        <f t="shared" si="2"/>
        <v>1217.55</v>
      </c>
      <c r="D46" s="4">
        <f t="shared" si="3"/>
        <v>372.28</v>
      </c>
      <c r="E46" s="4">
        <f t="shared" si="4"/>
        <v>308.61</v>
      </c>
      <c r="F46" s="4">
        <f t="shared" si="5"/>
        <v>63.67</v>
      </c>
      <c r="G46" s="4">
        <f t="shared" si="6"/>
        <v>19.1228207947228</v>
      </c>
      <c r="H46" s="4">
        <f t="shared" si="7"/>
        <v>466.736</v>
      </c>
      <c r="I46" s="4">
        <f t="shared" si="8"/>
        <v>158.126</v>
      </c>
      <c r="J46" s="4">
        <f t="shared" si="9"/>
        <v>7.69987225377231</v>
      </c>
      <c r="N46" s="4">
        <f>N45+职业基础属性!D$3*LOOKUP($B46,职业基础属性!$M$8:$M$16,职业基础属性!$O$8:$O$16)</f>
        <v>395.5</v>
      </c>
      <c r="O46" s="4">
        <f>O45+职业基础属性!F$3*LOOKUP($B46,职业基础属性!$M$8:$M$16,职业基础属性!$O$8:$O$16)</f>
        <v>79.1</v>
      </c>
      <c r="P46" s="4">
        <f>P45+职业基础属性!I$3*LOOKUP($B46,职业基础属性!$M$8:$M$16,职业基础属性!$O$8:$O$16)</f>
        <v>39.55</v>
      </c>
      <c r="R46" s="4">
        <f t="shared" si="11"/>
        <v>36</v>
      </c>
      <c r="S46" s="4">
        <f t="shared" si="12"/>
        <v>360</v>
      </c>
      <c r="T46" s="4">
        <f t="shared" si="12"/>
        <v>180</v>
      </c>
      <c r="U46" s="4">
        <f t="shared" si="12"/>
        <v>180</v>
      </c>
      <c r="W46" s="7" t="str">
        <f>IFERROR(VLOOKUP($B46&amp;"级"&amp;W$4,装备强化!$M:$N,2,0),W45)</f>
        <v>50级通用武器</v>
      </c>
      <c r="X46" s="7" t="str">
        <f>IFERROR(VLOOKUP($B46&amp;"级"&amp;X$4,装备强化!$M:$N,2,0),X45)</f>
        <v>40级通用头盔</v>
      </c>
      <c r="Y46" s="7" t="str">
        <f>IFERROR(VLOOKUP($B46&amp;"级"&amp;Y$4,装备强化!$M:$N,2,0),Y45)</f>
        <v>40级通用衣服</v>
      </c>
      <c r="Z46" s="7" t="str">
        <f>IFERROR(VLOOKUP($B46&amp;"级"&amp;Z$4,装备强化!$M:$N,2,0),Z45)</f>
        <v>40级通用腰带</v>
      </c>
      <c r="AA46" s="7" t="str">
        <f>IFERROR(VLOOKUP($B46&amp;"级"&amp;AA$4,装备强化!$M:$N,2,0),AA45)</f>
        <v>50级通用鞋子</v>
      </c>
      <c r="AB46" s="7" t="str">
        <f>IFERROR(VLOOKUP($B46&amp;"级"&amp;AB$4,装备强化!$M:$N,2,0),AB45)</f>
        <v>40级通用项链</v>
      </c>
      <c r="AC46" s="7" t="str">
        <f>IFERROR(VLOOKUP($B46&amp;"级"&amp;AC$4,装备强化!$M:$N,2,0),AC45)</f>
        <v>40级通用手镯</v>
      </c>
      <c r="AD46" s="7" t="str">
        <f>IFERROR(VLOOKUP($B46&amp;"级"&amp;AD$4,装备强化!$M:$N,2,0),AD45)</f>
        <v>40级通用戒指</v>
      </c>
      <c r="AE46" s="4">
        <f>IFERROR(VLOOKUP($W46,装备强化!$N:$T,AE$3,0),0)+IFERROR(VLOOKUP($X46,装备强化!$N:$T,AE$3,0),0)+IFERROR(VLOOKUP($Y46,装备强化!$N:$T,AE$3,0),0)+IFERROR(VLOOKUP($Z46,装备强化!$N:$T,AE$3,0),0)+IFERROR(VLOOKUP($AA46,装备强化!$N:$T,AE$3,0),0)+IFERROR(VLOOKUP($AB46,装备强化!$N:$T,AE$3,0),0)+IFERROR(VLOOKUP($AC46,装备强化!$N:$T,AE$3,0)*2,0)+IFERROR(VLOOKUP($AD46,装备强化!$N:$T,AE$3,0)*2,0)</f>
        <v>395.55</v>
      </c>
      <c r="AF46" s="4">
        <f>IFERROR(VLOOKUP($W46,装备强化!$N:$T,AF$3,0),0)+IFERROR(VLOOKUP($X46,装备强化!$N:$T,AF$3,0),0)+IFERROR(VLOOKUP($Y46,装备强化!$N:$T,AF$3,0),0)+IFERROR(VLOOKUP($Z46,装备强化!$N:$T,AF$3,0),0)+IFERROR(VLOOKUP($AA46,装备强化!$N:$T,AF$3,0),0)+IFERROR(VLOOKUP($AB46,装备强化!$N:$T,AF$3,0),0)+IFERROR(VLOOKUP($AC46,装备强化!$N:$T,AF$3,0)*2,0)+IFERROR(VLOOKUP($AD46,装备强化!$N:$T,AF$3,0)*2,0)</f>
        <v>46.68</v>
      </c>
      <c r="AG46" s="4">
        <f>IFERROR(VLOOKUP($W46,装备强化!$N:$T,AG$3,0),0)+IFERROR(VLOOKUP($X46,装备强化!$N:$T,AG$3,0),0)+IFERROR(VLOOKUP($Y46,装备强化!$N:$T,AG$3,0),0)+IFERROR(VLOOKUP($Z46,装备强化!$N:$T,AG$3,0),0)+IFERROR(VLOOKUP($AA46,装备强化!$N:$T,AG$3,0),0)+IFERROR(VLOOKUP($AB46,装备强化!$N:$T,AG$3,0),0)+IFERROR(VLOOKUP($AC46,装备强化!$N:$T,AG$3,0)*2,0)+IFERROR(VLOOKUP($AD46,装备强化!$N:$T,AG$3,0)*2,0)</f>
        <v>22.56</v>
      </c>
      <c r="AI46" s="4">
        <f>LOOKUP($B46,装备设定!$B$48:$B$55,装备设定!$F$48:$F$55)*(COUNTA($W46:$AB46)+COUNTA($AC46:$AD46)*2)*AI$3</f>
        <v>66.5</v>
      </c>
      <c r="AJ46" s="4">
        <f>LOOKUP($B46,装备设定!$B$48:$B$55,装备设定!$F$48:$F$55)*(COUNTA($W46:$AB46)+COUNTA($AC46:$AD46)*2)*AJ$3</f>
        <v>66.5</v>
      </c>
      <c r="AK46" s="4">
        <f>LOOKUP($B46,装备设定!$B$48:$B$55,装备设定!$F$48:$F$55)*(COUNTA($W46:$AB46)+COUNTA($AC46:$AD46)*2)*AK$3</f>
        <v>66.5</v>
      </c>
    </row>
    <row r="47" spans="1:37">
      <c r="A47" s="4">
        <f>INT(C47*基础设定!$D$9+D47*基础设定!$D$11+E47*基础设定!$D$14)</f>
        <v>9405</v>
      </c>
      <c r="B47" s="4">
        <v>43</v>
      </c>
      <c r="C47" s="4">
        <f t="shared" si="2"/>
        <v>1264.65</v>
      </c>
      <c r="D47" s="4">
        <f t="shared" si="3"/>
        <v>377.8</v>
      </c>
      <c r="E47" s="4">
        <f t="shared" si="4"/>
        <v>309.81</v>
      </c>
      <c r="F47" s="4">
        <f t="shared" si="5"/>
        <v>67.99</v>
      </c>
      <c r="G47" s="4">
        <f t="shared" si="6"/>
        <v>18.6005294896308</v>
      </c>
      <c r="H47" s="4">
        <f t="shared" si="7"/>
        <v>473.36</v>
      </c>
      <c r="I47" s="4">
        <f t="shared" si="8"/>
        <v>163.55</v>
      </c>
      <c r="J47" s="4">
        <f t="shared" si="9"/>
        <v>7.7324977071232</v>
      </c>
      <c r="N47" s="4">
        <f>N46+职业基础属性!D$3*LOOKUP($B47,职业基础属性!$M$8:$M$16,职业基础属性!$O$8:$O$16)</f>
        <v>407.5</v>
      </c>
      <c r="O47" s="4">
        <f>O46+职业基础属性!F$3*LOOKUP($B47,职业基础属性!$M$8:$M$16,职业基础属性!$O$8:$O$16)</f>
        <v>81.5</v>
      </c>
      <c r="P47" s="4">
        <f>P46+职业基础属性!I$3*LOOKUP($B47,职业基础属性!$M$8:$M$16,职业基础属性!$O$8:$O$16)</f>
        <v>40.75</v>
      </c>
      <c r="R47" s="4">
        <f t="shared" si="11"/>
        <v>36</v>
      </c>
      <c r="S47" s="4">
        <f t="shared" si="12"/>
        <v>360</v>
      </c>
      <c r="T47" s="4">
        <f t="shared" si="12"/>
        <v>180</v>
      </c>
      <c r="U47" s="4">
        <f t="shared" si="12"/>
        <v>180</v>
      </c>
      <c r="W47" s="7" t="str">
        <f>IFERROR(VLOOKUP($B47&amp;"级"&amp;W$4,装备强化!$M:$N,2,0),W46)</f>
        <v>50级通用武器</v>
      </c>
      <c r="X47" s="7" t="str">
        <f>IFERROR(VLOOKUP($B47&amp;"级"&amp;X$4,装备强化!$M:$N,2,0),X46)</f>
        <v>40级通用头盔</v>
      </c>
      <c r="Y47" s="7" t="str">
        <f>IFERROR(VLOOKUP($B47&amp;"级"&amp;Y$4,装备强化!$M:$N,2,0),Y46)</f>
        <v>40级通用衣服</v>
      </c>
      <c r="Z47" s="7" t="str">
        <f>IFERROR(VLOOKUP($B47&amp;"级"&amp;Z$4,装备强化!$M:$N,2,0),Z46)</f>
        <v>40级通用腰带</v>
      </c>
      <c r="AA47" s="7" t="str">
        <f>IFERROR(VLOOKUP($B47&amp;"级"&amp;AA$4,装备强化!$M:$N,2,0),AA46)</f>
        <v>50级通用鞋子</v>
      </c>
      <c r="AB47" s="7" t="str">
        <f>IFERROR(VLOOKUP($B47&amp;"级"&amp;AB$4,装备强化!$M:$N,2,0),AB46)</f>
        <v>40级通用项链</v>
      </c>
      <c r="AC47" s="7" t="str">
        <f>IFERROR(VLOOKUP($B47&amp;"级"&amp;AC$4,装备强化!$M:$N,2,0),AC46)</f>
        <v>40级通用手镯</v>
      </c>
      <c r="AD47" s="7" t="str">
        <f>IFERROR(VLOOKUP($B47&amp;"级"&amp;AD$4,装备强化!$M:$N,2,0),AD46)</f>
        <v>50级通用戒指</v>
      </c>
      <c r="AE47" s="4">
        <f>IFERROR(VLOOKUP($W47,装备强化!$N:$T,AE$3,0),0)+IFERROR(VLOOKUP($X47,装备强化!$N:$T,AE$3,0),0)+IFERROR(VLOOKUP($Y47,装备强化!$N:$T,AE$3,0),0)+IFERROR(VLOOKUP($Z47,装备强化!$N:$T,AE$3,0),0)+IFERROR(VLOOKUP($AA47,装备强化!$N:$T,AE$3,0),0)+IFERROR(VLOOKUP($AB47,装备强化!$N:$T,AE$3,0),0)+IFERROR(VLOOKUP($AC47,装备强化!$N:$T,AE$3,0)*2,0)+IFERROR(VLOOKUP($AD47,装备强化!$N:$T,AE$3,0)*2,0)</f>
        <v>430.65</v>
      </c>
      <c r="AF47" s="4">
        <f>IFERROR(VLOOKUP($W47,装备强化!$N:$T,AF$3,0),0)+IFERROR(VLOOKUP($X47,装备强化!$N:$T,AF$3,0),0)+IFERROR(VLOOKUP($Y47,装备强化!$N:$T,AF$3,0),0)+IFERROR(VLOOKUP($Z47,装备强化!$N:$T,AF$3,0),0)+IFERROR(VLOOKUP($AA47,装备强化!$N:$T,AF$3,0),0)+IFERROR(VLOOKUP($AB47,装备强化!$N:$T,AF$3,0),0)+IFERROR(VLOOKUP($AC47,装备强化!$N:$T,AF$3,0)*2,0)+IFERROR(VLOOKUP($AD47,装备强化!$N:$T,AF$3,0)*2,0)</f>
        <v>49.8</v>
      </c>
      <c r="AG47" s="4">
        <f>IFERROR(VLOOKUP($W47,装备强化!$N:$T,AG$3,0),0)+IFERROR(VLOOKUP($X47,装备强化!$N:$T,AG$3,0),0)+IFERROR(VLOOKUP($Y47,装备强化!$N:$T,AG$3,0),0)+IFERROR(VLOOKUP($Z47,装备强化!$N:$T,AG$3,0),0)+IFERROR(VLOOKUP($AA47,装备强化!$N:$T,AG$3,0),0)+IFERROR(VLOOKUP($AB47,装备强化!$N:$T,AG$3,0),0)+IFERROR(VLOOKUP($AC47,装备强化!$N:$T,AG$3,0)*2,0)+IFERROR(VLOOKUP($AD47,装备强化!$N:$T,AG$3,0)*2,0)</f>
        <v>22.56</v>
      </c>
      <c r="AI47" s="4">
        <f>LOOKUP($B47,装备设定!$B$48:$B$55,装备设定!$F$48:$F$55)*(COUNTA($W47:$AB47)+COUNTA($AC47:$AD47)*2)*AI$3</f>
        <v>66.5</v>
      </c>
      <c r="AJ47" s="4">
        <f>LOOKUP($B47,装备设定!$B$48:$B$55,装备设定!$F$48:$F$55)*(COUNTA($W47:$AB47)+COUNTA($AC47:$AD47)*2)*AJ$3</f>
        <v>66.5</v>
      </c>
      <c r="AK47" s="4">
        <f>LOOKUP($B47,装备设定!$B$48:$B$55,装备设定!$F$48:$F$55)*(COUNTA($W47:$AB47)+COUNTA($AC47:$AD47)*2)*AK$3</f>
        <v>66.5</v>
      </c>
    </row>
    <row r="48" spans="1:37">
      <c r="A48" s="4">
        <f>INT(C48*基础设定!$D$9+D48*基础设定!$D$11+E48*基础设定!$D$14)</f>
        <v>9616</v>
      </c>
      <c r="B48" s="4">
        <v>44</v>
      </c>
      <c r="C48" s="4">
        <f t="shared" si="2"/>
        <v>1286.65</v>
      </c>
      <c r="D48" s="4">
        <f t="shared" si="3"/>
        <v>387.54</v>
      </c>
      <c r="E48" s="4">
        <f t="shared" si="4"/>
        <v>316.79</v>
      </c>
      <c r="F48" s="4">
        <f t="shared" si="5"/>
        <v>70.75</v>
      </c>
      <c r="G48" s="4">
        <f t="shared" si="6"/>
        <v>18.1858657243816</v>
      </c>
      <c r="H48" s="4">
        <f t="shared" si="7"/>
        <v>485.048</v>
      </c>
      <c r="I48" s="4">
        <f t="shared" si="8"/>
        <v>168.258</v>
      </c>
      <c r="J48" s="4">
        <f t="shared" si="9"/>
        <v>7.64688751797834</v>
      </c>
      <c r="N48" s="4">
        <f>N47+职业基础属性!D$3*LOOKUP($B48,职业基础属性!$M$8:$M$16,职业基础属性!$O$8:$O$16)</f>
        <v>419.5</v>
      </c>
      <c r="O48" s="4">
        <f>O47+职业基础属性!F$3*LOOKUP($B48,职业基础属性!$M$8:$M$16,职业基础属性!$O$8:$O$16)</f>
        <v>83.9</v>
      </c>
      <c r="P48" s="4">
        <f>P47+职业基础属性!I$3*LOOKUP($B48,职业基础属性!$M$8:$M$16,职业基础属性!$O$8:$O$16)</f>
        <v>41.95</v>
      </c>
      <c r="R48" s="4">
        <f t="shared" si="11"/>
        <v>37</v>
      </c>
      <c r="S48" s="4">
        <f t="shared" si="12"/>
        <v>370</v>
      </c>
      <c r="T48" s="4">
        <f t="shared" si="12"/>
        <v>185</v>
      </c>
      <c r="U48" s="4">
        <f t="shared" si="12"/>
        <v>185</v>
      </c>
      <c r="W48" s="7" t="str">
        <f>IFERROR(VLOOKUP($B48&amp;"级"&amp;W$4,装备强化!$M:$N,2,0),W47)</f>
        <v>50级通用武器</v>
      </c>
      <c r="X48" s="7" t="str">
        <f>IFERROR(VLOOKUP($B48&amp;"级"&amp;X$4,装备强化!$M:$N,2,0),X47)</f>
        <v>40级通用头盔</v>
      </c>
      <c r="Y48" s="7" t="str">
        <f>IFERROR(VLOOKUP($B48&amp;"级"&amp;Y$4,装备强化!$M:$N,2,0),Y47)</f>
        <v>40级通用衣服</v>
      </c>
      <c r="Z48" s="7" t="str">
        <f>IFERROR(VLOOKUP($B48&amp;"级"&amp;Z$4,装备强化!$M:$N,2,0),Z47)</f>
        <v>40级通用腰带</v>
      </c>
      <c r="AA48" s="7" t="str">
        <f>IFERROR(VLOOKUP($B48&amp;"级"&amp;AA$4,装备强化!$M:$N,2,0),AA47)</f>
        <v>50级通用鞋子</v>
      </c>
      <c r="AB48" s="7" t="str">
        <f>IFERROR(VLOOKUP($B48&amp;"级"&amp;AB$4,装备强化!$M:$N,2,0),AB47)</f>
        <v>50级通用项链</v>
      </c>
      <c r="AC48" s="7" t="str">
        <f>IFERROR(VLOOKUP($B48&amp;"级"&amp;AC$4,装备强化!$M:$N,2,0),AC47)</f>
        <v>40级通用手镯</v>
      </c>
      <c r="AD48" s="7" t="str">
        <f>IFERROR(VLOOKUP($B48&amp;"级"&amp;AD$4,装备强化!$M:$N,2,0),AD47)</f>
        <v>50级通用戒指</v>
      </c>
      <c r="AE48" s="4">
        <f>IFERROR(VLOOKUP($W48,装备强化!$N:$T,AE$3,0),0)+IFERROR(VLOOKUP($X48,装备强化!$N:$T,AE$3,0),0)+IFERROR(VLOOKUP($Y48,装备强化!$N:$T,AE$3,0),0)+IFERROR(VLOOKUP($Z48,装备强化!$N:$T,AE$3,0),0)+IFERROR(VLOOKUP($AA48,装备强化!$N:$T,AE$3,0),0)+IFERROR(VLOOKUP($AB48,装备强化!$N:$T,AE$3,0),0)+IFERROR(VLOOKUP($AC48,装备强化!$N:$T,AE$3,0)*2,0)+IFERROR(VLOOKUP($AD48,装备强化!$N:$T,AE$3,0)*2,0)</f>
        <v>430.65</v>
      </c>
      <c r="AF48" s="4">
        <f>IFERROR(VLOOKUP($W48,装备强化!$N:$T,AF$3,0),0)+IFERROR(VLOOKUP($X48,装备强化!$N:$T,AF$3,0),0)+IFERROR(VLOOKUP($Y48,装备强化!$N:$T,AF$3,0),0)+IFERROR(VLOOKUP($Z48,装备强化!$N:$T,AF$3,0),0)+IFERROR(VLOOKUP($AA48,装备强化!$N:$T,AF$3,0),0)+IFERROR(VLOOKUP($AB48,装备强化!$N:$T,AF$3,0),0)+IFERROR(VLOOKUP($AC48,装备强化!$N:$T,AF$3,0)*2,0)+IFERROR(VLOOKUP($AD48,装备强化!$N:$T,AF$3,0)*2,0)</f>
        <v>52.14</v>
      </c>
      <c r="AG48" s="4">
        <f>IFERROR(VLOOKUP($W48,装备强化!$N:$T,AG$3,0),0)+IFERROR(VLOOKUP($X48,装备强化!$N:$T,AG$3,0),0)+IFERROR(VLOOKUP($Y48,装备强化!$N:$T,AG$3,0),0)+IFERROR(VLOOKUP($Z48,装备强化!$N:$T,AG$3,0),0)+IFERROR(VLOOKUP($AA48,装备强化!$N:$T,AG$3,0),0)+IFERROR(VLOOKUP($AB48,装备强化!$N:$T,AG$3,0),0)+IFERROR(VLOOKUP($AC48,装备强化!$N:$T,AG$3,0)*2,0)+IFERROR(VLOOKUP($AD48,装备强化!$N:$T,AG$3,0)*2,0)</f>
        <v>23.34</v>
      </c>
      <c r="AI48" s="4">
        <f>LOOKUP($B48,装备设定!$B$48:$B$55,装备设定!$F$48:$F$55)*(COUNTA($W48:$AB48)+COUNTA($AC48:$AD48)*2)*AI$3</f>
        <v>66.5</v>
      </c>
      <c r="AJ48" s="4">
        <f>LOOKUP($B48,装备设定!$B$48:$B$55,装备设定!$F$48:$F$55)*(COUNTA($W48:$AB48)+COUNTA($AC48:$AD48)*2)*AJ$3</f>
        <v>66.5</v>
      </c>
      <c r="AK48" s="4">
        <f>LOOKUP($B48,装备设定!$B$48:$B$55,装备设定!$F$48:$F$55)*(COUNTA($W48:$AB48)+COUNTA($AC48:$AD48)*2)*AK$3</f>
        <v>66.5</v>
      </c>
    </row>
    <row r="49" spans="1:37">
      <c r="A49" s="4">
        <f>INT(C49*基础设定!$D$9+D49*基础设定!$D$11+E49*基础设定!$D$14)</f>
        <v>9766</v>
      </c>
      <c r="B49" s="4">
        <v>45</v>
      </c>
      <c r="C49" s="4">
        <f t="shared" si="2"/>
        <v>1333.75</v>
      </c>
      <c r="D49" s="4">
        <f t="shared" si="3"/>
        <v>389.94</v>
      </c>
      <c r="E49" s="4">
        <f t="shared" si="4"/>
        <v>319.94</v>
      </c>
      <c r="F49" s="4">
        <f t="shared" si="5"/>
        <v>70.0000000000001</v>
      </c>
      <c r="G49" s="4">
        <f t="shared" si="6"/>
        <v>19.0535714285714</v>
      </c>
      <c r="H49" s="4">
        <f t="shared" si="7"/>
        <v>487.928</v>
      </c>
      <c r="I49" s="4">
        <f t="shared" si="8"/>
        <v>167.988</v>
      </c>
      <c r="J49" s="4">
        <f t="shared" si="9"/>
        <v>7.93955520632426</v>
      </c>
      <c r="N49" s="4">
        <f>N48+职业基础属性!D$3*LOOKUP($B49,职业基础属性!$M$8:$M$16,职业基础属性!$O$8:$O$16)</f>
        <v>431.5</v>
      </c>
      <c r="O49" s="4">
        <f>O48+职业基础属性!F$3*LOOKUP($B49,职业基础属性!$M$8:$M$16,职业基础属性!$O$8:$O$16)</f>
        <v>86.3</v>
      </c>
      <c r="P49" s="4">
        <f>P48+职业基础属性!I$3*LOOKUP($B49,职业基础属性!$M$8:$M$16,职业基础属性!$O$8:$O$16)</f>
        <v>43.15</v>
      </c>
      <c r="R49" s="4">
        <f t="shared" si="11"/>
        <v>37</v>
      </c>
      <c r="S49" s="4">
        <f t="shared" si="12"/>
        <v>370</v>
      </c>
      <c r="T49" s="4">
        <f t="shared" si="12"/>
        <v>185</v>
      </c>
      <c r="U49" s="4">
        <f t="shared" si="12"/>
        <v>185</v>
      </c>
      <c r="W49" s="7" t="str">
        <f>IFERROR(VLOOKUP($B49&amp;"级"&amp;W$4,装备强化!$M:$N,2,0),W48)</f>
        <v>50级通用武器</v>
      </c>
      <c r="X49" s="7" t="str">
        <f>IFERROR(VLOOKUP($B49&amp;"级"&amp;X$4,装备强化!$M:$N,2,0),X48)</f>
        <v>40级通用头盔</v>
      </c>
      <c r="Y49" s="7" t="str">
        <f>IFERROR(VLOOKUP($B49&amp;"级"&amp;Y$4,装备强化!$M:$N,2,0),Y48)</f>
        <v>50级通用衣服</v>
      </c>
      <c r="Z49" s="7" t="str">
        <f>IFERROR(VLOOKUP($B49&amp;"级"&amp;Z$4,装备强化!$M:$N,2,0),Z48)</f>
        <v>40级通用腰带</v>
      </c>
      <c r="AA49" s="7" t="str">
        <f>IFERROR(VLOOKUP($B49&amp;"级"&amp;AA$4,装备强化!$M:$N,2,0),AA48)</f>
        <v>50级通用鞋子</v>
      </c>
      <c r="AB49" s="7" t="str">
        <f>IFERROR(VLOOKUP($B49&amp;"级"&amp;AB$4,装备强化!$M:$N,2,0),AB48)</f>
        <v>50级通用项链</v>
      </c>
      <c r="AC49" s="7" t="str">
        <f>IFERROR(VLOOKUP($B49&amp;"级"&amp;AC$4,装备强化!$M:$N,2,0),AC48)</f>
        <v>40级通用手镯</v>
      </c>
      <c r="AD49" s="7" t="str">
        <f>IFERROR(VLOOKUP($B49&amp;"级"&amp;AD$4,装备强化!$M:$N,2,0),AD48)</f>
        <v>50级通用戒指</v>
      </c>
      <c r="AE49" s="4">
        <f>IFERROR(VLOOKUP($W49,装备强化!$N:$T,AE$3,0),0)+IFERROR(VLOOKUP($X49,装备强化!$N:$T,AE$3,0),0)+IFERROR(VLOOKUP($Y49,装备强化!$N:$T,AE$3,0),0)+IFERROR(VLOOKUP($Z49,装备强化!$N:$T,AE$3,0),0)+IFERROR(VLOOKUP($AA49,装备强化!$N:$T,AE$3,0),0)+IFERROR(VLOOKUP($AB49,装备强化!$N:$T,AE$3,0),0)+IFERROR(VLOOKUP($AC49,装备强化!$N:$T,AE$3,0)*2,0)+IFERROR(VLOOKUP($AD49,装备强化!$N:$T,AE$3,0)*2,0)</f>
        <v>465.75</v>
      </c>
      <c r="AF49" s="4">
        <f>IFERROR(VLOOKUP($W49,装备强化!$N:$T,AF$3,0),0)+IFERROR(VLOOKUP($X49,装备强化!$N:$T,AF$3,0),0)+IFERROR(VLOOKUP($Y49,装备强化!$N:$T,AF$3,0),0)+IFERROR(VLOOKUP($Z49,装备强化!$N:$T,AF$3,0),0)+IFERROR(VLOOKUP($AA49,装备强化!$N:$T,AF$3,0),0)+IFERROR(VLOOKUP($AB49,装备强化!$N:$T,AF$3,0),0)+IFERROR(VLOOKUP($AC49,装备强化!$N:$T,AF$3,0)*2,0)+IFERROR(VLOOKUP($AD49,装备强化!$N:$T,AF$3,0)*2,0)</f>
        <v>52.14</v>
      </c>
      <c r="AG49" s="4">
        <f>IFERROR(VLOOKUP($W49,装备强化!$N:$T,AG$3,0),0)+IFERROR(VLOOKUP($X49,装备强化!$N:$T,AG$3,0),0)+IFERROR(VLOOKUP($Y49,装备强化!$N:$T,AG$3,0),0)+IFERROR(VLOOKUP($Z49,装备强化!$N:$T,AG$3,0),0)+IFERROR(VLOOKUP($AA49,装备强化!$N:$T,AG$3,0),0)+IFERROR(VLOOKUP($AB49,装备强化!$N:$T,AG$3,0),0)+IFERROR(VLOOKUP($AC49,装备强化!$N:$T,AG$3,0)*2,0)+IFERROR(VLOOKUP($AD49,装备强化!$N:$T,AG$3,0)*2,0)</f>
        <v>25.29</v>
      </c>
      <c r="AI49" s="4">
        <f>LOOKUP($B49,装备设定!$B$48:$B$55,装备设定!$F$48:$F$55)*(COUNTA($W49:$AB49)+COUNTA($AC49:$AD49)*2)*AI$3</f>
        <v>66.5</v>
      </c>
      <c r="AJ49" s="4">
        <f>LOOKUP($B49,装备设定!$B$48:$B$55,装备设定!$F$48:$F$55)*(COUNTA($W49:$AB49)+COUNTA($AC49:$AD49)*2)*AJ$3</f>
        <v>66.5</v>
      </c>
      <c r="AK49" s="4">
        <f>LOOKUP($B49,装备设定!$B$48:$B$55,装备设定!$F$48:$F$55)*(COUNTA($W49:$AB49)+COUNTA($AC49:$AD49)*2)*AK$3</f>
        <v>66.5</v>
      </c>
    </row>
    <row r="50" spans="1:37">
      <c r="A50" s="4">
        <f>INT(C50*基础设定!$D$9+D50*基础设定!$D$11+E50*基础设定!$D$14)</f>
        <v>10047</v>
      </c>
      <c r="B50" s="4">
        <v>46</v>
      </c>
      <c r="C50" s="4">
        <f t="shared" si="2"/>
        <v>1390.85</v>
      </c>
      <c r="D50" s="4">
        <f t="shared" si="3"/>
        <v>400.46</v>
      </c>
      <c r="E50" s="4">
        <f t="shared" si="4"/>
        <v>326.14</v>
      </c>
      <c r="F50" s="4">
        <f t="shared" si="5"/>
        <v>74.32</v>
      </c>
      <c r="G50" s="4">
        <f t="shared" si="6"/>
        <v>18.7143433799785</v>
      </c>
      <c r="H50" s="4">
        <f t="shared" si="7"/>
        <v>500.552</v>
      </c>
      <c r="I50" s="4">
        <f t="shared" si="8"/>
        <v>174.412</v>
      </c>
      <c r="J50" s="4">
        <f t="shared" si="9"/>
        <v>7.97450863472697</v>
      </c>
      <c r="N50" s="4">
        <f>N49+职业基础属性!D$3*LOOKUP($B50,职业基础属性!$M$8:$M$16,职业基础属性!$O$8:$O$16)</f>
        <v>443.5</v>
      </c>
      <c r="O50" s="4">
        <f>O49+职业基础属性!F$3*LOOKUP($B50,职业基础属性!$M$8:$M$16,职业基础属性!$O$8:$O$16)</f>
        <v>88.7</v>
      </c>
      <c r="P50" s="4">
        <f>P49+职业基础属性!I$3*LOOKUP($B50,职业基础属性!$M$8:$M$16,职业基础属性!$O$8:$O$16)</f>
        <v>44.35</v>
      </c>
      <c r="R50" s="4">
        <f t="shared" si="11"/>
        <v>38</v>
      </c>
      <c r="S50" s="4">
        <f t="shared" si="12"/>
        <v>380</v>
      </c>
      <c r="T50" s="4">
        <f t="shared" si="12"/>
        <v>190</v>
      </c>
      <c r="U50" s="4">
        <f t="shared" si="12"/>
        <v>190</v>
      </c>
      <c r="W50" s="7" t="str">
        <f>IFERROR(VLOOKUP($B50&amp;"级"&amp;W$4,装备强化!$M:$N,2,0),W49)</f>
        <v>50级通用武器</v>
      </c>
      <c r="X50" s="7" t="str">
        <f>IFERROR(VLOOKUP($B50&amp;"级"&amp;X$4,装备强化!$M:$N,2,0),X49)</f>
        <v>40级通用头盔</v>
      </c>
      <c r="Y50" s="7" t="str">
        <f>IFERROR(VLOOKUP($B50&amp;"级"&amp;Y$4,装备强化!$M:$N,2,0),Y49)</f>
        <v>50级通用衣服</v>
      </c>
      <c r="Z50" s="7" t="str">
        <f>IFERROR(VLOOKUP($B50&amp;"级"&amp;Z$4,装备强化!$M:$N,2,0),Z49)</f>
        <v>40级通用腰带</v>
      </c>
      <c r="AA50" s="7" t="str">
        <f>IFERROR(VLOOKUP($B50&amp;"级"&amp;AA$4,装备强化!$M:$N,2,0),AA49)</f>
        <v>50级通用鞋子</v>
      </c>
      <c r="AB50" s="7" t="str">
        <f>IFERROR(VLOOKUP($B50&amp;"级"&amp;AB$4,装备强化!$M:$N,2,0),AB49)</f>
        <v>50级通用项链</v>
      </c>
      <c r="AC50" s="7" t="str">
        <f>IFERROR(VLOOKUP($B50&amp;"级"&amp;AC$4,装备强化!$M:$N,2,0),AC49)</f>
        <v>50级通用手镯</v>
      </c>
      <c r="AD50" s="7" t="str">
        <f>IFERROR(VLOOKUP($B50&amp;"级"&amp;AD$4,装备强化!$M:$N,2,0),AD49)</f>
        <v>50级通用戒指</v>
      </c>
      <c r="AE50" s="4">
        <f>IFERROR(VLOOKUP($W50,装备强化!$N:$T,AE$3,0),0)+IFERROR(VLOOKUP($X50,装备强化!$N:$T,AE$3,0),0)+IFERROR(VLOOKUP($Y50,装备强化!$N:$T,AE$3,0),0)+IFERROR(VLOOKUP($Z50,装备强化!$N:$T,AE$3,0),0)+IFERROR(VLOOKUP($AA50,装备强化!$N:$T,AE$3,0),0)+IFERROR(VLOOKUP($AB50,装备强化!$N:$T,AE$3,0),0)+IFERROR(VLOOKUP($AC50,装备强化!$N:$T,AE$3,0)*2,0)+IFERROR(VLOOKUP($AD50,装备强化!$N:$T,AE$3,0)*2,0)</f>
        <v>500.85</v>
      </c>
      <c r="AF50" s="4">
        <f>IFERROR(VLOOKUP($W50,装备强化!$N:$T,AF$3,0),0)+IFERROR(VLOOKUP($X50,装备强化!$N:$T,AF$3,0),0)+IFERROR(VLOOKUP($Y50,装备强化!$N:$T,AF$3,0),0)+IFERROR(VLOOKUP($Z50,装备强化!$N:$T,AF$3,0),0)+IFERROR(VLOOKUP($AA50,装备强化!$N:$T,AF$3,0),0)+IFERROR(VLOOKUP($AB50,装备强化!$N:$T,AF$3,0),0)+IFERROR(VLOOKUP($AC50,装备强化!$N:$T,AF$3,0)*2,0)+IFERROR(VLOOKUP($AD50,装备强化!$N:$T,AF$3,0)*2,0)</f>
        <v>55.26</v>
      </c>
      <c r="AG50" s="4">
        <f>IFERROR(VLOOKUP($W50,装备强化!$N:$T,AG$3,0),0)+IFERROR(VLOOKUP($X50,装备强化!$N:$T,AG$3,0),0)+IFERROR(VLOOKUP($Y50,装备强化!$N:$T,AG$3,0),0)+IFERROR(VLOOKUP($Z50,装备强化!$N:$T,AG$3,0),0)+IFERROR(VLOOKUP($AA50,装备强化!$N:$T,AG$3,0),0)+IFERROR(VLOOKUP($AB50,装备强化!$N:$T,AG$3,0),0)+IFERROR(VLOOKUP($AC50,装备强化!$N:$T,AG$3,0)*2,0)+IFERROR(VLOOKUP($AD50,装备强化!$N:$T,AG$3,0)*2,0)</f>
        <v>25.29</v>
      </c>
      <c r="AI50" s="4">
        <f>LOOKUP($B50,装备设定!$B$48:$B$55,装备设定!$F$48:$F$55)*(COUNTA($W50:$AB50)+COUNTA($AC50:$AD50)*2)*AI$3</f>
        <v>66.5</v>
      </c>
      <c r="AJ50" s="4">
        <f>LOOKUP($B50,装备设定!$B$48:$B$55,装备设定!$F$48:$F$55)*(COUNTA($W50:$AB50)+COUNTA($AC50:$AD50)*2)*AJ$3</f>
        <v>66.5</v>
      </c>
      <c r="AK50" s="4">
        <f>LOOKUP($B50,装备设定!$B$48:$B$55,装备设定!$F$48:$F$55)*(COUNTA($W50:$AB50)+COUNTA($AC50:$AD50)*2)*AK$3</f>
        <v>66.5</v>
      </c>
    </row>
    <row r="51" spans="1:37">
      <c r="A51" s="4">
        <f>INT(C51*基础设定!$D$9+D51*基础设定!$D$11+E51*基础设定!$D$14)</f>
        <v>10150</v>
      </c>
      <c r="B51" s="4">
        <v>47</v>
      </c>
      <c r="C51" s="4">
        <f t="shared" si="2"/>
        <v>1402.85</v>
      </c>
      <c r="D51" s="4">
        <f t="shared" si="3"/>
        <v>405.2</v>
      </c>
      <c r="E51" s="4">
        <f t="shared" si="4"/>
        <v>329.29</v>
      </c>
      <c r="F51" s="4">
        <f t="shared" si="5"/>
        <v>75.91</v>
      </c>
      <c r="G51" s="4">
        <f t="shared" si="6"/>
        <v>18.4804373600316</v>
      </c>
      <c r="H51" s="4">
        <f t="shared" si="7"/>
        <v>506.24</v>
      </c>
      <c r="I51" s="4">
        <f t="shared" si="8"/>
        <v>176.95</v>
      </c>
      <c r="J51" s="4">
        <f t="shared" si="9"/>
        <v>7.92794574738627</v>
      </c>
      <c r="N51" s="4">
        <f>N50+职业基础属性!D$3*LOOKUP($B51,职业基础属性!$M$8:$M$16,职业基础属性!$O$8:$O$16)</f>
        <v>455.5</v>
      </c>
      <c r="O51" s="4">
        <f>O50+职业基础属性!F$3*LOOKUP($B51,职业基础属性!$M$8:$M$16,职业基础属性!$O$8:$O$16)</f>
        <v>91.1</v>
      </c>
      <c r="P51" s="4">
        <f>P50+职业基础属性!I$3*LOOKUP($B51,职业基础属性!$M$8:$M$16,职业基础属性!$O$8:$O$16)</f>
        <v>45.55</v>
      </c>
      <c r="R51" s="4">
        <f t="shared" si="11"/>
        <v>38</v>
      </c>
      <c r="S51" s="4">
        <f t="shared" si="12"/>
        <v>380</v>
      </c>
      <c r="T51" s="4">
        <f t="shared" si="12"/>
        <v>190</v>
      </c>
      <c r="U51" s="4">
        <f t="shared" si="12"/>
        <v>190</v>
      </c>
      <c r="W51" s="7" t="str">
        <f>IFERROR(VLOOKUP($B51&amp;"级"&amp;W$4,装备强化!$M:$N,2,0),W50)</f>
        <v>50级通用武器</v>
      </c>
      <c r="X51" s="7" t="str">
        <f>IFERROR(VLOOKUP($B51&amp;"级"&amp;X$4,装备强化!$M:$N,2,0),X50)</f>
        <v>50级通用头盔</v>
      </c>
      <c r="Y51" s="7" t="str">
        <f>IFERROR(VLOOKUP($B51&amp;"级"&amp;Y$4,装备强化!$M:$N,2,0),Y50)</f>
        <v>50级通用衣服</v>
      </c>
      <c r="Z51" s="7" t="str">
        <f>IFERROR(VLOOKUP($B51&amp;"级"&amp;Z$4,装备强化!$M:$N,2,0),Z50)</f>
        <v>40级通用腰带</v>
      </c>
      <c r="AA51" s="7" t="str">
        <f>IFERROR(VLOOKUP($B51&amp;"级"&amp;AA$4,装备强化!$M:$N,2,0),AA50)</f>
        <v>50级通用鞋子</v>
      </c>
      <c r="AB51" s="7" t="str">
        <f>IFERROR(VLOOKUP($B51&amp;"级"&amp;AB$4,装备强化!$M:$N,2,0),AB50)</f>
        <v>50级通用项链</v>
      </c>
      <c r="AC51" s="7" t="str">
        <f>IFERROR(VLOOKUP($B51&amp;"级"&amp;AC$4,装备强化!$M:$N,2,0),AC50)</f>
        <v>50级通用手镯</v>
      </c>
      <c r="AD51" s="7" t="str">
        <f>IFERROR(VLOOKUP($B51&amp;"级"&amp;AD$4,装备强化!$M:$N,2,0),AD50)</f>
        <v>50级通用戒指</v>
      </c>
      <c r="AE51" s="4">
        <f>IFERROR(VLOOKUP($W51,装备强化!$N:$T,AE$3,0),0)+IFERROR(VLOOKUP($X51,装备强化!$N:$T,AE$3,0),0)+IFERROR(VLOOKUP($Y51,装备强化!$N:$T,AE$3,0),0)+IFERROR(VLOOKUP($Z51,装备强化!$N:$T,AE$3,0),0)+IFERROR(VLOOKUP($AA51,装备强化!$N:$T,AE$3,0),0)+IFERROR(VLOOKUP($AB51,装备强化!$N:$T,AE$3,0),0)+IFERROR(VLOOKUP($AC51,装备强化!$N:$T,AE$3,0)*2,0)+IFERROR(VLOOKUP($AD51,装备强化!$N:$T,AE$3,0)*2,0)</f>
        <v>500.85</v>
      </c>
      <c r="AF51" s="4">
        <f>IFERROR(VLOOKUP($W51,装备强化!$N:$T,AF$3,0),0)+IFERROR(VLOOKUP($X51,装备强化!$N:$T,AF$3,0),0)+IFERROR(VLOOKUP($Y51,装备强化!$N:$T,AF$3,0),0)+IFERROR(VLOOKUP($Z51,装备强化!$N:$T,AF$3,0),0)+IFERROR(VLOOKUP($AA51,装备强化!$N:$T,AF$3,0),0)+IFERROR(VLOOKUP($AB51,装备强化!$N:$T,AF$3,0),0)+IFERROR(VLOOKUP($AC51,装备强化!$N:$T,AF$3,0)*2,0)+IFERROR(VLOOKUP($AD51,装备强化!$N:$T,AF$3,0)*2,0)</f>
        <v>57.6</v>
      </c>
      <c r="AG51" s="4">
        <f>IFERROR(VLOOKUP($W51,装备强化!$N:$T,AG$3,0),0)+IFERROR(VLOOKUP($X51,装备强化!$N:$T,AG$3,0),0)+IFERROR(VLOOKUP($Y51,装备强化!$N:$T,AG$3,0),0)+IFERROR(VLOOKUP($Z51,装备强化!$N:$T,AG$3,0),0)+IFERROR(VLOOKUP($AA51,装备强化!$N:$T,AG$3,0),0)+IFERROR(VLOOKUP($AB51,装备强化!$N:$T,AG$3,0),0)+IFERROR(VLOOKUP($AC51,装备强化!$N:$T,AG$3,0)*2,0)+IFERROR(VLOOKUP($AD51,装备强化!$N:$T,AG$3,0)*2,0)</f>
        <v>27.24</v>
      </c>
      <c r="AI51" s="4">
        <f>LOOKUP($B51,装备设定!$B$48:$B$55,装备设定!$F$48:$F$55)*(COUNTA($W51:$AB51)+COUNTA($AC51:$AD51)*2)*AI$3</f>
        <v>66.5</v>
      </c>
      <c r="AJ51" s="4">
        <f>LOOKUP($B51,装备设定!$B$48:$B$55,装备设定!$F$48:$F$55)*(COUNTA($W51:$AB51)+COUNTA($AC51:$AD51)*2)*AJ$3</f>
        <v>66.5</v>
      </c>
      <c r="AK51" s="4">
        <f>LOOKUP($B51,装备设定!$B$48:$B$55,装备设定!$F$48:$F$55)*(COUNTA($W51:$AB51)+COUNTA($AC51:$AD51)*2)*AK$3</f>
        <v>66.5</v>
      </c>
    </row>
    <row r="52" spans="1:37">
      <c r="A52" s="4">
        <f>INT(C52*基础设定!$D$9+D52*基础设定!$D$11+E52*基础设定!$D$14)</f>
        <v>10381</v>
      </c>
      <c r="B52" s="4">
        <v>48</v>
      </c>
      <c r="C52" s="4">
        <f t="shared" si="2"/>
        <v>1442.4</v>
      </c>
      <c r="D52" s="4">
        <f t="shared" si="3"/>
        <v>412.6</v>
      </c>
      <c r="E52" s="4">
        <f t="shared" si="4"/>
        <v>337.05</v>
      </c>
      <c r="F52" s="4">
        <f t="shared" si="5"/>
        <v>75.55</v>
      </c>
      <c r="G52" s="4">
        <f t="shared" si="6"/>
        <v>19.0919920582396</v>
      </c>
      <c r="H52" s="4">
        <f t="shared" si="7"/>
        <v>515.12</v>
      </c>
      <c r="I52" s="4">
        <f t="shared" si="8"/>
        <v>178.07</v>
      </c>
      <c r="J52" s="4">
        <f t="shared" si="9"/>
        <v>8.10018532037963</v>
      </c>
      <c r="N52" s="4">
        <f>N51+职业基础属性!D$3*LOOKUP($B52,职业基础属性!$M$8:$M$16,职业基础属性!$O$8:$O$16)</f>
        <v>467.5</v>
      </c>
      <c r="O52" s="4">
        <f>O51+职业基础属性!F$3*LOOKUP($B52,职业基础属性!$M$8:$M$16,职业基础属性!$O$8:$O$16)</f>
        <v>93.5</v>
      </c>
      <c r="P52" s="4">
        <f>P51+职业基础属性!I$3*LOOKUP($B52,职业基础属性!$M$8:$M$16,职业基础属性!$O$8:$O$16)</f>
        <v>46.75</v>
      </c>
      <c r="R52" s="4">
        <f t="shared" si="11"/>
        <v>39</v>
      </c>
      <c r="S52" s="4">
        <f t="shared" si="12"/>
        <v>390</v>
      </c>
      <c r="T52" s="4">
        <f t="shared" si="12"/>
        <v>195</v>
      </c>
      <c r="U52" s="4">
        <f t="shared" si="12"/>
        <v>195</v>
      </c>
      <c r="W52" s="7" t="str">
        <f>IFERROR(VLOOKUP($B52&amp;"级"&amp;W$4,装备强化!$M:$N,2,0),W51)</f>
        <v>50级通用武器</v>
      </c>
      <c r="X52" s="7" t="str">
        <f>IFERROR(VLOOKUP($B52&amp;"级"&amp;X$4,装备强化!$M:$N,2,0),X51)</f>
        <v>50级通用头盔</v>
      </c>
      <c r="Y52" s="7" t="str">
        <f>IFERROR(VLOOKUP($B52&amp;"级"&amp;Y$4,装备强化!$M:$N,2,0),Y51)</f>
        <v>50级通用衣服</v>
      </c>
      <c r="Z52" s="7" t="str">
        <f>IFERROR(VLOOKUP($B52&amp;"级"&amp;Z$4,装备强化!$M:$N,2,0),Z51)</f>
        <v>50级通用腰带</v>
      </c>
      <c r="AA52" s="7" t="str">
        <f>IFERROR(VLOOKUP($B52&amp;"级"&amp;AA$4,装备强化!$M:$N,2,0),AA51)</f>
        <v>50级通用鞋子</v>
      </c>
      <c r="AB52" s="7" t="str">
        <f>IFERROR(VLOOKUP($B52&amp;"级"&amp;AB$4,装备强化!$M:$N,2,0),AB51)</f>
        <v>50级通用项链</v>
      </c>
      <c r="AC52" s="7" t="str">
        <f>IFERROR(VLOOKUP($B52&amp;"级"&amp;AC$4,装备强化!$M:$N,2,0),AC51)</f>
        <v>50级通用手镯</v>
      </c>
      <c r="AD52" s="7" t="str">
        <f>IFERROR(VLOOKUP($B52&amp;"级"&amp;AD$4,装备强化!$M:$N,2,0),AD51)</f>
        <v>50级通用戒指</v>
      </c>
      <c r="AE52" s="4">
        <f>IFERROR(VLOOKUP($W52,装备强化!$N:$T,AE$3,0),0)+IFERROR(VLOOKUP($X52,装备强化!$N:$T,AE$3,0),0)+IFERROR(VLOOKUP($Y52,装备强化!$N:$T,AE$3,0),0)+IFERROR(VLOOKUP($Z52,装备强化!$N:$T,AE$3,0),0)+IFERROR(VLOOKUP($AA52,装备强化!$N:$T,AE$3,0),0)+IFERROR(VLOOKUP($AB52,装备强化!$N:$T,AE$3,0),0)+IFERROR(VLOOKUP($AC52,装备强化!$N:$T,AE$3,0)*2,0)+IFERROR(VLOOKUP($AD52,装备强化!$N:$T,AE$3,0)*2,0)</f>
        <v>518.4</v>
      </c>
      <c r="AF52" s="4">
        <f>IFERROR(VLOOKUP($W52,装备强化!$N:$T,AF$3,0),0)+IFERROR(VLOOKUP($X52,装备强化!$N:$T,AF$3,0),0)+IFERROR(VLOOKUP($Y52,装备强化!$N:$T,AF$3,0),0)+IFERROR(VLOOKUP($Z52,装备强化!$N:$T,AF$3,0),0)+IFERROR(VLOOKUP($AA52,装备强化!$N:$T,AF$3,0),0)+IFERROR(VLOOKUP($AB52,装备强化!$N:$T,AF$3,0),0)+IFERROR(VLOOKUP($AC52,装备强化!$N:$T,AF$3,0)*2,0)+IFERROR(VLOOKUP($AD52,装备强化!$N:$T,AF$3,0)*2,0)</f>
        <v>57.6</v>
      </c>
      <c r="AG52" s="4">
        <f>IFERROR(VLOOKUP($W52,装备强化!$N:$T,AG$3,0),0)+IFERROR(VLOOKUP($X52,装备强化!$N:$T,AG$3,0),0)+IFERROR(VLOOKUP($Y52,装备强化!$N:$T,AG$3,0),0)+IFERROR(VLOOKUP($Z52,装备强化!$N:$T,AG$3,0),0)+IFERROR(VLOOKUP($AA52,装备强化!$N:$T,AG$3,0),0)+IFERROR(VLOOKUP($AB52,装备强化!$N:$T,AG$3,0),0)+IFERROR(VLOOKUP($AC52,装备强化!$N:$T,AG$3,0)*2,0)+IFERROR(VLOOKUP($AD52,装备强化!$N:$T,AG$3,0)*2,0)</f>
        <v>28.8</v>
      </c>
      <c r="AI52" s="4">
        <f>LOOKUP($B52,装备设定!$B$48:$B$55,装备设定!$F$48:$F$55)*(COUNTA($W52:$AB52)+COUNTA($AC52:$AD52)*2)*AI$3</f>
        <v>66.5</v>
      </c>
      <c r="AJ52" s="4">
        <f>LOOKUP($B52,装备设定!$B$48:$B$55,装备设定!$F$48:$F$55)*(COUNTA($W52:$AB52)+COUNTA($AC52:$AD52)*2)*AJ$3</f>
        <v>66.5</v>
      </c>
      <c r="AK52" s="4">
        <f>LOOKUP($B52,装备设定!$B$48:$B$55,装备设定!$F$48:$F$55)*(COUNTA($W52:$AB52)+COUNTA($AC52:$AD52)*2)*AK$3</f>
        <v>66.5</v>
      </c>
    </row>
    <row r="53" spans="1:37">
      <c r="A53" s="4">
        <f>INT(C53*基础设定!$D$9+D53*基础设定!$D$11+E53*基础设定!$D$14)</f>
        <v>10441</v>
      </c>
      <c r="B53" s="4">
        <v>49</v>
      </c>
      <c r="C53" s="4">
        <f t="shared" si="2"/>
        <v>1454.4</v>
      </c>
      <c r="D53" s="4">
        <f t="shared" si="3"/>
        <v>415</v>
      </c>
      <c r="E53" s="4">
        <f t="shared" si="4"/>
        <v>338.25</v>
      </c>
      <c r="F53" s="4">
        <f t="shared" si="5"/>
        <v>76.7500000000001</v>
      </c>
      <c r="G53" s="4">
        <f t="shared" si="6"/>
        <v>18.9498371335505</v>
      </c>
      <c r="H53" s="4">
        <f t="shared" si="7"/>
        <v>518</v>
      </c>
      <c r="I53" s="4">
        <f t="shared" si="8"/>
        <v>179.75</v>
      </c>
      <c r="J53" s="4">
        <f t="shared" si="9"/>
        <v>8.09123783031989</v>
      </c>
      <c r="N53" s="4">
        <f>N52+职业基础属性!D$3*LOOKUP($B53,职业基础属性!$M$8:$M$16,职业基础属性!$O$8:$O$16)</f>
        <v>479.5</v>
      </c>
      <c r="O53" s="4">
        <f>O52+职业基础属性!F$3*LOOKUP($B53,职业基础属性!$M$8:$M$16,职业基础属性!$O$8:$O$16)</f>
        <v>95.9</v>
      </c>
      <c r="P53" s="4">
        <f>P52+职业基础属性!I$3*LOOKUP($B53,职业基础属性!$M$8:$M$16,职业基础属性!$O$8:$O$16)</f>
        <v>47.95</v>
      </c>
      <c r="R53" s="4">
        <f t="shared" si="11"/>
        <v>39</v>
      </c>
      <c r="S53" s="4">
        <f t="shared" si="12"/>
        <v>390</v>
      </c>
      <c r="T53" s="4">
        <f t="shared" si="12"/>
        <v>195</v>
      </c>
      <c r="U53" s="4">
        <f t="shared" si="12"/>
        <v>195</v>
      </c>
      <c r="W53" s="7" t="str">
        <f>IFERROR(VLOOKUP($B53&amp;"级"&amp;W$4,装备强化!$M:$N,2,0),W52)</f>
        <v>50级通用武器</v>
      </c>
      <c r="X53" s="7" t="str">
        <f>IFERROR(VLOOKUP($B53&amp;"级"&amp;X$4,装备强化!$M:$N,2,0),X52)</f>
        <v>50级通用头盔</v>
      </c>
      <c r="Y53" s="7" t="str">
        <f>IFERROR(VLOOKUP($B53&amp;"级"&amp;Y$4,装备强化!$M:$N,2,0),Y52)</f>
        <v>50级通用衣服</v>
      </c>
      <c r="Z53" s="7" t="str">
        <f>IFERROR(VLOOKUP($B53&amp;"级"&amp;Z$4,装备强化!$M:$N,2,0),Z52)</f>
        <v>50级通用腰带</v>
      </c>
      <c r="AA53" s="7" t="str">
        <f>IFERROR(VLOOKUP($B53&amp;"级"&amp;AA$4,装备强化!$M:$N,2,0),AA52)</f>
        <v>50级通用鞋子</v>
      </c>
      <c r="AB53" s="7" t="str">
        <f>IFERROR(VLOOKUP($B53&amp;"级"&amp;AB$4,装备强化!$M:$N,2,0),AB52)</f>
        <v>50级通用项链</v>
      </c>
      <c r="AC53" s="7" t="str">
        <f>IFERROR(VLOOKUP($B53&amp;"级"&amp;AC$4,装备强化!$M:$N,2,0),AC52)</f>
        <v>50级通用手镯</v>
      </c>
      <c r="AD53" s="7" t="str">
        <f>IFERROR(VLOOKUP($B53&amp;"级"&amp;AD$4,装备强化!$M:$N,2,0),AD52)</f>
        <v>50级通用戒指</v>
      </c>
      <c r="AE53" s="4">
        <f>IFERROR(VLOOKUP($W53,装备强化!$N:$T,AE$3,0),0)+IFERROR(VLOOKUP($X53,装备强化!$N:$T,AE$3,0),0)+IFERROR(VLOOKUP($Y53,装备强化!$N:$T,AE$3,0),0)+IFERROR(VLOOKUP($Z53,装备强化!$N:$T,AE$3,0),0)+IFERROR(VLOOKUP($AA53,装备强化!$N:$T,AE$3,0),0)+IFERROR(VLOOKUP($AB53,装备强化!$N:$T,AE$3,0),0)+IFERROR(VLOOKUP($AC53,装备强化!$N:$T,AE$3,0)*2,0)+IFERROR(VLOOKUP($AD53,装备强化!$N:$T,AE$3,0)*2,0)</f>
        <v>518.4</v>
      </c>
      <c r="AF53" s="4">
        <f>IFERROR(VLOOKUP($W53,装备强化!$N:$T,AF$3,0),0)+IFERROR(VLOOKUP($X53,装备强化!$N:$T,AF$3,0),0)+IFERROR(VLOOKUP($Y53,装备强化!$N:$T,AF$3,0),0)+IFERROR(VLOOKUP($Z53,装备强化!$N:$T,AF$3,0),0)+IFERROR(VLOOKUP($AA53,装备强化!$N:$T,AF$3,0),0)+IFERROR(VLOOKUP($AB53,装备强化!$N:$T,AF$3,0),0)+IFERROR(VLOOKUP($AC53,装备强化!$N:$T,AF$3,0)*2,0)+IFERROR(VLOOKUP($AD53,装备强化!$N:$T,AF$3,0)*2,0)</f>
        <v>57.6</v>
      </c>
      <c r="AG53" s="4">
        <f>IFERROR(VLOOKUP($W53,装备强化!$N:$T,AG$3,0),0)+IFERROR(VLOOKUP($X53,装备强化!$N:$T,AG$3,0),0)+IFERROR(VLOOKUP($Y53,装备强化!$N:$T,AG$3,0),0)+IFERROR(VLOOKUP($Z53,装备强化!$N:$T,AG$3,0),0)+IFERROR(VLOOKUP($AA53,装备强化!$N:$T,AG$3,0),0)+IFERROR(VLOOKUP($AB53,装备强化!$N:$T,AG$3,0),0)+IFERROR(VLOOKUP($AC53,装备强化!$N:$T,AG$3,0)*2,0)+IFERROR(VLOOKUP($AD53,装备强化!$N:$T,AG$3,0)*2,0)</f>
        <v>28.8</v>
      </c>
      <c r="AI53" s="4">
        <f>LOOKUP($B53,装备设定!$B$48:$B$55,装备设定!$F$48:$F$55)*(COUNTA($W53:$AB53)+COUNTA($AC53:$AD53)*2)*AI$3</f>
        <v>66.5</v>
      </c>
      <c r="AJ53" s="4">
        <f>LOOKUP($B53,装备设定!$B$48:$B$55,装备设定!$F$48:$F$55)*(COUNTA($W53:$AB53)+COUNTA($AC53:$AD53)*2)*AJ$3</f>
        <v>66.5</v>
      </c>
      <c r="AK53" s="4">
        <f>LOOKUP($B53,装备设定!$B$48:$B$55,装备设定!$F$48:$F$55)*(COUNTA($W53:$AB53)+COUNTA($AC53:$AD53)*2)*AK$3</f>
        <v>66.5</v>
      </c>
    </row>
    <row r="54" spans="1:37">
      <c r="A54" s="4">
        <f>INT(C54*基础设定!$D$9+D54*基础设定!$D$11+E54*基础设定!$D$14)</f>
        <v>10621</v>
      </c>
      <c r="B54" s="4">
        <v>50</v>
      </c>
      <c r="C54" s="4">
        <f t="shared" si="2"/>
        <v>1476.4</v>
      </c>
      <c r="D54" s="4">
        <f t="shared" si="3"/>
        <v>422.4</v>
      </c>
      <c r="E54" s="4">
        <f t="shared" si="4"/>
        <v>344.45</v>
      </c>
      <c r="F54" s="4">
        <f t="shared" si="5"/>
        <v>77.95</v>
      </c>
      <c r="G54" s="4">
        <f t="shared" si="6"/>
        <v>18.940346375882</v>
      </c>
      <c r="H54" s="4">
        <f t="shared" si="7"/>
        <v>526.88</v>
      </c>
      <c r="I54" s="4">
        <f t="shared" si="8"/>
        <v>182.43</v>
      </c>
      <c r="J54" s="4">
        <f t="shared" si="9"/>
        <v>8.09296716548813</v>
      </c>
      <c r="N54" s="4">
        <f>N53+职业基础属性!D$3*LOOKUP($B54,职业基础属性!$M$8:$M$16,职业基础属性!$O$8:$O$16)</f>
        <v>491.5</v>
      </c>
      <c r="O54" s="4">
        <f>O53+职业基础属性!F$3*LOOKUP($B54,职业基础属性!$M$8:$M$16,职业基础属性!$O$8:$O$16)</f>
        <v>98.3000000000001</v>
      </c>
      <c r="P54" s="4">
        <f>P53+职业基础属性!I$3*LOOKUP($B54,职业基础属性!$M$8:$M$16,职业基础属性!$O$8:$O$16)</f>
        <v>49.15</v>
      </c>
      <c r="R54" s="4">
        <f t="shared" si="11"/>
        <v>40</v>
      </c>
      <c r="S54" s="4">
        <f t="shared" si="12"/>
        <v>400</v>
      </c>
      <c r="T54" s="4">
        <f t="shared" si="12"/>
        <v>200</v>
      </c>
      <c r="U54" s="4">
        <f t="shared" si="12"/>
        <v>200</v>
      </c>
      <c r="W54" s="7" t="str">
        <f>IFERROR(VLOOKUP($B54&amp;"级"&amp;W$4,装备强化!$M:$N,2,0),W53)</f>
        <v>50级通用武器</v>
      </c>
      <c r="X54" s="7" t="str">
        <f>IFERROR(VLOOKUP($B54&amp;"级"&amp;X$4,装备强化!$M:$N,2,0),X53)</f>
        <v>50级通用头盔</v>
      </c>
      <c r="Y54" s="7" t="str">
        <f>IFERROR(VLOOKUP($B54&amp;"级"&amp;Y$4,装备强化!$M:$N,2,0),Y53)</f>
        <v>50级通用衣服</v>
      </c>
      <c r="Z54" s="7" t="str">
        <f>IFERROR(VLOOKUP($B54&amp;"级"&amp;Z$4,装备强化!$M:$N,2,0),Z53)</f>
        <v>50级通用腰带</v>
      </c>
      <c r="AA54" s="7" t="str">
        <f>IFERROR(VLOOKUP($B54&amp;"级"&amp;AA$4,装备强化!$M:$N,2,0),AA53)</f>
        <v>50级通用鞋子</v>
      </c>
      <c r="AB54" s="7" t="str">
        <f>IFERROR(VLOOKUP($B54&amp;"级"&amp;AB$4,装备强化!$M:$N,2,0),AB53)</f>
        <v>50级通用项链</v>
      </c>
      <c r="AC54" s="7" t="str">
        <f>IFERROR(VLOOKUP($B54&amp;"级"&amp;AC$4,装备强化!$M:$N,2,0),AC53)</f>
        <v>50级通用手镯</v>
      </c>
      <c r="AD54" s="7" t="str">
        <f>IFERROR(VLOOKUP($B54&amp;"级"&amp;AD$4,装备强化!$M:$N,2,0),AD53)</f>
        <v>50级通用戒指</v>
      </c>
      <c r="AE54" s="4">
        <f>IFERROR(VLOOKUP($W54,装备强化!$N:$T,AE$3,0),0)+IFERROR(VLOOKUP($X54,装备强化!$N:$T,AE$3,0),0)+IFERROR(VLOOKUP($Y54,装备强化!$N:$T,AE$3,0),0)+IFERROR(VLOOKUP($Z54,装备强化!$N:$T,AE$3,0),0)+IFERROR(VLOOKUP($AA54,装备强化!$N:$T,AE$3,0),0)+IFERROR(VLOOKUP($AB54,装备强化!$N:$T,AE$3,0),0)+IFERROR(VLOOKUP($AC54,装备强化!$N:$T,AE$3,0)*2,0)+IFERROR(VLOOKUP($AD54,装备强化!$N:$T,AE$3,0)*2,0)</f>
        <v>518.4</v>
      </c>
      <c r="AF54" s="4">
        <f>IFERROR(VLOOKUP($W54,装备强化!$N:$T,AF$3,0),0)+IFERROR(VLOOKUP($X54,装备强化!$N:$T,AF$3,0),0)+IFERROR(VLOOKUP($Y54,装备强化!$N:$T,AF$3,0),0)+IFERROR(VLOOKUP($Z54,装备强化!$N:$T,AF$3,0),0)+IFERROR(VLOOKUP($AA54,装备强化!$N:$T,AF$3,0),0)+IFERROR(VLOOKUP($AB54,装备强化!$N:$T,AF$3,0),0)+IFERROR(VLOOKUP($AC54,装备强化!$N:$T,AF$3,0)*2,0)+IFERROR(VLOOKUP($AD54,装备强化!$N:$T,AF$3,0)*2,0)</f>
        <v>57.6</v>
      </c>
      <c r="AG54" s="4">
        <f>IFERROR(VLOOKUP($W54,装备强化!$N:$T,AG$3,0),0)+IFERROR(VLOOKUP($X54,装备强化!$N:$T,AG$3,0),0)+IFERROR(VLOOKUP($Y54,装备强化!$N:$T,AG$3,0),0)+IFERROR(VLOOKUP($Z54,装备强化!$N:$T,AG$3,0),0)+IFERROR(VLOOKUP($AA54,装备强化!$N:$T,AG$3,0),0)+IFERROR(VLOOKUP($AB54,装备强化!$N:$T,AG$3,0),0)+IFERROR(VLOOKUP($AC54,装备强化!$N:$T,AG$3,0)*2,0)+IFERROR(VLOOKUP($AD54,装备强化!$N:$T,AG$3,0)*2,0)</f>
        <v>28.8</v>
      </c>
      <c r="AI54" s="4">
        <f>LOOKUP($B54,装备设定!$B$48:$B$55,装备设定!$F$48:$F$55)*(COUNTA($W54:$AB54)+COUNTA($AC54:$AD54)*2)*AI$3</f>
        <v>66.5</v>
      </c>
      <c r="AJ54" s="4">
        <f>LOOKUP($B54,装备设定!$B$48:$B$55,装备设定!$F$48:$F$55)*(COUNTA($W54:$AB54)+COUNTA($AC54:$AD54)*2)*AJ$3</f>
        <v>66.5</v>
      </c>
      <c r="AK54" s="4">
        <f>LOOKUP($B54,装备设定!$B$48:$B$55,装备设定!$F$48:$F$55)*(COUNTA($W54:$AB54)+COUNTA($AC54:$AD54)*2)*AK$3</f>
        <v>66.5</v>
      </c>
    </row>
    <row r="55" spans="1:37">
      <c r="A55" s="4">
        <f>INT(C55*基础设定!$D$9+D55*基础设定!$D$11+E55*基础设定!$D$14)</f>
        <v>11300</v>
      </c>
      <c r="B55" s="4">
        <v>51</v>
      </c>
      <c r="C55" s="4">
        <f t="shared" si="2"/>
        <v>1515.9</v>
      </c>
      <c r="D55" s="4">
        <f t="shared" si="3"/>
        <v>456.38</v>
      </c>
      <c r="E55" s="4">
        <f t="shared" si="4"/>
        <v>370.45</v>
      </c>
      <c r="F55" s="4">
        <f t="shared" si="5"/>
        <v>85.93</v>
      </c>
      <c r="G55" s="4">
        <f t="shared" si="6"/>
        <v>17.6411032235541</v>
      </c>
      <c r="H55" s="4">
        <f t="shared" si="7"/>
        <v>567.656</v>
      </c>
      <c r="I55" s="4">
        <f t="shared" si="8"/>
        <v>197.206</v>
      </c>
      <c r="J55" s="4">
        <f t="shared" si="9"/>
        <v>7.68688579454986</v>
      </c>
      <c r="N55" s="4">
        <f>N54+职业基础属性!D$3*LOOKUP($B55,职业基础属性!$M$8:$M$16,职业基础属性!$O$8:$O$16)</f>
        <v>506.5</v>
      </c>
      <c r="O55" s="4">
        <f>O54+职业基础属性!F$3*LOOKUP($B55,职业基础属性!$M$8:$M$16,职业基础属性!$O$8:$O$16)</f>
        <v>101.3</v>
      </c>
      <c r="P55" s="4">
        <f>P54+职业基础属性!I$3*LOOKUP($B55,职业基础属性!$M$8:$M$16,职业基础属性!$O$8:$O$16)</f>
        <v>50.65</v>
      </c>
      <c r="R55" s="4">
        <f t="shared" si="11"/>
        <v>40</v>
      </c>
      <c r="S55" s="4">
        <f t="shared" si="12"/>
        <v>400</v>
      </c>
      <c r="T55" s="4">
        <f t="shared" si="12"/>
        <v>200</v>
      </c>
      <c r="U55" s="4">
        <f t="shared" si="12"/>
        <v>200</v>
      </c>
      <c r="W55" s="7" t="str">
        <f>IFERROR(VLOOKUP($B55&amp;"级"&amp;W$4,装备强化!$M:$N,2,0),W54)</f>
        <v>60级通用武器</v>
      </c>
      <c r="X55" s="7" t="str">
        <f>IFERROR(VLOOKUP($B55&amp;"级"&amp;X$4,装备强化!$M:$N,2,0),X54)</f>
        <v>50级通用头盔</v>
      </c>
      <c r="Y55" s="7" t="str">
        <f>IFERROR(VLOOKUP($B55&amp;"级"&amp;Y$4,装备强化!$M:$N,2,0),Y54)</f>
        <v>50级通用衣服</v>
      </c>
      <c r="Z55" s="7" t="str">
        <f>IFERROR(VLOOKUP($B55&amp;"级"&amp;Z$4,装备强化!$M:$N,2,0),Z54)</f>
        <v>50级通用腰带</v>
      </c>
      <c r="AA55" s="7" t="str">
        <f>IFERROR(VLOOKUP($B55&amp;"级"&amp;AA$4,装备强化!$M:$N,2,0),AA54)</f>
        <v>50级通用鞋子</v>
      </c>
      <c r="AB55" s="7" t="str">
        <f>IFERROR(VLOOKUP($B55&amp;"级"&amp;AB$4,装备强化!$M:$N,2,0),AB54)</f>
        <v>50级通用项链</v>
      </c>
      <c r="AC55" s="7" t="str">
        <f>IFERROR(VLOOKUP($B55&amp;"级"&amp;AC$4,装备强化!$M:$N,2,0),AC54)</f>
        <v>50级通用手镯</v>
      </c>
      <c r="AD55" s="7" t="str">
        <f>IFERROR(VLOOKUP($B55&amp;"级"&amp;AD$4,装备强化!$M:$N,2,0),AD54)</f>
        <v>50级通用戒指</v>
      </c>
      <c r="AE55" s="4">
        <f>IFERROR(VLOOKUP($W55,装备强化!$N:$T,AE$3,0),0)+IFERROR(VLOOKUP($X55,装备强化!$N:$T,AE$3,0),0)+IFERROR(VLOOKUP($Y55,装备强化!$N:$T,AE$3,0),0)+IFERROR(VLOOKUP($Z55,装备强化!$N:$T,AE$3,0),0)+IFERROR(VLOOKUP($AA55,装备强化!$N:$T,AE$3,0),0)+IFERROR(VLOOKUP($AB55,装备强化!$N:$T,AE$3,0),0)+IFERROR(VLOOKUP($AC55,装备强化!$N:$T,AE$3,0)*2,0)+IFERROR(VLOOKUP($AD55,装备强化!$N:$T,AE$3,0)*2,0)</f>
        <v>518.4</v>
      </c>
      <c r="AF55" s="4">
        <f>IFERROR(VLOOKUP($W55,装备强化!$N:$T,AF$3,0),0)+IFERROR(VLOOKUP($X55,装备强化!$N:$T,AF$3,0),0)+IFERROR(VLOOKUP($Y55,装备强化!$N:$T,AF$3,0),0)+IFERROR(VLOOKUP($Z55,装备强化!$N:$T,AF$3,0),0)+IFERROR(VLOOKUP($AA55,装备强化!$N:$T,AF$3,0),0)+IFERROR(VLOOKUP($AB55,装备强化!$N:$T,AF$3,0),0)+IFERROR(VLOOKUP($AC55,装备强化!$N:$T,AF$3,0)*2,0)+IFERROR(VLOOKUP($AD55,装备强化!$N:$T,AF$3,0)*2,0)</f>
        <v>64.08</v>
      </c>
      <c r="AG55" s="4">
        <f>IFERROR(VLOOKUP($W55,装备强化!$N:$T,AG$3,0),0)+IFERROR(VLOOKUP($X55,装备强化!$N:$T,AG$3,0),0)+IFERROR(VLOOKUP($Y55,装备强化!$N:$T,AG$3,0),0)+IFERROR(VLOOKUP($Z55,装备强化!$N:$T,AG$3,0),0)+IFERROR(VLOOKUP($AA55,装备强化!$N:$T,AG$3,0),0)+IFERROR(VLOOKUP($AB55,装备强化!$N:$T,AG$3,0),0)+IFERROR(VLOOKUP($AC55,装备强化!$N:$T,AG$3,0)*2,0)+IFERROR(VLOOKUP($AD55,装备强化!$N:$T,AG$3,0)*2,0)</f>
        <v>28.8</v>
      </c>
      <c r="AI55" s="4">
        <f>LOOKUP($B55,装备设定!$B$48:$B$55,装备设定!$F$48:$F$55)*(COUNTA($W55:$AB55)+COUNTA($AC55:$AD55)*2)*AI$3</f>
        <v>91</v>
      </c>
      <c r="AJ55" s="4">
        <f>LOOKUP($B55,装备设定!$B$48:$B$55,装备设定!$F$48:$F$55)*(COUNTA($W55:$AB55)+COUNTA($AC55:$AD55)*2)*AJ$3</f>
        <v>91</v>
      </c>
      <c r="AK55" s="4">
        <f>LOOKUP($B55,装备设定!$B$48:$B$55,装备设定!$F$48:$F$55)*(COUNTA($W55:$AB55)+COUNTA($AC55:$AD55)*2)*AK$3</f>
        <v>91</v>
      </c>
    </row>
    <row r="56" spans="1:37">
      <c r="A56" s="4">
        <f>INT(C56*基础设定!$D$9+D56*基础设定!$D$11+E56*基础设定!$D$14)</f>
        <v>11565</v>
      </c>
      <c r="B56" s="4">
        <v>52</v>
      </c>
      <c r="C56" s="4">
        <f t="shared" si="2"/>
        <v>1565.2</v>
      </c>
      <c r="D56" s="4">
        <f t="shared" si="3"/>
        <v>464.38</v>
      </c>
      <c r="E56" s="4">
        <f t="shared" si="4"/>
        <v>379.11</v>
      </c>
      <c r="F56" s="4">
        <f t="shared" si="5"/>
        <v>85.27</v>
      </c>
      <c r="G56" s="4">
        <f t="shared" si="6"/>
        <v>18.355810953442</v>
      </c>
      <c r="H56" s="4">
        <f t="shared" si="7"/>
        <v>577.256</v>
      </c>
      <c r="I56" s="4">
        <f t="shared" si="8"/>
        <v>198.146</v>
      </c>
      <c r="J56" s="4">
        <f t="shared" si="9"/>
        <v>7.89922582338276</v>
      </c>
      <c r="N56" s="4">
        <f>N55+职业基础属性!D$3*LOOKUP($B56,职业基础属性!$M$8:$M$16,职业基础属性!$O$8:$O$16)</f>
        <v>521.5</v>
      </c>
      <c r="O56" s="4">
        <f>O55+职业基础属性!F$3*LOOKUP($B56,职业基础属性!$M$8:$M$16,职业基础属性!$O$8:$O$16)</f>
        <v>104.3</v>
      </c>
      <c r="P56" s="4">
        <f>P55+职业基础属性!I$3*LOOKUP($B56,职业基础属性!$M$8:$M$16,职业基础属性!$O$8:$O$16)</f>
        <v>52.15</v>
      </c>
      <c r="R56" s="4">
        <f t="shared" si="11"/>
        <v>41</v>
      </c>
      <c r="S56" s="4">
        <f t="shared" si="12"/>
        <v>410</v>
      </c>
      <c r="T56" s="4">
        <f t="shared" si="12"/>
        <v>205</v>
      </c>
      <c r="U56" s="4">
        <f t="shared" si="12"/>
        <v>205</v>
      </c>
      <c r="W56" s="7" t="str">
        <f>IFERROR(VLOOKUP($B56&amp;"级"&amp;W$4,装备强化!$M:$N,2,0),W55)</f>
        <v>60级通用武器</v>
      </c>
      <c r="X56" s="7" t="str">
        <f>IFERROR(VLOOKUP($B56&amp;"级"&amp;X$4,装备强化!$M:$N,2,0),X55)</f>
        <v>50级通用头盔</v>
      </c>
      <c r="Y56" s="7" t="str">
        <f>IFERROR(VLOOKUP($B56&amp;"级"&amp;Y$4,装备强化!$M:$N,2,0),Y55)</f>
        <v>50级通用衣服</v>
      </c>
      <c r="Z56" s="7" t="str">
        <f>IFERROR(VLOOKUP($B56&amp;"级"&amp;Z$4,装备强化!$M:$N,2,0),Z55)</f>
        <v>50级通用腰带</v>
      </c>
      <c r="AA56" s="7" t="str">
        <f>IFERROR(VLOOKUP($B56&amp;"级"&amp;AA$4,装备强化!$M:$N,2,0),AA55)</f>
        <v>60级通用鞋子</v>
      </c>
      <c r="AB56" s="7" t="str">
        <f>IFERROR(VLOOKUP($B56&amp;"级"&amp;AB$4,装备强化!$M:$N,2,0),AB55)</f>
        <v>50级通用项链</v>
      </c>
      <c r="AC56" s="7" t="str">
        <f>IFERROR(VLOOKUP($B56&amp;"级"&amp;AC$4,装备强化!$M:$N,2,0),AC55)</f>
        <v>50级通用手镯</v>
      </c>
      <c r="AD56" s="7" t="str">
        <f>IFERROR(VLOOKUP($B56&amp;"级"&amp;AD$4,装备强化!$M:$N,2,0),AD55)</f>
        <v>50级通用戒指</v>
      </c>
      <c r="AE56" s="4">
        <f>IFERROR(VLOOKUP($W56,装备强化!$N:$T,AE$3,0),0)+IFERROR(VLOOKUP($X56,装备强化!$N:$T,AE$3,0),0)+IFERROR(VLOOKUP($Y56,装备强化!$N:$T,AE$3,0),0)+IFERROR(VLOOKUP($Z56,装备强化!$N:$T,AE$3,0),0)+IFERROR(VLOOKUP($AA56,装备强化!$N:$T,AE$3,0),0)+IFERROR(VLOOKUP($AB56,装备强化!$N:$T,AE$3,0),0)+IFERROR(VLOOKUP($AC56,装备强化!$N:$T,AE$3,0)*2,0)+IFERROR(VLOOKUP($AD56,装备强化!$N:$T,AE$3,0)*2,0)</f>
        <v>542.7</v>
      </c>
      <c r="AF56" s="4">
        <f>IFERROR(VLOOKUP($W56,装备强化!$N:$T,AF$3,0),0)+IFERROR(VLOOKUP($X56,装备强化!$N:$T,AF$3,0),0)+IFERROR(VLOOKUP($Y56,装备强化!$N:$T,AF$3,0),0)+IFERROR(VLOOKUP($Z56,装备强化!$N:$T,AF$3,0),0)+IFERROR(VLOOKUP($AA56,装备强化!$N:$T,AF$3,0),0)+IFERROR(VLOOKUP($AB56,装备强化!$N:$T,AF$3,0),0)+IFERROR(VLOOKUP($AC56,装备强化!$N:$T,AF$3,0)*2,0)+IFERROR(VLOOKUP($AD56,装备强化!$N:$T,AF$3,0)*2,0)</f>
        <v>64.08</v>
      </c>
      <c r="AG56" s="4">
        <f>IFERROR(VLOOKUP($W56,装备强化!$N:$T,AG$3,0),0)+IFERROR(VLOOKUP($X56,装备强化!$N:$T,AG$3,0),0)+IFERROR(VLOOKUP($Y56,装备强化!$N:$T,AG$3,0),0)+IFERROR(VLOOKUP($Z56,装备强化!$N:$T,AG$3,0),0)+IFERROR(VLOOKUP($AA56,装备强化!$N:$T,AG$3,0),0)+IFERROR(VLOOKUP($AB56,装备强化!$N:$T,AG$3,0),0)+IFERROR(VLOOKUP($AC56,装备强化!$N:$T,AG$3,0)*2,0)+IFERROR(VLOOKUP($AD56,装备强化!$N:$T,AG$3,0)*2,0)</f>
        <v>30.96</v>
      </c>
      <c r="AI56" s="4">
        <f>LOOKUP($B56,装备设定!$B$48:$B$55,装备设定!$F$48:$F$55)*(COUNTA($W56:$AB56)+COUNTA($AC56:$AD56)*2)*AI$3</f>
        <v>91</v>
      </c>
      <c r="AJ56" s="4">
        <f>LOOKUP($B56,装备设定!$B$48:$B$55,装备设定!$F$48:$F$55)*(COUNTA($W56:$AB56)+COUNTA($AC56:$AD56)*2)*AJ$3</f>
        <v>91</v>
      </c>
      <c r="AK56" s="4">
        <f>LOOKUP($B56,装备设定!$B$48:$B$55,装备设定!$F$48:$F$55)*(COUNTA($W56:$AB56)+COUNTA($AC56:$AD56)*2)*AK$3</f>
        <v>91</v>
      </c>
    </row>
    <row r="57" spans="1:37">
      <c r="A57" s="4">
        <f>INT(C57*基础设定!$D$9+D57*基础设定!$D$11+E57*基础设定!$D$14)</f>
        <v>11780</v>
      </c>
      <c r="B57" s="4">
        <v>53</v>
      </c>
      <c r="C57" s="4">
        <f t="shared" si="2"/>
        <v>1628.8</v>
      </c>
      <c r="D57" s="4">
        <f t="shared" si="3"/>
        <v>471.7</v>
      </c>
      <c r="E57" s="4">
        <f t="shared" si="4"/>
        <v>380.61</v>
      </c>
      <c r="F57" s="4">
        <f t="shared" si="5"/>
        <v>91.09</v>
      </c>
      <c r="G57" s="4">
        <f t="shared" si="6"/>
        <v>17.881216379405</v>
      </c>
      <c r="H57" s="4">
        <f t="shared" si="7"/>
        <v>586.04</v>
      </c>
      <c r="I57" s="4">
        <f t="shared" si="8"/>
        <v>205.43</v>
      </c>
      <c r="J57" s="4">
        <f t="shared" si="9"/>
        <v>7.92873484885362</v>
      </c>
      <c r="N57" s="4">
        <f>N56+职业基础属性!D$3*LOOKUP($B57,职业基础属性!$M$8:$M$16,职业基础属性!$O$8:$O$16)</f>
        <v>536.5</v>
      </c>
      <c r="O57" s="4">
        <f>O56+职业基础属性!F$3*LOOKUP($B57,职业基础属性!$M$8:$M$16,职业基础属性!$O$8:$O$16)</f>
        <v>107.3</v>
      </c>
      <c r="P57" s="4">
        <f>P56+职业基础属性!I$3*LOOKUP($B57,职业基础属性!$M$8:$M$16,职业基础属性!$O$8:$O$16)</f>
        <v>53.65</v>
      </c>
      <c r="R57" s="4">
        <f t="shared" si="11"/>
        <v>41</v>
      </c>
      <c r="S57" s="4">
        <f t="shared" si="12"/>
        <v>410</v>
      </c>
      <c r="T57" s="4">
        <f t="shared" si="12"/>
        <v>205</v>
      </c>
      <c r="U57" s="4">
        <f t="shared" si="12"/>
        <v>205</v>
      </c>
      <c r="W57" s="7" t="str">
        <f>IFERROR(VLOOKUP($B57&amp;"级"&amp;W$4,装备强化!$M:$N,2,0),W56)</f>
        <v>60级通用武器</v>
      </c>
      <c r="X57" s="7" t="str">
        <f>IFERROR(VLOOKUP($B57&amp;"级"&amp;X$4,装备强化!$M:$N,2,0),X56)</f>
        <v>50级通用头盔</v>
      </c>
      <c r="Y57" s="7" t="str">
        <f>IFERROR(VLOOKUP($B57&amp;"级"&amp;Y$4,装备强化!$M:$N,2,0),Y56)</f>
        <v>50级通用衣服</v>
      </c>
      <c r="Z57" s="7" t="str">
        <f>IFERROR(VLOOKUP($B57&amp;"级"&amp;Z$4,装备强化!$M:$N,2,0),Z56)</f>
        <v>50级通用腰带</v>
      </c>
      <c r="AA57" s="7" t="str">
        <f>IFERROR(VLOOKUP($B57&amp;"级"&amp;AA$4,装备强化!$M:$N,2,0),AA56)</f>
        <v>60级通用鞋子</v>
      </c>
      <c r="AB57" s="7" t="str">
        <f>IFERROR(VLOOKUP($B57&amp;"级"&amp;AB$4,装备强化!$M:$N,2,0),AB56)</f>
        <v>50级通用项链</v>
      </c>
      <c r="AC57" s="7" t="str">
        <f>IFERROR(VLOOKUP($B57&amp;"级"&amp;AC$4,装备强化!$M:$N,2,0),AC56)</f>
        <v>50级通用手镯</v>
      </c>
      <c r="AD57" s="7" t="str">
        <f>IFERROR(VLOOKUP($B57&amp;"级"&amp;AD$4,装备强化!$M:$N,2,0),AD56)</f>
        <v>60级通用戒指</v>
      </c>
      <c r="AE57" s="4">
        <f>IFERROR(VLOOKUP($W57,装备强化!$N:$T,AE$3,0),0)+IFERROR(VLOOKUP($X57,装备强化!$N:$T,AE$3,0),0)+IFERROR(VLOOKUP($Y57,装备强化!$N:$T,AE$3,0),0)+IFERROR(VLOOKUP($Z57,装备强化!$N:$T,AE$3,0),0)+IFERROR(VLOOKUP($AA57,装备强化!$N:$T,AE$3,0),0)+IFERROR(VLOOKUP($AB57,装备强化!$N:$T,AE$3,0),0)+IFERROR(VLOOKUP($AC57,装备强化!$N:$T,AE$3,0)*2,0)+IFERROR(VLOOKUP($AD57,装备强化!$N:$T,AE$3,0)*2,0)</f>
        <v>591.3</v>
      </c>
      <c r="AF57" s="4">
        <f>IFERROR(VLOOKUP($W57,装备强化!$N:$T,AF$3,0),0)+IFERROR(VLOOKUP($X57,装备强化!$N:$T,AF$3,0),0)+IFERROR(VLOOKUP($Y57,装备强化!$N:$T,AF$3,0),0)+IFERROR(VLOOKUP($Z57,装备强化!$N:$T,AF$3,0),0)+IFERROR(VLOOKUP($AA57,装备强化!$N:$T,AF$3,0),0)+IFERROR(VLOOKUP($AB57,装备强化!$N:$T,AF$3,0),0)+IFERROR(VLOOKUP($AC57,装备强化!$N:$T,AF$3,0)*2,0)+IFERROR(VLOOKUP($AD57,装备强化!$N:$T,AF$3,0)*2,0)</f>
        <v>68.4</v>
      </c>
      <c r="AG57" s="4">
        <f>IFERROR(VLOOKUP($W57,装备强化!$N:$T,AG$3,0),0)+IFERROR(VLOOKUP($X57,装备强化!$N:$T,AG$3,0),0)+IFERROR(VLOOKUP($Y57,装备强化!$N:$T,AG$3,0),0)+IFERROR(VLOOKUP($Z57,装备强化!$N:$T,AG$3,0),0)+IFERROR(VLOOKUP($AA57,装备强化!$N:$T,AG$3,0),0)+IFERROR(VLOOKUP($AB57,装备强化!$N:$T,AG$3,0),0)+IFERROR(VLOOKUP($AC57,装备强化!$N:$T,AG$3,0)*2,0)+IFERROR(VLOOKUP($AD57,装备强化!$N:$T,AG$3,0)*2,0)</f>
        <v>30.96</v>
      </c>
      <c r="AI57" s="4">
        <f>LOOKUP($B57,装备设定!$B$48:$B$55,装备设定!$F$48:$F$55)*(COUNTA($W57:$AB57)+COUNTA($AC57:$AD57)*2)*AI$3</f>
        <v>91</v>
      </c>
      <c r="AJ57" s="4">
        <f>LOOKUP($B57,装备设定!$B$48:$B$55,装备设定!$F$48:$F$55)*(COUNTA($W57:$AB57)+COUNTA($AC57:$AD57)*2)*AJ$3</f>
        <v>91</v>
      </c>
      <c r="AK57" s="4">
        <f>LOOKUP($B57,装备设定!$B$48:$B$55,装备设定!$F$48:$F$55)*(COUNTA($W57:$AB57)+COUNTA($AC57:$AD57)*2)*AK$3</f>
        <v>91</v>
      </c>
    </row>
    <row r="58" spans="1:37">
      <c r="A58" s="4">
        <f>INT(C58*基础设定!$D$9+D58*基础设定!$D$11+E58*基础设定!$D$14)</f>
        <v>12018</v>
      </c>
      <c r="B58" s="4">
        <v>54</v>
      </c>
      <c r="C58" s="4">
        <f t="shared" si="2"/>
        <v>1653.8</v>
      </c>
      <c r="D58" s="4">
        <f t="shared" si="3"/>
        <v>482.94</v>
      </c>
      <c r="E58" s="4">
        <f t="shared" si="4"/>
        <v>388.19</v>
      </c>
      <c r="F58" s="4">
        <f t="shared" si="5"/>
        <v>94.75</v>
      </c>
      <c r="G58" s="4">
        <f t="shared" si="6"/>
        <v>17.4543535620053</v>
      </c>
      <c r="H58" s="4">
        <f t="shared" si="7"/>
        <v>599.528</v>
      </c>
      <c r="I58" s="4">
        <f t="shared" si="8"/>
        <v>211.338</v>
      </c>
      <c r="J58" s="4">
        <f t="shared" si="9"/>
        <v>7.82537925030047</v>
      </c>
      <c r="N58" s="4">
        <f>N57+职业基础属性!D$3*LOOKUP($B58,职业基础属性!$M$8:$M$16,职业基础属性!$O$8:$O$16)</f>
        <v>551.5</v>
      </c>
      <c r="O58" s="4">
        <f>O57+职业基础属性!F$3*LOOKUP($B58,职业基础属性!$M$8:$M$16,职业基础属性!$O$8:$O$16)</f>
        <v>110.3</v>
      </c>
      <c r="P58" s="4">
        <f>P57+职业基础属性!I$3*LOOKUP($B58,职业基础属性!$M$8:$M$16,职业基础属性!$O$8:$O$16)</f>
        <v>55.15</v>
      </c>
      <c r="R58" s="4">
        <f t="shared" si="11"/>
        <v>42</v>
      </c>
      <c r="S58" s="4">
        <f t="shared" si="12"/>
        <v>420</v>
      </c>
      <c r="T58" s="4">
        <f t="shared" si="12"/>
        <v>210</v>
      </c>
      <c r="U58" s="4">
        <f t="shared" si="12"/>
        <v>210</v>
      </c>
      <c r="W58" s="7" t="str">
        <f>IFERROR(VLOOKUP($B58&amp;"级"&amp;W$4,装备强化!$M:$N,2,0),W57)</f>
        <v>60级通用武器</v>
      </c>
      <c r="X58" s="7" t="str">
        <f>IFERROR(VLOOKUP($B58&amp;"级"&amp;X$4,装备强化!$M:$N,2,0),X57)</f>
        <v>50级通用头盔</v>
      </c>
      <c r="Y58" s="7" t="str">
        <f>IFERROR(VLOOKUP($B58&amp;"级"&amp;Y$4,装备强化!$M:$N,2,0),Y57)</f>
        <v>50级通用衣服</v>
      </c>
      <c r="Z58" s="7" t="str">
        <f>IFERROR(VLOOKUP($B58&amp;"级"&amp;Z$4,装备强化!$M:$N,2,0),Z57)</f>
        <v>50级通用腰带</v>
      </c>
      <c r="AA58" s="7" t="str">
        <f>IFERROR(VLOOKUP($B58&amp;"级"&amp;AA$4,装备强化!$M:$N,2,0),AA57)</f>
        <v>60级通用鞋子</v>
      </c>
      <c r="AB58" s="7" t="str">
        <f>IFERROR(VLOOKUP($B58&amp;"级"&amp;AB$4,装备强化!$M:$N,2,0),AB57)</f>
        <v>60级通用项链</v>
      </c>
      <c r="AC58" s="7" t="str">
        <f>IFERROR(VLOOKUP($B58&amp;"级"&amp;AC$4,装备强化!$M:$N,2,0),AC57)</f>
        <v>50级通用手镯</v>
      </c>
      <c r="AD58" s="7" t="str">
        <f>IFERROR(VLOOKUP($B58&amp;"级"&amp;AD$4,装备强化!$M:$N,2,0),AD57)</f>
        <v>60级通用戒指</v>
      </c>
      <c r="AE58" s="4">
        <f>IFERROR(VLOOKUP($W58,装备强化!$N:$T,AE$3,0),0)+IFERROR(VLOOKUP($X58,装备强化!$N:$T,AE$3,0),0)+IFERROR(VLOOKUP($Y58,装备强化!$N:$T,AE$3,0),0)+IFERROR(VLOOKUP($Z58,装备强化!$N:$T,AE$3,0),0)+IFERROR(VLOOKUP($AA58,装备强化!$N:$T,AE$3,0),0)+IFERROR(VLOOKUP($AB58,装备强化!$N:$T,AE$3,0),0)+IFERROR(VLOOKUP($AC58,装备强化!$N:$T,AE$3,0)*2,0)+IFERROR(VLOOKUP($AD58,装备强化!$N:$T,AE$3,0)*2,0)</f>
        <v>591.3</v>
      </c>
      <c r="AF58" s="4">
        <f>IFERROR(VLOOKUP($W58,装备强化!$N:$T,AF$3,0),0)+IFERROR(VLOOKUP($X58,装备强化!$N:$T,AF$3,0),0)+IFERROR(VLOOKUP($Y58,装备强化!$N:$T,AF$3,0),0)+IFERROR(VLOOKUP($Z58,装备强化!$N:$T,AF$3,0),0)+IFERROR(VLOOKUP($AA58,装备强化!$N:$T,AF$3,0),0)+IFERROR(VLOOKUP($AB58,装备强化!$N:$T,AF$3,0),0)+IFERROR(VLOOKUP($AC58,装备强化!$N:$T,AF$3,0)*2,0)+IFERROR(VLOOKUP($AD58,装备强化!$N:$T,AF$3,0)*2,0)</f>
        <v>71.64</v>
      </c>
      <c r="AG58" s="4">
        <f>IFERROR(VLOOKUP($W58,装备强化!$N:$T,AG$3,0),0)+IFERROR(VLOOKUP($X58,装备强化!$N:$T,AG$3,0),0)+IFERROR(VLOOKUP($Y58,装备强化!$N:$T,AG$3,0),0)+IFERROR(VLOOKUP($Z58,装备强化!$N:$T,AG$3,0),0)+IFERROR(VLOOKUP($AA58,装备强化!$N:$T,AG$3,0),0)+IFERROR(VLOOKUP($AB58,装备强化!$N:$T,AG$3,0),0)+IFERROR(VLOOKUP($AC58,装备强化!$N:$T,AG$3,0)*2,0)+IFERROR(VLOOKUP($AD58,装备强化!$N:$T,AG$3,0)*2,0)</f>
        <v>32.04</v>
      </c>
      <c r="AI58" s="4">
        <f>LOOKUP($B58,装备设定!$B$48:$B$55,装备设定!$F$48:$F$55)*(COUNTA($W58:$AB58)+COUNTA($AC58:$AD58)*2)*AI$3</f>
        <v>91</v>
      </c>
      <c r="AJ58" s="4">
        <f>LOOKUP($B58,装备设定!$B$48:$B$55,装备设定!$F$48:$F$55)*(COUNTA($W58:$AB58)+COUNTA($AC58:$AD58)*2)*AJ$3</f>
        <v>91</v>
      </c>
      <c r="AK58" s="4">
        <f>LOOKUP($B58,装备设定!$B$48:$B$55,装备设定!$F$48:$F$55)*(COUNTA($W58:$AB58)+COUNTA($AC58:$AD58)*2)*AK$3</f>
        <v>91</v>
      </c>
    </row>
    <row r="59" spans="1:37">
      <c r="A59" s="4">
        <f>INT(C59*基础设定!$D$9+D59*基础设定!$D$11+E59*基础设定!$D$14)</f>
        <v>12218</v>
      </c>
      <c r="B59" s="4">
        <v>55</v>
      </c>
      <c r="C59" s="4">
        <f t="shared" si="2"/>
        <v>1717.4</v>
      </c>
      <c r="D59" s="4">
        <f t="shared" si="3"/>
        <v>485.94</v>
      </c>
      <c r="E59" s="4">
        <f t="shared" si="4"/>
        <v>392.39</v>
      </c>
      <c r="F59" s="4">
        <f t="shared" si="5"/>
        <v>93.55</v>
      </c>
      <c r="G59" s="4">
        <f t="shared" si="6"/>
        <v>18.3580972741849</v>
      </c>
      <c r="H59" s="4">
        <f t="shared" si="7"/>
        <v>603.128</v>
      </c>
      <c r="I59" s="4">
        <f t="shared" si="8"/>
        <v>210.738</v>
      </c>
      <c r="J59" s="4">
        <f t="shared" si="9"/>
        <v>8.14945572227126</v>
      </c>
      <c r="N59" s="4">
        <f>N58+职业基础属性!D$3*LOOKUP($B59,职业基础属性!$M$8:$M$16,职业基础属性!$O$8:$O$16)</f>
        <v>566.5</v>
      </c>
      <c r="O59" s="4">
        <f>O58+职业基础属性!F$3*LOOKUP($B59,职业基础属性!$M$8:$M$16,职业基础属性!$O$8:$O$16)</f>
        <v>113.3</v>
      </c>
      <c r="P59" s="4">
        <f>P58+职业基础属性!I$3*LOOKUP($B59,职业基础属性!$M$8:$M$16,职业基础属性!$O$8:$O$16)</f>
        <v>56.65</v>
      </c>
      <c r="R59" s="4">
        <f t="shared" si="11"/>
        <v>42</v>
      </c>
      <c r="S59" s="4">
        <f t="shared" si="12"/>
        <v>420</v>
      </c>
      <c r="T59" s="4">
        <f t="shared" si="12"/>
        <v>210</v>
      </c>
      <c r="U59" s="4">
        <f t="shared" si="12"/>
        <v>210</v>
      </c>
      <c r="W59" s="7" t="str">
        <f>IFERROR(VLOOKUP($B59&amp;"级"&amp;W$4,装备强化!$M:$N,2,0),W58)</f>
        <v>60级通用武器</v>
      </c>
      <c r="X59" s="7" t="str">
        <f>IFERROR(VLOOKUP($B59&amp;"级"&amp;X$4,装备强化!$M:$N,2,0),X58)</f>
        <v>50级通用头盔</v>
      </c>
      <c r="Y59" s="7" t="str">
        <f>IFERROR(VLOOKUP($B59&amp;"级"&amp;Y$4,装备强化!$M:$N,2,0),Y58)</f>
        <v>60级通用衣服</v>
      </c>
      <c r="Z59" s="7" t="str">
        <f>IFERROR(VLOOKUP($B59&amp;"级"&amp;Z$4,装备强化!$M:$N,2,0),Z58)</f>
        <v>50级通用腰带</v>
      </c>
      <c r="AA59" s="7" t="str">
        <f>IFERROR(VLOOKUP($B59&amp;"级"&amp;AA$4,装备强化!$M:$N,2,0),AA58)</f>
        <v>60级通用鞋子</v>
      </c>
      <c r="AB59" s="7" t="str">
        <f>IFERROR(VLOOKUP($B59&amp;"级"&amp;AB$4,装备强化!$M:$N,2,0),AB58)</f>
        <v>60级通用项链</v>
      </c>
      <c r="AC59" s="7" t="str">
        <f>IFERROR(VLOOKUP($B59&amp;"级"&amp;AC$4,装备强化!$M:$N,2,0),AC58)</f>
        <v>50级通用手镯</v>
      </c>
      <c r="AD59" s="7" t="str">
        <f>IFERROR(VLOOKUP($B59&amp;"级"&amp;AD$4,装备强化!$M:$N,2,0),AD58)</f>
        <v>60级通用戒指</v>
      </c>
      <c r="AE59" s="4">
        <f>IFERROR(VLOOKUP($W59,装备强化!$N:$T,AE$3,0),0)+IFERROR(VLOOKUP($X59,装备强化!$N:$T,AE$3,0),0)+IFERROR(VLOOKUP($Y59,装备强化!$N:$T,AE$3,0),0)+IFERROR(VLOOKUP($Z59,装备强化!$N:$T,AE$3,0),0)+IFERROR(VLOOKUP($AA59,装备强化!$N:$T,AE$3,0),0)+IFERROR(VLOOKUP($AB59,装备强化!$N:$T,AE$3,0),0)+IFERROR(VLOOKUP($AC59,装备强化!$N:$T,AE$3,0)*2,0)+IFERROR(VLOOKUP($AD59,装备强化!$N:$T,AE$3,0)*2,0)</f>
        <v>639.9</v>
      </c>
      <c r="AF59" s="4">
        <f>IFERROR(VLOOKUP($W59,装备强化!$N:$T,AF$3,0),0)+IFERROR(VLOOKUP($X59,装备强化!$N:$T,AF$3,0),0)+IFERROR(VLOOKUP($Y59,装备强化!$N:$T,AF$3,0),0)+IFERROR(VLOOKUP($Z59,装备强化!$N:$T,AF$3,0),0)+IFERROR(VLOOKUP($AA59,装备强化!$N:$T,AF$3,0),0)+IFERROR(VLOOKUP($AB59,装备强化!$N:$T,AF$3,0),0)+IFERROR(VLOOKUP($AC59,装备强化!$N:$T,AF$3,0)*2,0)+IFERROR(VLOOKUP($AD59,装备强化!$N:$T,AF$3,0)*2,0)</f>
        <v>71.64</v>
      </c>
      <c r="AG59" s="4">
        <f>IFERROR(VLOOKUP($W59,装备强化!$N:$T,AG$3,0),0)+IFERROR(VLOOKUP($X59,装备强化!$N:$T,AG$3,0),0)+IFERROR(VLOOKUP($Y59,装备强化!$N:$T,AG$3,0),0)+IFERROR(VLOOKUP($Z59,装备强化!$N:$T,AG$3,0),0)+IFERROR(VLOOKUP($AA59,装备强化!$N:$T,AG$3,0),0)+IFERROR(VLOOKUP($AB59,装备强化!$N:$T,AG$3,0),0)+IFERROR(VLOOKUP($AC59,装备强化!$N:$T,AG$3,0)*2,0)+IFERROR(VLOOKUP($AD59,装备强化!$N:$T,AG$3,0)*2,0)</f>
        <v>34.74</v>
      </c>
      <c r="AI59" s="4">
        <f>LOOKUP($B59,装备设定!$B$48:$B$55,装备设定!$F$48:$F$55)*(COUNTA($W59:$AB59)+COUNTA($AC59:$AD59)*2)*AI$3</f>
        <v>91</v>
      </c>
      <c r="AJ59" s="4">
        <f>LOOKUP($B59,装备设定!$B$48:$B$55,装备设定!$F$48:$F$55)*(COUNTA($W59:$AB59)+COUNTA($AC59:$AD59)*2)*AJ$3</f>
        <v>91</v>
      </c>
      <c r="AK59" s="4">
        <f>LOOKUP($B59,装备设定!$B$48:$B$55,装备设定!$F$48:$F$55)*(COUNTA($W59:$AB59)+COUNTA($AC59:$AD59)*2)*AK$3</f>
        <v>91</v>
      </c>
    </row>
    <row r="60" spans="1:37">
      <c r="A60" s="4">
        <f>INT(C60*基础设定!$D$9+D60*基础设定!$D$11+E60*基础设定!$D$14)</f>
        <v>12553</v>
      </c>
      <c r="B60" s="4">
        <v>56</v>
      </c>
      <c r="C60" s="4">
        <f t="shared" si="2"/>
        <v>1791</v>
      </c>
      <c r="D60" s="4">
        <f t="shared" si="3"/>
        <v>498.26</v>
      </c>
      <c r="E60" s="4">
        <f t="shared" si="4"/>
        <v>398.89</v>
      </c>
      <c r="F60" s="4">
        <f t="shared" si="5"/>
        <v>99.37</v>
      </c>
      <c r="G60" s="4">
        <f t="shared" si="6"/>
        <v>18.0235483546342</v>
      </c>
      <c r="H60" s="4">
        <f t="shared" si="7"/>
        <v>617.912</v>
      </c>
      <c r="I60" s="4">
        <f t="shared" si="8"/>
        <v>219.022</v>
      </c>
      <c r="J60" s="4">
        <f t="shared" si="9"/>
        <v>8.17726073179863</v>
      </c>
      <c r="N60" s="4">
        <f>N59+职业基础属性!D$3*LOOKUP($B60,职业基础属性!$M$8:$M$16,职业基础属性!$O$8:$O$16)</f>
        <v>581.5</v>
      </c>
      <c r="O60" s="4">
        <f>O59+职业基础属性!F$3*LOOKUP($B60,职业基础属性!$M$8:$M$16,职业基础属性!$O$8:$O$16)</f>
        <v>116.3</v>
      </c>
      <c r="P60" s="4">
        <f>P59+职业基础属性!I$3*LOOKUP($B60,职业基础属性!$M$8:$M$16,职业基础属性!$O$8:$O$16)</f>
        <v>58.15</v>
      </c>
      <c r="R60" s="4">
        <f t="shared" si="11"/>
        <v>43</v>
      </c>
      <c r="S60" s="4">
        <f t="shared" si="12"/>
        <v>430</v>
      </c>
      <c r="T60" s="4">
        <f t="shared" si="12"/>
        <v>215</v>
      </c>
      <c r="U60" s="4">
        <f t="shared" si="12"/>
        <v>215</v>
      </c>
      <c r="W60" s="7" t="str">
        <f>IFERROR(VLOOKUP($B60&amp;"级"&amp;W$4,装备强化!$M:$N,2,0),W59)</f>
        <v>60级通用武器</v>
      </c>
      <c r="X60" s="7" t="str">
        <f>IFERROR(VLOOKUP($B60&amp;"级"&amp;X$4,装备强化!$M:$N,2,0),X59)</f>
        <v>50级通用头盔</v>
      </c>
      <c r="Y60" s="7" t="str">
        <f>IFERROR(VLOOKUP($B60&amp;"级"&amp;Y$4,装备强化!$M:$N,2,0),Y59)</f>
        <v>60级通用衣服</v>
      </c>
      <c r="Z60" s="7" t="str">
        <f>IFERROR(VLOOKUP($B60&amp;"级"&amp;Z$4,装备强化!$M:$N,2,0),Z59)</f>
        <v>50级通用腰带</v>
      </c>
      <c r="AA60" s="7" t="str">
        <f>IFERROR(VLOOKUP($B60&amp;"级"&amp;AA$4,装备强化!$M:$N,2,0),AA59)</f>
        <v>60级通用鞋子</v>
      </c>
      <c r="AB60" s="7" t="str">
        <f>IFERROR(VLOOKUP($B60&amp;"级"&amp;AB$4,装备强化!$M:$N,2,0),AB59)</f>
        <v>60级通用项链</v>
      </c>
      <c r="AC60" s="7" t="str">
        <f>IFERROR(VLOOKUP($B60&amp;"级"&amp;AC$4,装备强化!$M:$N,2,0),AC59)</f>
        <v>60级通用手镯</v>
      </c>
      <c r="AD60" s="7" t="str">
        <f>IFERROR(VLOOKUP($B60&amp;"级"&amp;AD$4,装备强化!$M:$N,2,0),AD59)</f>
        <v>60级通用戒指</v>
      </c>
      <c r="AE60" s="4">
        <f>IFERROR(VLOOKUP($W60,装备强化!$N:$T,AE$3,0),0)+IFERROR(VLOOKUP($X60,装备强化!$N:$T,AE$3,0),0)+IFERROR(VLOOKUP($Y60,装备强化!$N:$T,AE$3,0),0)+IFERROR(VLOOKUP($Z60,装备强化!$N:$T,AE$3,0),0)+IFERROR(VLOOKUP($AA60,装备强化!$N:$T,AE$3,0),0)+IFERROR(VLOOKUP($AB60,装备强化!$N:$T,AE$3,0),0)+IFERROR(VLOOKUP($AC60,装备强化!$N:$T,AE$3,0)*2,0)+IFERROR(VLOOKUP($AD60,装备强化!$N:$T,AE$3,0)*2,0)</f>
        <v>688.5</v>
      </c>
      <c r="AF60" s="4">
        <f>IFERROR(VLOOKUP($W60,装备强化!$N:$T,AF$3,0),0)+IFERROR(VLOOKUP($X60,装备强化!$N:$T,AF$3,0),0)+IFERROR(VLOOKUP($Y60,装备强化!$N:$T,AF$3,0),0)+IFERROR(VLOOKUP($Z60,装备强化!$N:$T,AF$3,0),0)+IFERROR(VLOOKUP($AA60,装备强化!$N:$T,AF$3,0),0)+IFERROR(VLOOKUP($AB60,装备强化!$N:$T,AF$3,0),0)+IFERROR(VLOOKUP($AC60,装备强化!$N:$T,AF$3,0)*2,0)+IFERROR(VLOOKUP($AD60,装备强化!$N:$T,AF$3,0)*2,0)</f>
        <v>75.96</v>
      </c>
      <c r="AG60" s="4">
        <f>IFERROR(VLOOKUP($W60,装备强化!$N:$T,AG$3,0),0)+IFERROR(VLOOKUP($X60,装备强化!$N:$T,AG$3,0),0)+IFERROR(VLOOKUP($Y60,装备强化!$N:$T,AG$3,0),0)+IFERROR(VLOOKUP($Z60,装备强化!$N:$T,AG$3,0),0)+IFERROR(VLOOKUP($AA60,装备强化!$N:$T,AG$3,0),0)+IFERROR(VLOOKUP($AB60,装备强化!$N:$T,AG$3,0),0)+IFERROR(VLOOKUP($AC60,装备强化!$N:$T,AG$3,0)*2,0)+IFERROR(VLOOKUP($AD60,装备强化!$N:$T,AG$3,0)*2,0)</f>
        <v>34.74</v>
      </c>
      <c r="AI60" s="4">
        <f>LOOKUP($B60,装备设定!$B$48:$B$55,装备设定!$F$48:$F$55)*(COUNTA($W60:$AB60)+COUNTA($AC60:$AD60)*2)*AI$3</f>
        <v>91</v>
      </c>
      <c r="AJ60" s="4">
        <f>LOOKUP($B60,装备设定!$B$48:$B$55,装备设定!$F$48:$F$55)*(COUNTA($W60:$AB60)+COUNTA($AC60:$AD60)*2)*AJ$3</f>
        <v>91</v>
      </c>
      <c r="AK60" s="4">
        <f>LOOKUP($B60,装备设定!$B$48:$B$55,装备设定!$F$48:$F$55)*(COUNTA($W60:$AB60)+COUNTA($AC60:$AD60)*2)*AK$3</f>
        <v>91</v>
      </c>
    </row>
    <row r="61" spans="1:37">
      <c r="A61" s="4">
        <f>INT(C61*基础设定!$D$9+D61*基础设定!$D$11+E61*基础设定!$D$14)</f>
        <v>12687</v>
      </c>
      <c r="B61" s="4">
        <v>57</v>
      </c>
      <c r="C61" s="4">
        <f t="shared" si="2"/>
        <v>1806</v>
      </c>
      <c r="D61" s="4">
        <f t="shared" si="3"/>
        <v>504.5</v>
      </c>
      <c r="E61" s="4">
        <f t="shared" si="4"/>
        <v>403.09</v>
      </c>
      <c r="F61" s="4">
        <f t="shared" si="5"/>
        <v>101.41</v>
      </c>
      <c r="G61" s="4">
        <f t="shared" si="6"/>
        <v>17.8088945863327</v>
      </c>
      <c r="H61" s="4">
        <f t="shared" si="7"/>
        <v>625.4</v>
      </c>
      <c r="I61" s="4">
        <f t="shared" si="8"/>
        <v>222.31</v>
      </c>
      <c r="J61" s="4">
        <f t="shared" si="9"/>
        <v>8.1237911025145</v>
      </c>
      <c r="N61" s="4">
        <f>N60+职业基础属性!D$3*LOOKUP($B61,职业基础属性!$M$8:$M$16,职业基础属性!$O$8:$O$16)</f>
        <v>596.5</v>
      </c>
      <c r="O61" s="4">
        <f>O60+职业基础属性!F$3*LOOKUP($B61,职业基础属性!$M$8:$M$16,职业基础属性!$O$8:$O$16)</f>
        <v>119.3</v>
      </c>
      <c r="P61" s="4">
        <f>P60+职业基础属性!I$3*LOOKUP($B61,职业基础属性!$M$8:$M$16,职业基础属性!$O$8:$O$16)</f>
        <v>59.65</v>
      </c>
      <c r="R61" s="4">
        <f t="shared" si="11"/>
        <v>43</v>
      </c>
      <c r="S61" s="4">
        <f t="shared" si="12"/>
        <v>430</v>
      </c>
      <c r="T61" s="4">
        <f t="shared" si="12"/>
        <v>215</v>
      </c>
      <c r="U61" s="4">
        <f t="shared" si="12"/>
        <v>215</v>
      </c>
      <c r="W61" s="7" t="str">
        <f>IFERROR(VLOOKUP($B61&amp;"级"&amp;W$4,装备强化!$M:$N,2,0),W60)</f>
        <v>60级通用武器</v>
      </c>
      <c r="X61" s="7" t="str">
        <f>IFERROR(VLOOKUP($B61&amp;"级"&amp;X$4,装备强化!$M:$N,2,0),X60)</f>
        <v>60级通用头盔</v>
      </c>
      <c r="Y61" s="7" t="str">
        <f>IFERROR(VLOOKUP($B61&amp;"级"&amp;Y$4,装备强化!$M:$N,2,0),Y60)</f>
        <v>60级通用衣服</v>
      </c>
      <c r="Z61" s="7" t="str">
        <f>IFERROR(VLOOKUP($B61&amp;"级"&amp;Z$4,装备强化!$M:$N,2,0),Z60)</f>
        <v>50级通用腰带</v>
      </c>
      <c r="AA61" s="7" t="str">
        <f>IFERROR(VLOOKUP($B61&amp;"级"&amp;AA$4,装备强化!$M:$N,2,0),AA60)</f>
        <v>60级通用鞋子</v>
      </c>
      <c r="AB61" s="7" t="str">
        <f>IFERROR(VLOOKUP($B61&amp;"级"&amp;AB$4,装备强化!$M:$N,2,0),AB60)</f>
        <v>60级通用项链</v>
      </c>
      <c r="AC61" s="7" t="str">
        <f>IFERROR(VLOOKUP($B61&amp;"级"&amp;AC$4,装备强化!$M:$N,2,0),AC60)</f>
        <v>60级通用手镯</v>
      </c>
      <c r="AD61" s="7" t="str">
        <f>IFERROR(VLOOKUP($B61&amp;"级"&amp;AD$4,装备强化!$M:$N,2,0),AD60)</f>
        <v>60级通用戒指</v>
      </c>
      <c r="AE61" s="4">
        <f>IFERROR(VLOOKUP($W61,装备强化!$N:$T,AE$3,0),0)+IFERROR(VLOOKUP($X61,装备强化!$N:$T,AE$3,0),0)+IFERROR(VLOOKUP($Y61,装备强化!$N:$T,AE$3,0),0)+IFERROR(VLOOKUP($Z61,装备强化!$N:$T,AE$3,0),0)+IFERROR(VLOOKUP($AA61,装备强化!$N:$T,AE$3,0),0)+IFERROR(VLOOKUP($AB61,装备强化!$N:$T,AE$3,0),0)+IFERROR(VLOOKUP($AC61,装备强化!$N:$T,AE$3,0)*2,0)+IFERROR(VLOOKUP($AD61,装备强化!$N:$T,AE$3,0)*2,0)</f>
        <v>688.5</v>
      </c>
      <c r="AF61" s="4">
        <f>IFERROR(VLOOKUP($W61,装备强化!$N:$T,AF$3,0),0)+IFERROR(VLOOKUP($X61,装备强化!$N:$T,AF$3,0),0)+IFERROR(VLOOKUP($Y61,装备强化!$N:$T,AF$3,0),0)+IFERROR(VLOOKUP($Z61,装备强化!$N:$T,AF$3,0),0)+IFERROR(VLOOKUP($AA61,装备强化!$N:$T,AF$3,0),0)+IFERROR(VLOOKUP($AB61,装备强化!$N:$T,AF$3,0),0)+IFERROR(VLOOKUP($AC61,装备强化!$N:$T,AF$3,0)*2,0)+IFERROR(VLOOKUP($AD61,装备强化!$N:$T,AF$3,0)*2,0)</f>
        <v>79.2</v>
      </c>
      <c r="AG61" s="4">
        <f>IFERROR(VLOOKUP($W61,装备强化!$N:$T,AG$3,0),0)+IFERROR(VLOOKUP($X61,装备强化!$N:$T,AG$3,0),0)+IFERROR(VLOOKUP($Y61,装备强化!$N:$T,AG$3,0),0)+IFERROR(VLOOKUP($Z61,装备强化!$N:$T,AG$3,0),0)+IFERROR(VLOOKUP($AA61,装备强化!$N:$T,AG$3,0),0)+IFERROR(VLOOKUP($AB61,装备强化!$N:$T,AG$3,0),0)+IFERROR(VLOOKUP($AC61,装备强化!$N:$T,AG$3,0)*2,0)+IFERROR(VLOOKUP($AD61,装备强化!$N:$T,AG$3,0)*2,0)</f>
        <v>37.44</v>
      </c>
      <c r="AI61" s="4">
        <f>LOOKUP($B61,装备设定!$B$48:$B$55,装备设定!$F$48:$F$55)*(COUNTA($W61:$AB61)+COUNTA($AC61:$AD61)*2)*AI$3</f>
        <v>91</v>
      </c>
      <c r="AJ61" s="4">
        <f>LOOKUP($B61,装备设定!$B$48:$B$55,装备设定!$F$48:$F$55)*(COUNTA($W61:$AB61)+COUNTA($AC61:$AD61)*2)*AJ$3</f>
        <v>91</v>
      </c>
      <c r="AK61" s="4">
        <f>LOOKUP($B61,装备设定!$B$48:$B$55,装备设定!$F$48:$F$55)*(COUNTA($W61:$AB61)+COUNTA($AC61:$AD61)*2)*AK$3</f>
        <v>91</v>
      </c>
    </row>
    <row r="62" spans="1:37">
      <c r="A62" s="4">
        <f>INT(C62*基础设定!$D$9+D62*基础设定!$D$11+E62*基础设定!$D$14)</f>
        <v>12953</v>
      </c>
      <c r="B62" s="4">
        <v>58</v>
      </c>
      <c r="C62" s="4">
        <f t="shared" si="2"/>
        <v>1855.3</v>
      </c>
      <c r="D62" s="4">
        <f t="shared" si="3"/>
        <v>512.5</v>
      </c>
      <c r="E62" s="4">
        <f t="shared" si="4"/>
        <v>411.75</v>
      </c>
      <c r="F62" s="4">
        <f t="shared" si="5"/>
        <v>100.75</v>
      </c>
      <c r="G62" s="4">
        <f t="shared" si="6"/>
        <v>18.414888337469</v>
      </c>
      <c r="H62" s="4">
        <f t="shared" si="7"/>
        <v>635</v>
      </c>
      <c r="I62" s="4">
        <f t="shared" si="8"/>
        <v>223.25</v>
      </c>
      <c r="J62" s="4">
        <f t="shared" si="9"/>
        <v>8.31041433370661</v>
      </c>
      <c r="N62" s="4">
        <f>N61+职业基础属性!D$3*LOOKUP($B62,职业基础属性!$M$8:$M$16,职业基础属性!$O$8:$O$16)</f>
        <v>611.5</v>
      </c>
      <c r="O62" s="4">
        <f>O61+职业基础属性!F$3*LOOKUP($B62,职业基础属性!$M$8:$M$16,职业基础属性!$O$8:$O$16)</f>
        <v>122.3</v>
      </c>
      <c r="P62" s="4">
        <f>P61+职业基础属性!I$3*LOOKUP($B62,职业基础属性!$M$8:$M$16,职业基础属性!$O$8:$O$16)</f>
        <v>61.15</v>
      </c>
      <c r="R62" s="4">
        <f t="shared" si="11"/>
        <v>44</v>
      </c>
      <c r="S62" s="4">
        <f t="shared" si="12"/>
        <v>440</v>
      </c>
      <c r="T62" s="4">
        <f t="shared" si="12"/>
        <v>220</v>
      </c>
      <c r="U62" s="4">
        <f t="shared" si="12"/>
        <v>220</v>
      </c>
      <c r="W62" s="7" t="str">
        <f>IFERROR(VLOOKUP($B62&amp;"级"&amp;W$4,装备强化!$M:$N,2,0),W61)</f>
        <v>60级通用武器</v>
      </c>
      <c r="X62" s="7" t="str">
        <f>IFERROR(VLOOKUP($B62&amp;"级"&amp;X$4,装备强化!$M:$N,2,0),X61)</f>
        <v>60级通用头盔</v>
      </c>
      <c r="Y62" s="7" t="str">
        <f>IFERROR(VLOOKUP($B62&amp;"级"&amp;Y$4,装备强化!$M:$N,2,0),Y61)</f>
        <v>60级通用衣服</v>
      </c>
      <c r="Z62" s="7" t="str">
        <f>IFERROR(VLOOKUP($B62&amp;"级"&amp;Z$4,装备强化!$M:$N,2,0),Z61)</f>
        <v>60级通用腰带</v>
      </c>
      <c r="AA62" s="7" t="str">
        <f>IFERROR(VLOOKUP($B62&amp;"级"&amp;AA$4,装备强化!$M:$N,2,0),AA61)</f>
        <v>60级通用鞋子</v>
      </c>
      <c r="AB62" s="7" t="str">
        <f>IFERROR(VLOOKUP($B62&amp;"级"&amp;AB$4,装备强化!$M:$N,2,0),AB61)</f>
        <v>60级通用项链</v>
      </c>
      <c r="AC62" s="7" t="str">
        <f>IFERROR(VLOOKUP($B62&amp;"级"&amp;AC$4,装备强化!$M:$N,2,0),AC61)</f>
        <v>60级通用手镯</v>
      </c>
      <c r="AD62" s="7" t="str">
        <f>IFERROR(VLOOKUP($B62&amp;"级"&amp;AD$4,装备强化!$M:$N,2,0),AD61)</f>
        <v>60级通用戒指</v>
      </c>
      <c r="AE62" s="4">
        <f>IFERROR(VLOOKUP($W62,装备强化!$N:$T,AE$3,0),0)+IFERROR(VLOOKUP($X62,装备强化!$N:$T,AE$3,0),0)+IFERROR(VLOOKUP($Y62,装备强化!$N:$T,AE$3,0),0)+IFERROR(VLOOKUP($Z62,装备强化!$N:$T,AE$3,0),0)+IFERROR(VLOOKUP($AA62,装备强化!$N:$T,AE$3,0),0)+IFERROR(VLOOKUP($AB62,装备强化!$N:$T,AE$3,0),0)+IFERROR(VLOOKUP($AC62,装备强化!$N:$T,AE$3,0)*2,0)+IFERROR(VLOOKUP($AD62,装备强化!$N:$T,AE$3,0)*2,0)</f>
        <v>712.8</v>
      </c>
      <c r="AF62" s="4">
        <f>IFERROR(VLOOKUP($W62,装备强化!$N:$T,AF$3,0),0)+IFERROR(VLOOKUP($X62,装备强化!$N:$T,AF$3,0),0)+IFERROR(VLOOKUP($Y62,装备强化!$N:$T,AF$3,0),0)+IFERROR(VLOOKUP($Z62,装备强化!$N:$T,AF$3,0),0)+IFERROR(VLOOKUP($AA62,装备强化!$N:$T,AF$3,0),0)+IFERROR(VLOOKUP($AB62,装备强化!$N:$T,AF$3,0),0)+IFERROR(VLOOKUP($AC62,装备强化!$N:$T,AF$3,0)*2,0)+IFERROR(VLOOKUP($AD62,装备强化!$N:$T,AF$3,0)*2,0)</f>
        <v>79.2</v>
      </c>
      <c r="AG62" s="4">
        <f>IFERROR(VLOOKUP($W62,装备强化!$N:$T,AG$3,0),0)+IFERROR(VLOOKUP($X62,装备强化!$N:$T,AG$3,0),0)+IFERROR(VLOOKUP($Y62,装备强化!$N:$T,AG$3,0),0)+IFERROR(VLOOKUP($Z62,装备强化!$N:$T,AG$3,0),0)+IFERROR(VLOOKUP($AA62,装备强化!$N:$T,AG$3,0),0)+IFERROR(VLOOKUP($AB62,装备强化!$N:$T,AG$3,0),0)+IFERROR(VLOOKUP($AC62,装备强化!$N:$T,AG$3,0)*2,0)+IFERROR(VLOOKUP($AD62,装备强化!$N:$T,AG$3,0)*2,0)</f>
        <v>39.6</v>
      </c>
      <c r="AI62" s="4">
        <f>LOOKUP($B62,装备设定!$B$48:$B$55,装备设定!$F$48:$F$55)*(COUNTA($W62:$AB62)+COUNTA($AC62:$AD62)*2)*AI$3</f>
        <v>91</v>
      </c>
      <c r="AJ62" s="4">
        <f>LOOKUP($B62,装备设定!$B$48:$B$55,装备设定!$F$48:$F$55)*(COUNTA($W62:$AB62)+COUNTA($AC62:$AD62)*2)*AJ$3</f>
        <v>91</v>
      </c>
      <c r="AK62" s="4">
        <f>LOOKUP($B62,装备设定!$B$48:$B$55,装备设定!$F$48:$F$55)*(COUNTA($W62:$AB62)+COUNTA($AC62:$AD62)*2)*AK$3</f>
        <v>91</v>
      </c>
    </row>
    <row r="63" spans="1:37">
      <c r="A63" s="4">
        <f>INT(C63*基础设定!$D$9+D63*基础设定!$D$11+E63*基础设定!$D$14)</f>
        <v>13028</v>
      </c>
      <c r="B63" s="4">
        <v>59</v>
      </c>
      <c r="C63" s="4">
        <f t="shared" si="2"/>
        <v>1870.3</v>
      </c>
      <c r="D63" s="4">
        <f t="shared" si="3"/>
        <v>515.5</v>
      </c>
      <c r="E63" s="4">
        <f t="shared" si="4"/>
        <v>413.25</v>
      </c>
      <c r="F63" s="4">
        <f t="shared" si="5"/>
        <v>102.25</v>
      </c>
      <c r="G63" s="4">
        <f t="shared" si="6"/>
        <v>18.2914425427873</v>
      </c>
      <c r="H63" s="4">
        <f t="shared" si="7"/>
        <v>638.6</v>
      </c>
      <c r="I63" s="4">
        <f t="shared" si="8"/>
        <v>225.35</v>
      </c>
      <c r="J63" s="4">
        <f t="shared" si="9"/>
        <v>8.2995340581318</v>
      </c>
      <c r="N63" s="4">
        <f>N62+职业基础属性!D$3*LOOKUP($B63,职业基础属性!$M$8:$M$16,职业基础属性!$O$8:$O$16)</f>
        <v>626.5</v>
      </c>
      <c r="O63" s="4">
        <f>O62+职业基础属性!F$3*LOOKUP($B63,职业基础属性!$M$8:$M$16,职业基础属性!$O$8:$O$16)</f>
        <v>125.3</v>
      </c>
      <c r="P63" s="4">
        <f>P62+职业基础属性!I$3*LOOKUP($B63,职业基础属性!$M$8:$M$16,职业基础属性!$O$8:$O$16)</f>
        <v>62.65</v>
      </c>
      <c r="R63" s="4">
        <f t="shared" si="11"/>
        <v>44</v>
      </c>
      <c r="S63" s="4">
        <f t="shared" si="12"/>
        <v>440</v>
      </c>
      <c r="T63" s="4">
        <f t="shared" si="12"/>
        <v>220</v>
      </c>
      <c r="U63" s="4">
        <f t="shared" si="12"/>
        <v>220</v>
      </c>
      <c r="W63" s="7" t="str">
        <f>IFERROR(VLOOKUP($B63&amp;"级"&amp;W$4,装备强化!$M:$N,2,0),W62)</f>
        <v>60级通用武器</v>
      </c>
      <c r="X63" s="7" t="str">
        <f>IFERROR(VLOOKUP($B63&amp;"级"&amp;X$4,装备强化!$M:$N,2,0),X62)</f>
        <v>60级通用头盔</v>
      </c>
      <c r="Y63" s="7" t="str">
        <f>IFERROR(VLOOKUP($B63&amp;"级"&amp;Y$4,装备强化!$M:$N,2,0),Y62)</f>
        <v>60级通用衣服</v>
      </c>
      <c r="Z63" s="7" t="str">
        <f>IFERROR(VLOOKUP($B63&amp;"级"&amp;Z$4,装备强化!$M:$N,2,0),Z62)</f>
        <v>60级通用腰带</v>
      </c>
      <c r="AA63" s="7" t="str">
        <f>IFERROR(VLOOKUP($B63&amp;"级"&amp;AA$4,装备强化!$M:$N,2,0),AA62)</f>
        <v>60级通用鞋子</v>
      </c>
      <c r="AB63" s="7" t="str">
        <f>IFERROR(VLOOKUP($B63&amp;"级"&amp;AB$4,装备强化!$M:$N,2,0),AB62)</f>
        <v>60级通用项链</v>
      </c>
      <c r="AC63" s="7" t="str">
        <f>IFERROR(VLOOKUP($B63&amp;"级"&amp;AC$4,装备强化!$M:$N,2,0),AC62)</f>
        <v>60级通用手镯</v>
      </c>
      <c r="AD63" s="7" t="str">
        <f>IFERROR(VLOOKUP($B63&amp;"级"&amp;AD$4,装备强化!$M:$N,2,0),AD62)</f>
        <v>60级通用戒指</v>
      </c>
      <c r="AE63" s="4">
        <f>IFERROR(VLOOKUP($W63,装备强化!$N:$T,AE$3,0),0)+IFERROR(VLOOKUP($X63,装备强化!$N:$T,AE$3,0),0)+IFERROR(VLOOKUP($Y63,装备强化!$N:$T,AE$3,0),0)+IFERROR(VLOOKUP($Z63,装备强化!$N:$T,AE$3,0),0)+IFERROR(VLOOKUP($AA63,装备强化!$N:$T,AE$3,0),0)+IFERROR(VLOOKUP($AB63,装备强化!$N:$T,AE$3,0),0)+IFERROR(VLOOKUP($AC63,装备强化!$N:$T,AE$3,0)*2,0)+IFERROR(VLOOKUP($AD63,装备强化!$N:$T,AE$3,0)*2,0)</f>
        <v>712.8</v>
      </c>
      <c r="AF63" s="4">
        <f>IFERROR(VLOOKUP($W63,装备强化!$N:$T,AF$3,0),0)+IFERROR(VLOOKUP($X63,装备强化!$N:$T,AF$3,0),0)+IFERROR(VLOOKUP($Y63,装备强化!$N:$T,AF$3,0),0)+IFERROR(VLOOKUP($Z63,装备强化!$N:$T,AF$3,0),0)+IFERROR(VLOOKUP($AA63,装备强化!$N:$T,AF$3,0),0)+IFERROR(VLOOKUP($AB63,装备强化!$N:$T,AF$3,0),0)+IFERROR(VLOOKUP($AC63,装备强化!$N:$T,AF$3,0)*2,0)+IFERROR(VLOOKUP($AD63,装备强化!$N:$T,AF$3,0)*2,0)</f>
        <v>79.2</v>
      </c>
      <c r="AG63" s="4">
        <f>IFERROR(VLOOKUP($W63,装备强化!$N:$T,AG$3,0),0)+IFERROR(VLOOKUP($X63,装备强化!$N:$T,AG$3,0),0)+IFERROR(VLOOKUP($Y63,装备强化!$N:$T,AG$3,0),0)+IFERROR(VLOOKUP($Z63,装备强化!$N:$T,AG$3,0),0)+IFERROR(VLOOKUP($AA63,装备强化!$N:$T,AG$3,0),0)+IFERROR(VLOOKUP($AB63,装备强化!$N:$T,AG$3,0),0)+IFERROR(VLOOKUP($AC63,装备强化!$N:$T,AG$3,0)*2,0)+IFERROR(VLOOKUP($AD63,装备强化!$N:$T,AG$3,0)*2,0)</f>
        <v>39.6</v>
      </c>
      <c r="AI63" s="4">
        <f>LOOKUP($B63,装备设定!$B$48:$B$55,装备设定!$F$48:$F$55)*(COUNTA($W63:$AB63)+COUNTA($AC63:$AD63)*2)*AI$3</f>
        <v>91</v>
      </c>
      <c r="AJ63" s="4">
        <f>LOOKUP($B63,装备设定!$B$48:$B$55,装备设定!$F$48:$F$55)*(COUNTA($W63:$AB63)+COUNTA($AC63:$AD63)*2)*AJ$3</f>
        <v>91</v>
      </c>
      <c r="AK63" s="4">
        <f>LOOKUP($B63,装备设定!$B$48:$B$55,装备设定!$F$48:$F$55)*(COUNTA($W63:$AB63)+COUNTA($AC63:$AD63)*2)*AK$3</f>
        <v>91</v>
      </c>
    </row>
    <row r="64" spans="1:37">
      <c r="A64" s="4">
        <f>INT(C64*基础设定!$D$9+D64*基础设定!$D$11+E64*基础设定!$D$14)</f>
        <v>13223</v>
      </c>
      <c r="B64" s="4">
        <v>60</v>
      </c>
      <c r="C64" s="4">
        <f t="shared" si="2"/>
        <v>1895.3</v>
      </c>
      <c r="D64" s="4">
        <f t="shared" si="3"/>
        <v>523.5</v>
      </c>
      <c r="E64" s="4">
        <f t="shared" si="4"/>
        <v>419.75</v>
      </c>
      <c r="F64" s="4">
        <f t="shared" si="5"/>
        <v>103.75</v>
      </c>
      <c r="G64" s="4">
        <f t="shared" si="6"/>
        <v>18.2679518072289</v>
      </c>
      <c r="H64" s="4">
        <f t="shared" si="7"/>
        <v>648.2</v>
      </c>
      <c r="I64" s="4">
        <f t="shared" si="8"/>
        <v>228.45</v>
      </c>
      <c r="J64" s="4">
        <f t="shared" si="9"/>
        <v>8.29634493324579</v>
      </c>
      <c r="N64" s="4">
        <f>N63+职业基础属性!D$3*LOOKUP($B64,职业基础属性!$M$8:$M$16,职业基础属性!$O$8:$O$16)</f>
        <v>641.5</v>
      </c>
      <c r="O64" s="4">
        <f>O63+职业基础属性!F$3*LOOKUP($B64,职业基础属性!$M$8:$M$16,职业基础属性!$O$8:$O$16)</f>
        <v>128.3</v>
      </c>
      <c r="P64" s="4">
        <f>P63+职业基础属性!I$3*LOOKUP($B64,职业基础属性!$M$8:$M$16,职业基础属性!$O$8:$O$16)</f>
        <v>64.15</v>
      </c>
      <c r="R64" s="4">
        <f t="shared" si="11"/>
        <v>45</v>
      </c>
      <c r="S64" s="4">
        <f t="shared" si="12"/>
        <v>450</v>
      </c>
      <c r="T64" s="4">
        <f t="shared" si="12"/>
        <v>225</v>
      </c>
      <c r="U64" s="4">
        <f t="shared" si="12"/>
        <v>225</v>
      </c>
      <c r="W64" s="7" t="str">
        <f>IFERROR(VLOOKUP($B64&amp;"级"&amp;W$4,装备强化!$M:$N,2,0),W63)</f>
        <v>60级通用武器</v>
      </c>
      <c r="X64" s="7" t="str">
        <f>IFERROR(VLOOKUP($B64&amp;"级"&amp;X$4,装备强化!$M:$N,2,0),X63)</f>
        <v>60级通用头盔</v>
      </c>
      <c r="Y64" s="7" t="str">
        <f>IFERROR(VLOOKUP($B64&amp;"级"&amp;Y$4,装备强化!$M:$N,2,0),Y63)</f>
        <v>60级通用衣服</v>
      </c>
      <c r="Z64" s="7" t="str">
        <f>IFERROR(VLOOKUP($B64&amp;"级"&amp;Z$4,装备强化!$M:$N,2,0),Z63)</f>
        <v>60级通用腰带</v>
      </c>
      <c r="AA64" s="7" t="str">
        <f>IFERROR(VLOOKUP($B64&amp;"级"&amp;AA$4,装备强化!$M:$N,2,0),AA63)</f>
        <v>60级通用鞋子</v>
      </c>
      <c r="AB64" s="7" t="str">
        <f>IFERROR(VLOOKUP($B64&amp;"级"&amp;AB$4,装备强化!$M:$N,2,0),AB63)</f>
        <v>60级通用项链</v>
      </c>
      <c r="AC64" s="7" t="str">
        <f>IFERROR(VLOOKUP($B64&amp;"级"&amp;AC$4,装备强化!$M:$N,2,0),AC63)</f>
        <v>60级通用手镯</v>
      </c>
      <c r="AD64" s="7" t="str">
        <f>IFERROR(VLOOKUP($B64&amp;"级"&amp;AD$4,装备强化!$M:$N,2,0),AD63)</f>
        <v>60级通用戒指</v>
      </c>
      <c r="AE64" s="4">
        <f>IFERROR(VLOOKUP($W64,装备强化!$N:$T,AE$3,0),0)+IFERROR(VLOOKUP($X64,装备强化!$N:$T,AE$3,0),0)+IFERROR(VLOOKUP($Y64,装备强化!$N:$T,AE$3,0),0)+IFERROR(VLOOKUP($Z64,装备强化!$N:$T,AE$3,0),0)+IFERROR(VLOOKUP($AA64,装备强化!$N:$T,AE$3,0),0)+IFERROR(VLOOKUP($AB64,装备强化!$N:$T,AE$3,0),0)+IFERROR(VLOOKUP($AC64,装备强化!$N:$T,AE$3,0)*2,0)+IFERROR(VLOOKUP($AD64,装备强化!$N:$T,AE$3,0)*2,0)</f>
        <v>712.8</v>
      </c>
      <c r="AF64" s="4">
        <f>IFERROR(VLOOKUP($W64,装备强化!$N:$T,AF$3,0),0)+IFERROR(VLOOKUP($X64,装备强化!$N:$T,AF$3,0),0)+IFERROR(VLOOKUP($Y64,装备强化!$N:$T,AF$3,0),0)+IFERROR(VLOOKUP($Z64,装备强化!$N:$T,AF$3,0),0)+IFERROR(VLOOKUP($AA64,装备强化!$N:$T,AF$3,0),0)+IFERROR(VLOOKUP($AB64,装备强化!$N:$T,AF$3,0),0)+IFERROR(VLOOKUP($AC64,装备强化!$N:$T,AF$3,0)*2,0)+IFERROR(VLOOKUP($AD64,装备强化!$N:$T,AF$3,0)*2,0)</f>
        <v>79.2</v>
      </c>
      <c r="AG64" s="4">
        <f>IFERROR(VLOOKUP($W64,装备强化!$N:$T,AG$3,0),0)+IFERROR(VLOOKUP($X64,装备强化!$N:$T,AG$3,0),0)+IFERROR(VLOOKUP($Y64,装备强化!$N:$T,AG$3,0),0)+IFERROR(VLOOKUP($Z64,装备强化!$N:$T,AG$3,0),0)+IFERROR(VLOOKUP($AA64,装备强化!$N:$T,AG$3,0),0)+IFERROR(VLOOKUP($AB64,装备强化!$N:$T,AG$3,0),0)+IFERROR(VLOOKUP($AC64,装备强化!$N:$T,AG$3,0)*2,0)+IFERROR(VLOOKUP($AD64,装备强化!$N:$T,AG$3,0)*2,0)</f>
        <v>39.6</v>
      </c>
      <c r="AI64" s="4">
        <f>LOOKUP($B64,装备设定!$B$48:$B$55,装备设定!$F$48:$F$55)*(COUNTA($W64:$AB64)+COUNTA($AC64:$AD64)*2)*AI$3</f>
        <v>91</v>
      </c>
      <c r="AJ64" s="4">
        <f>LOOKUP($B64,装备设定!$B$48:$B$55,装备设定!$F$48:$F$55)*(COUNTA($W64:$AB64)+COUNTA($AC64:$AD64)*2)*AJ$3</f>
        <v>91</v>
      </c>
      <c r="AK64" s="4">
        <f>LOOKUP($B64,装备设定!$B$48:$B$55,装备设定!$F$48:$F$55)*(COUNTA($W64:$AB64)+COUNTA($AC64:$AD64)*2)*AK$3</f>
        <v>91</v>
      </c>
    </row>
    <row r="65" spans="1:37">
      <c r="A65" s="4">
        <f>INT(C65*基础设定!$D$9+D65*基础设定!$D$11+E65*基础设定!$D$14)</f>
        <v>14169</v>
      </c>
      <c r="B65" s="4">
        <v>61</v>
      </c>
      <c r="C65" s="4">
        <f t="shared" si="2"/>
        <v>1948.3</v>
      </c>
      <c r="D65" s="4">
        <f t="shared" si="3"/>
        <v>570.74</v>
      </c>
      <c r="E65" s="4">
        <f t="shared" si="4"/>
        <v>456.55</v>
      </c>
      <c r="F65" s="4">
        <f t="shared" si="5"/>
        <v>114.19</v>
      </c>
      <c r="G65" s="4">
        <f t="shared" si="6"/>
        <v>17.0619143532709</v>
      </c>
      <c r="H65" s="4">
        <f t="shared" si="7"/>
        <v>704.888</v>
      </c>
      <c r="I65" s="4">
        <f t="shared" si="8"/>
        <v>248.338</v>
      </c>
      <c r="J65" s="4">
        <f t="shared" si="9"/>
        <v>7.84535592619736</v>
      </c>
      <c r="N65" s="4">
        <f>N64+职业基础属性!D$3*LOOKUP($B65,职业基础属性!$M$8:$M$16,职业基础属性!$O$8:$O$16)</f>
        <v>659.5</v>
      </c>
      <c r="O65" s="4">
        <f>O64+职业基础属性!F$3*LOOKUP($B65,职业基础属性!$M$8:$M$16,职业基础属性!$O$8:$O$16)</f>
        <v>131.9</v>
      </c>
      <c r="P65" s="4">
        <f>P64+职业基础属性!I$3*LOOKUP($B65,职业基础属性!$M$8:$M$16,职业基础属性!$O$8:$O$16)</f>
        <v>65.95</v>
      </c>
      <c r="R65" s="4">
        <f t="shared" si="11"/>
        <v>45</v>
      </c>
      <c r="S65" s="4">
        <f t="shared" si="12"/>
        <v>450</v>
      </c>
      <c r="T65" s="4">
        <f t="shared" si="12"/>
        <v>225</v>
      </c>
      <c r="U65" s="4">
        <f t="shared" si="12"/>
        <v>225</v>
      </c>
      <c r="W65" s="7" t="str">
        <f>IFERROR(VLOOKUP($B65&amp;"级"&amp;W$4,装备强化!$M:$N,2,0),W64)</f>
        <v>70级通用武器</v>
      </c>
      <c r="X65" s="7" t="str">
        <f>IFERROR(VLOOKUP($B65&amp;"级"&amp;X$4,装备强化!$M:$N,2,0),X64)</f>
        <v>60级通用头盔</v>
      </c>
      <c r="Y65" s="7" t="str">
        <f>IFERROR(VLOOKUP($B65&amp;"级"&amp;Y$4,装备强化!$M:$N,2,0),Y64)</f>
        <v>60级通用衣服</v>
      </c>
      <c r="Z65" s="7" t="str">
        <f>IFERROR(VLOOKUP($B65&amp;"级"&amp;Z$4,装备强化!$M:$N,2,0),Z64)</f>
        <v>60级通用腰带</v>
      </c>
      <c r="AA65" s="7" t="str">
        <f>IFERROR(VLOOKUP($B65&amp;"级"&amp;AA$4,装备强化!$M:$N,2,0),AA64)</f>
        <v>60级通用鞋子</v>
      </c>
      <c r="AB65" s="7" t="str">
        <f>IFERROR(VLOOKUP($B65&amp;"级"&amp;AB$4,装备强化!$M:$N,2,0),AB64)</f>
        <v>60级通用项链</v>
      </c>
      <c r="AC65" s="7" t="str">
        <f>IFERROR(VLOOKUP($B65&amp;"级"&amp;AC$4,装备强化!$M:$N,2,0),AC64)</f>
        <v>60级通用手镯</v>
      </c>
      <c r="AD65" s="7" t="str">
        <f>IFERROR(VLOOKUP($B65&amp;"级"&amp;AD$4,装备强化!$M:$N,2,0),AD64)</f>
        <v>60级通用戒指</v>
      </c>
      <c r="AE65" s="4">
        <f>IFERROR(VLOOKUP($W65,装备强化!$N:$T,AE$3,0),0)+IFERROR(VLOOKUP($X65,装备强化!$N:$T,AE$3,0),0)+IFERROR(VLOOKUP($Y65,装备强化!$N:$T,AE$3,0),0)+IFERROR(VLOOKUP($Z65,装备强化!$N:$T,AE$3,0),0)+IFERROR(VLOOKUP($AA65,装备强化!$N:$T,AE$3,0),0)+IFERROR(VLOOKUP($AB65,装备强化!$N:$T,AE$3,0),0)+IFERROR(VLOOKUP($AC65,装备强化!$N:$T,AE$3,0)*2,0)+IFERROR(VLOOKUP($AD65,装备强化!$N:$T,AE$3,0)*2,0)</f>
        <v>712.8</v>
      </c>
      <c r="AF65" s="4">
        <f>IFERROR(VLOOKUP($W65,装备强化!$N:$T,AF$3,0),0)+IFERROR(VLOOKUP($X65,装备强化!$N:$T,AF$3,0),0)+IFERROR(VLOOKUP($Y65,装备强化!$N:$T,AF$3,0),0)+IFERROR(VLOOKUP($Z65,装备强化!$N:$T,AF$3,0),0)+IFERROR(VLOOKUP($AA65,装备强化!$N:$T,AF$3,0),0)+IFERROR(VLOOKUP($AB65,装备强化!$N:$T,AF$3,0),0)+IFERROR(VLOOKUP($AC65,装备强化!$N:$T,AF$3,0)*2,0)+IFERROR(VLOOKUP($AD65,装备强化!$N:$T,AF$3,0)*2,0)</f>
        <v>87.84</v>
      </c>
      <c r="AG65" s="4">
        <f>IFERROR(VLOOKUP($W65,装备强化!$N:$T,AG$3,0),0)+IFERROR(VLOOKUP($X65,装备强化!$N:$T,AG$3,0),0)+IFERROR(VLOOKUP($Y65,装备强化!$N:$T,AG$3,0),0)+IFERROR(VLOOKUP($Z65,装备强化!$N:$T,AG$3,0),0)+IFERROR(VLOOKUP($AA65,装备强化!$N:$T,AG$3,0),0)+IFERROR(VLOOKUP($AB65,装备强化!$N:$T,AG$3,0),0)+IFERROR(VLOOKUP($AC65,装备强化!$N:$T,AG$3,0)*2,0)+IFERROR(VLOOKUP($AD65,装备强化!$N:$T,AG$3,0)*2,0)</f>
        <v>39.6</v>
      </c>
      <c r="AI65" s="4">
        <f>LOOKUP($B65,装备设定!$B$48:$B$55,装备设定!$F$48:$F$55)*(COUNTA($W65:$AB65)+COUNTA($AC65:$AD65)*2)*AI$3</f>
        <v>126</v>
      </c>
      <c r="AJ65" s="4">
        <f>LOOKUP($B65,装备设定!$B$48:$B$55,装备设定!$F$48:$F$55)*(COUNTA($W65:$AB65)+COUNTA($AC65:$AD65)*2)*AJ$3</f>
        <v>126</v>
      </c>
      <c r="AK65" s="4">
        <f>LOOKUP($B65,装备设定!$B$48:$B$55,装备设定!$F$48:$F$55)*(COUNTA($W65:$AB65)+COUNTA($AC65:$AD65)*2)*AK$3</f>
        <v>126</v>
      </c>
    </row>
    <row r="66" spans="1:37">
      <c r="A66" s="4">
        <f>INT(C66*基础设定!$D$9+D66*基础设定!$D$11+E66*基础设定!$D$14)</f>
        <v>14473</v>
      </c>
      <c r="B66" s="4">
        <v>62</v>
      </c>
      <c r="C66" s="4">
        <f t="shared" si="2"/>
        <v>2008.7</v>
      </c>
      <c r="D66" s="4">
        <f t="shared" si="3"/>
        <v>579.34</v>
      </c>
      <c r="E66" s="4">
        <f t="shared" si="4"/>
        <v>466.23</v>
      </c>
      <c r="F66" s="4">
        <f t="shared" si="5"/>
        <v>113.11</v>
      </c>
      <c r="G66" s="4">
        <f t="shared" si="6"/>
        <v>17.7588188489081</v>
      </c>
      <c r="H66" s="4">
        <f t="shared" si="7"/>
        <v>715.208</v>
      </c>
      <c r="I66" s="4">
        <f t="shared" si="8"/>
        <v>248.978</v>
      </c>
      <c r="J66" s="4">
        <f t="shared" si="9"/>
        <v>8.06778108909221</v>
      </c>
      <c r="N66" s="4">
        <f>N65+职业基础属性!D$3*LOOKUP($B66,职业基础属性!$M$8:$M$16,职业基础属性!$O$8:$O$16)</f>
        <v>677.5</v>
      </c>
      <c r="O66" s="4">
        <f>O65+职业基础属性!F$3*LOOKUP($B66,职业基础属性!$M$8:$M$16,职业基础属性!$O$8:$O$16)</f>
        <v>135.5</v>
      </c>
      <c r="P66" s="4">
        <f>P65+职业基础属性!I$3*LOOKUP($B66,职业基础属性!$M$8:$M$16,职业基础属性!$O$8:$O$16)</f>
        <v>67.75</v>
      </c>
      <c r="R66" s="4">
        <f t="shared" si="11"/>
        <v>46</v>
      </c>
      <c r="S66" s="4">
        <f t="shared" si="12"/>
        <v>460</v>
      </c>
      <c r="T66" s="4">
        <f t="shared" si="12"/>
        <v>230</v>
      </c>
      <c r="U66" s="4">
        <f t="shared" si="12"/>
        <v>230</v>
      </c>
      <c r="W66" s="7" t="str">
        <f>IFERROR(VLOOKUP($B66&amp;"级"&amp;W$4,装备强化!$M:$N,2,0),W65)</f>
        <v>70级通用武器</v>
      </c>
      <c r="X66" s="7" t="str">
        <f>IFERROR(VLOOKUP($B66&amp;"级"&amp;X$4,装备强化!$M:$N,2,0),X65)</f>
        <v>60级通用头盔</v>
      </c>
      <c r="Y66" s="7" t="str">
        <f>IFERROR(VLOOKUP($B66&amp;"级"&amp;Y$4,装备强化!$M:$N,2,0),Y65)</f>
        <v>60级通用衣服</v>
      </c>
      <c r="Z66" s="7" t="str">
        <f>IFERROR(VLOOKUP($B66&amp;"级"&amp;Z$4,装备强化!$M:$N,2,0),Z65)</f>
        <v>60级通用腰带</v>
      </c>
      <c r="AA66" s="7" t="str">
        <f>IFERROR(VLOOKUP($B66&amp;"级"&amp;AA$4,装备强化!$M:$N,2,0),AA65)</f>
        <v>70级通用鞋子</v>
      </c>
      <c r="AB66" s="7" t="str">
        <f>IFERROR(VLOOKUP($B66&amp;"级"&amp;AB$4,装备强化!$M:$N,2,0),AB65)</f>
        <v>60级通用项链</v>
      </c>
      <c r="AC66" s="7" t="str">
        <f>IFERROR(VLOOKUP($B66&amp;"级"&amp;AC$4,装备强化!$M:$N,2,0),AC65)</f>
        <v>60级通用手镯</v>
      </c>
      <c r="AD66" s="7" t="str">
        <f>IFERROR(VLOOKUP($B66&amp;"级"&amp;AD$4,装备强化!$M:$N,2,0),AD65)</f>
        <v>60级通用戒指</v>
      </c>
      <c r="AE66" s="4">
        <f>IFERROR(VLOOKUP($W66,装备强化!$N:$T,AE$3,0),0)+IFERROR(VLOOKUP($X66,装备强化!$N:$T,AE$3,0),0)+IFERROR(VLOOKUP($Y66,装备强化!$N:$T,AE$3,0),0)+IFERROR(VLOOKUP($Z66,装备强化!$N:$T,AE$3,0),0)+IFERROR(VLOOKUP($AA66,装备强化!$N:$T,AE$3,0),0)+IFERROR(VLOOKUP($AB66,装备强化!$N:$T,AE$3,0),0)+IFERROR(VLOOKUP($AC66,装备强化!$N:$T,AE$3,0)*2,0)+IFERROR(VLOOKUP($AD66,装备强化!$N:$T,AE$3,0)*2,0)</f>
        <v>745.2</v>
      </c>
      <c r="AF66" s="4">
        <f>IFERROR(VLOOKUP($W66,装备强化!$N:$T,AF$3,0),0)+IFERROR(VLOOKUP($X66,装备强化!$N:$T,AF$3,0),0)+IFERROR(VLOOKUP($Y66,装备强化!$N:$T,AF$3,0),0)+IFERROR(VLOOKUP($Z66,装备强化!$N:$T,AF$3,0),0)+IFERROR(VLOOKUP($AA66,装备强化!$N:$T,AF$3,0),0)+IFERROR(VLOOKUP($AB66,装备强化!$N:$T,AF$3,0),0)+IFERROR(VLOOKUP($AC66,装备强化!$N:$T,AF$3,0)*2,0)+IFERROR(VLOOKUP($AD66,装备强化!$N:$T,AF$3,0)*2,0)</f>
        <v>87.84</v>
      </c>
      <c r="AG66" s="4">
        <f>IFERROR(VLOOKUP($W66,装备强化!$N:$T,AG$3,0),0)+IFERROR(VLOOKUP($X66,装备强化!$N:$T,AG$3,0),0)+IFERROR(VLOOKUP($Y66,装备强化!$N:$T,AG$3,0),0)+IFERROR(VLOOKUP($Z66,装备强化!$N:$T,AG$3,0),0)+IFERROR(VLOOKUP($AA66,装备强化!$N:$T,AG$3,0),0)+IFERROR(VLOOKUP($AB66,装备强化!$N:$T,AG$3,0),0)+IFERROR(VLOOKUP($AC66,装备强化!$N:$T,AG$3,0)*2,0)+IFERROR(VLOOKUP($AD66,装备强化!$N:$T,AG$3,0)*2,0)</f>
        <v>42.48</v>
      </c>
      <c r="AI66" s="4">
        <f>LOOKUP($B66,装备设定!$B$48:$B$55,装备设定!$F$48:$F$55)*(COUNTA($W66:$AB66)+COUNTA($AC66:$AD66)*2)*AI$3</f>
        <v>126</v>
      </c>
      <c r="AJ66" s="4">
        <f>LOOKUP($B66,装备设定!$B$48:$B$55,装备设定!$F$48:$F$55)*(COUNTA($W66:$AB66)+COUNTA($AC66:$AD66)*2)*AJ$3</f>
        <v>126</v>
      </c>
      <c r="AK66" s="4">
        <f>LOOKUP($B66,装备设定!$B$48:$B$55,装备设定!$F$48:$F$55)*(COUNTA($W66:$AB66)+COUNTA($AC66:$AD66)*2)*AK$3</f>
        <v>126</v>
      </c>
    </row>
    <row r="67" spans="1:37">
      <c r="A67" s="4">
        <f>INT(C67*基础设定!$D$9+D67*基础设定!$D$11+E67*基础设定!$D$14)</f>
        <v>14750</v>
      </c>
      <c r="B67" s="4">
        <v>63</v>
      </c>
      <c r="C67" s="4">
        <f t="shared" si="2"/>
        <v>2091.5</v>
      </c>
      <c r="D67" s="4">
        <f t="shared" si="3"/>
        <v>588.7</v>
      </c>
      <c r="E67" s="4">
        <f t="shared" si="4"/>
        <v>468.03</v>
      </c>
      <c r="F67" s="4">
        <f t="shared" si="5"/>
        <v>120.67</v>
      </c>
      <c r="G67" s="4">
        <f t="shared" si="6"/>
        <v>17.3323941327588</v>
      </c>
      <c r="H67" s="4">
        <f t="shared" si="7"/>
        <v>726.44</v>
      </c>
      <c r="I67" s="4">
        <f t="shared" si="8"/>
        <v>258.41</v>
      </c>
      <c r="J67" s="4">
        <f t="shared" si="9"/>
        <v>8.09372702294803</v>
      </c>
      <c r="N67" s="4">
        <f>N66+职业基础属性!D$3*LOOKUP($B67,职业基础属性!$M$8:$M$16,职业基础属性!$O$8:$O$16)</f>
        <v>695.5</v>
      </c>
      <c r="O67" s="4">
        <f>O66+职业基础属性!F$3*LOOKUP($B67,职业基础属性!$M$8:$M$16,职业基础属性!$O$8:$O$16)</f>
        <v>139.1</v>
      </c>
      <c r="P67" s="4">
        <f>P66+职业基础属性!I$3*LOOKUP($B67,职业基础属性!$M$8:$M$16,职业基础属性!$O$8:$O$16)</f>
        <v>69.55</v>
      </c>
      <c r="R67" s="4">
        <f t="shared" si="11"/>
        <v>46</v>
      </c>
      <c r="S67" s="4">
        <f t="shared" si="12"/>
        <v>460</v>
      </c>
      <c r="T67" s="4">
        <f t="shared" si="12"/>
        <v>230</v>
      </c>
      <c r="U67" s="4">
        <f t="shared" si="12"/>
        <v>230</v>
      </c>
      <c r="W67" s="7" t="str">
        <f>IFERROR(VLOOKUP($B67&amp;"级"&amp;W$4,装备强化!$M:$N,2,0),W66)</f>
        <v>70级通用武器</v>
      </c>
      <c r="X67" s="7" t="str">
        <f>IFERROR(VLOOKUP($B67&amp;"级"&amp;X$4,装备强化!$M:$N,2,0),X66)</f>
        <v>60级通用头盔</v>
      </c>
      <c r="Y67" s="7" t="str">
        <f>IFERROR(VLOOKUP($B67&amp;"级"&amp;Y$4,装备强化!$M:$N,2,0),Y66)</f>
        <v>60级通用衣服</v>
      </c>
      <c r="Z67" s="7" t="str">
        <f>IFERROR(VLOOKUP($B67&amp;"级"&amp;Z$4,装备强化!$M:$N,2,0),Z66)</f>
        <v>60级通用腰带</v>
      </c>
      <c r="AA67" s="7" t="str">
        <f>IFERROR(VLOOKUP($B67&amp;"级"&amp;AA$4,装备强化!$M:$N,2,0),AA66)</f>
        <v>70级通用鞋子</v>
      </c>
      <c r="AB67" s="7" t="str">
        <f>IFERROR(VLOOKUP($B67&amp;"级"&amp;AB$4,装备强化!$M:$N,2,0),AB66)</f>
        <v>60级通用项链</v>
      </c>
      <c r="AC67" s="7" t="str">
        <f>IFERROR(VLOOKUP($B67&amp;"级"&amp;AC$4,装备强化!$M:$N,2,0),AC66)</f>
        <v>60级通用手镯</v>
      </c>
      <c r="AD67" s="7" t="str">
        <f>IFERROR(VLOOKUP($B67&amp;"级"&amp;AD$4,装备强化!$M:$N,2,0),AD66)</f>
        <v>70级通用戒指</v>
      </c>
      <c r="AE67" s="4">
        <f>IFERROR(VLOOKUP($W67,装备强化!$N:$T,AE$3,0),0)+IFERROR(VLOOKUP($X67,装备强化!$N:$T,AE$3,0),0)+IFERROR(VLOOKUP($Y67,装备强化!$N:$T,AE$3,0),0)+IFERROR(VLOOKUP($Z67,装备强化!$N:$T,AE$3,0),0)+IFERROR(VLOOKUP($AA67,装备强化!$N:$T,AE$3,0),0)+IFERROR(VLOOKUP($AB67,装备强化!$N:$T,AE$3,0),0)+IFERROR(VLOOKUP($AC67,装备强化!$N:$T,AE$3,0)*2,0)+IFERROR(VLOOKUP($AD67,装备强化!$N:$T,AE$3,0)*2,0)</f>
        <v>810</v>
      </c>
      <c r="AF67" s="4">
        <f>IFERROR(VLOOKUP($W67,装备强化!$N:$T,AF$3,0),0)+IFERROR(VLOOKUP($X67,装备强化!$N:$T,AF$3,0),0)+IFERROR(VLOOKUP($Y67,装备强化!$N:$T,AF$3,0),0)+IFERROR(VLOOKUP($Z67,装备强化!$N:$T,AF$3,0),0)+IFERROR(VLOOKUP($AA67,装备强化!$N:$T,AF$3,0),0)+IFERROR(VLOOKUP($AB67,装备强化!$N:$T,AF$3,0),0)+IFERROR(VLOOKUP($AC67,装备强化!$N:$T,AF$3,0)*2,0)+IFERROR(VLOOKUP($AD67,装备强化!$N:$T,AF$3,0)*2,0)</f>
        <v>93.6</v>
      </c>
      <c r="AG67" s="4">
        <f>IFERROR(VLOOKUP($W67,装备强化!$N:$T,AG$3,0),0)+IFERROR(VLOOKUP($X67,装备强化!$N:$T,AG$3,0),0)+IFERROR(VLOOKUP($Y67,装备强化!$N:$T,AG$3,0),0)+IFERROR(VLOOKUP($Z67,装备强化!$N:$T,AG$3,0),0)+IFERROR(VLOOKUP($AA67,装备强化!$N:$T,AG$3,0),0)+IFERROR(VLOOKUP($AB67,装备强化!$N:$T,AG$3,0),0)+IFERROR(VLOOKUP($AC67,装备强化!$N:$T,AG$3,0)*2,0)+IFERROR(VLOOKUP($AD67,装备强化!$N:$T,AG$3,0)*2,0)</f>
        <v>42.48</v>
      </c>
      <c r="AI67" s="4">
        <f>LOOKUP($B67,装备设定!$B$48:$B$55,装备设定!$F$48:$F$55)*(COUNTA($W67:$AB67)+COUNTA($AC67:$AD67)*2)*AI$3</f>
        <v>126</v>
      </c>
      <c r="AJ67" s="4">
        <f>LOOKUP($B67,装备设定!$B$48:$B$55,装备设定!$F$48:$F$55)*(COUNTA($W67:$AB67)+COUNTA($AC67:$AD67)*2)*AJ$3</f>
        <v>126</v>
      </c>
      <c r="AK67" s="4">
        <f>LOOKUP($B67,装备设定!$B$48:$B$55,装备设定!$F$48:$F$55)*(COUNTA($W67:$AB67)+COUNTA($AC67:$AD67)*2)*AK$3</f>
        <v>126</v>
      </c>
    </row>
    <row r="68" spans="1:37">
      <c r="A68" s="4">
        <f>INT(C68*基础设定!$D$9+D68*基础设定!$D$11+E68*基础设定!$D$14)</f>
        <v>15017</v>
      </c>
      <c r="B68" s="4">
        <v>64</v>
      </c>
      <c r="C68" s="4">
        <f t="shared" si="2"/>
        <v>2119.5</v>
      </c>
      <c r="D68" s="4">
        <f t="shared" si="3"/>
        <v>601.62</v>
      </c>
      <c r="E68" s="4">
        <f t="shared" si="4"/>
        <v>476.27</v>
      </c>
      <c r="F68" s="4">
        <f t="shared" si="5"/>
        <v>125.35</v>
      </c>
      <c r="G68" s="4">
        <f t="shared" si="6"/>
        <v>16.9086557638612</v>
      </c>
      <c r="H68" s="4">
        <f t="shared" si="7"/>
        <v>741.944</v>
      </c>
      <c r="I68" s="4">
        <f t="shared" si="8"/>
        <v>265.674</v>
      </c>
      <c r="J68" s="4">
        <f t="shared" si="9"/>
        <v>7.97782244404797</v>
      </c>
      <c r="N68" s="4">
        <f>N67+职业基础属性!D$3*LOOKUP($B68,职业基础属性!$M$8:$M$16,职业基础属性!$O$8:$O$16)</f>
        <v>713.5</v>
      </c>
      <c r="O68" s="4">
        <f>O67+职业基础属性!F$3*LOOKUP($B68,职业基础属性!$M$8:$M$16,职业基础属性!$O$8:$O$16)</f>
        <v>142.7</v>
      </c>
      <c r="P68" s="4">
        <f>P67+职业基础属性!I$3*LOOKUP($B68,职业基础属性!$M$8:$M$16,职业基础属性!$O$8:$O$16)</f>
        <v>71.35</v>
      </c>
      <c r="R68" s="4">
        <f t="shared" si="11"/>
        <v>47</v>
      </c>
      <c r="S68" s="4">
        <f t="shared" si="12"/>
        <v>470</v>
      </c>
      <c r="T68" s="4">
        <f t="shared" si="12"/>
        <v>235</v>
      </c>
      <c r="U68" s="4">
        <f t="shared" si="12"/>
        <v>235</v>
      </c>
      <c r="W68" s="7" t="str">
        <f>IFERROR(VLOOKUP($B68&amp;"级"&amp;W$4,装备强化!$M:$N,2,0),W67)</f>
        <v>70级通用武器</v>
      </c>
      <c r="X68" s="7" t="str">
        <f>IFERROR(VLOOKUP($B68&amp;"级"&amp;X$4,装备强化!$M:$N,2,0),X67)</f>
        <v>60级通用头盔</v>
      </c>
      <c r="Y68" s="7" t="str">
        <f>IFERROR(VLOOKUP($B68&amp;"级"&amp;Y$4,装备强化!$M:$N,2,0),Y67)</f>
        <v>60级通用衣服</v>
      </c>
      <c r="Z68" s="7" t="str">
        <f>IFERROR(VLOOKUP($B68&amp;"级"&amp;Z$4,装备强化!$M:$N,2,0),Z67)</f>
        <v>60级通用腰带</v>
      </c>
      <c r="AA68" s="7" t="str">
        <f>IFERROR(VLOOKUP($B68&amp;"级"&amp;AA$4,装备强化!$M:$N,2,0),AA67)</f>
        <v>70级通用鞋子</v>
      </c>
      <c r="AB68" s="7" t="str">
        <f>IFERROR(VLOOKUP($B68&amp;"级"&amp;AB$4,装备强化!$M:$N,2,0),AB67)</f>
        <v>70级通用项链</v>
      </c>
      <c r="AC68" s="7" t="str">
        <f>IFERROR(VLOOKUP($B68&amp;"级"&amp;AC$4,装备强化!$M:$N,2,0),AC67)</f>
        <v>60级通用手镯</v>
      </c>
      <c r="AD68" s="7" t="str">
        <f>IFERROR(VLOOKUP($B68&amp;"级"&amp;AD$4,装备强化!$M:$N,2,0),AD67)</f>
        <v>70级通用戒指</v>
      </c>
      <c r="AE68" s="4">
        <f>IFERROR(VLOOKUP($W68,装备强化!$N:$T,AE$3,0),0)+IFERROR(VLOOKUP($X68,装备强化!$N:$T,AE$3,0),0)+IFERROR(VLOOKUP($Y68,装备强化!$N:$T,AE$3,0),0)+IFERROR(VLOOKUP($Z68,装备强化!$N:$T,AE$3,0),0)+IFERROR(VLOOKUP($AA68,装备强化!$N:$T,AE$3,0),0)+IFERROR(VLOOKUP($AB68,装备强化!$N:$T,AE$3,0),0)+IFERROR(VLOOKUP($AC68,装备强化!$N:$T,AE$3,0)*2,0)+IFERROR(VLOOKUP($AD68,装备强化!$N:$T,AE$3,0)*2,0)</f>
        <v>810</v>
      </c>
      <c r="AF68" s="4">
        <f>IFERROR(VLOOKUP($W68,装备强化!$N:$T,AF$3,0),0)+IFERROR(VLOOKUP($X68,装备强化!$N:$T,AF$3,0),0)+IFERROR(VLOOKUP($Y68,装备强化!$N:$T,AF$3,0),0)+IFERROR(VLOOKUP($Z68,装备强化!$N:$T,AF$3,0),0)+IFERROR(VLOOKUP($AA68,装备强化!$N:$T,AF$3,0),0)+IFERROR(VLOOKUP($AB68,装备强化!$N:$T,AF$3,0),0)+IFERROR(VLOOKUP($AC68,装备强化!$N:$T,AF$3,0)*2,0)+IFERROR(VLOOKUP($AD68,装备强化!$N:$T,AF$3,0)*2,0)</f>
        <v>97.92</v>
      </c>
      <c r="AG68" s="4">
        <f>IFERROR(VLOOKUP($W68,装备强化!$N:$T,AG$3,0),0)+IFERROR(VLOOKUP($X68,装备强化!$N:$T,AG$3,0),0)+IFERROR(VLOOKUP($Y68,装备强化!$N:$T,AG$3,0),0)+IFERROR(VLOOKUP($Z68,装备强化!$N:$T,AG$3,0),0)+IFERROR(VLOOKUP($AA68,装备强化!$N:$T,AG$3,0),0)+IFERROR(VLOOKUP($AB68,装备强化!$N:$T,AG$3,0),0)+IFERROR(VLOOKUP($AC68,装备强化!$N:$T,AG$3,0)*2,0)+IFERROR(VLOOKUP($AD68,装备强化!$N:$T,AG$3,0)*2,0)</f>
        <v>43.92</v>
      </c>
      <c r="AI68" s="4">
        <f>LOOKUP($B68,装备设定!$B$48:$B$55,装备设定!$F$48:$F$55)*(COUNTA($W68:$AB68)+COUNTA($AC68:$AD68)*2)*AI$3</f>
        <v>126</v>
      </c>
      <c r="AJ68" s="4">
        <f>LOOKUP($B68,装备设定!$B$48:$B$55,装备设定!$F$48:$F$55)*(COUNTA($W68:$AB68)+COUNTA($AC68:$AD68)*2)*AJ$3</f>
        <v>126</v>
      </c>
      <c r="AK68" s="4">
        <f>LOOKUP($B68,装备设定!$B$48:$B$55,装备设定!$F$48:$F$55)*(COUNTA($W68:$AB68)+COUNTA($AC68:$AD68)*2)*AK$3</f>
        <v>126</v>
      </c>
    </row>
    <row r="69" spans="1:37">
      <c r="A69" s="4">
        <f>INT(C69*基础设定!$D$9+D69*基础设定!$D$11+E69*基础设定!$D$14)</f>
        <v>15273</v>
      </c>
      <c r="B69" s="4">
        <v>65</v>
      </c>
      <c r="C69" s="4">
        <f t="shared" si="2"/>
        <v>2202.3</v>
      </c>
      <c r="D69" s="4">
        <f t="shared" si="3"/>
        <v>605.22</v>
      </c>
      <c r="E69" s="4">
        <f t="shared" si="4"/>
        <v>481.67</v>
      </c>
      <c r="F69" s="4">
        <f t="shared" si="5"/>
        <v>123.55</v>
      </c>
      <c r="G69" s="4">
        <f t="shared" si="6"/>
        <v>17.8251719951437</v>
      </c>
      <c r="H69" s="4">
        <f t="shared" si="7"/>
        <v>746.264</v>
      </c>
      <c r="I69" s="4">
        <f t="shared" si="8"/>
        <v>264.594</v>
      </c>
      <c r="J69" s="4">
        <f t="shared" si="9"/>
        <v>8.32331798907005</v>
      </c>
      <c r="N69" s="4">
        <f>N68+职业基础属性!D$3*LOOKUP($B69,职业基础属性!$M$8:$M$16,职业基础属性!$O$8:$O$16)</f>
        <v>731.5</v>
      </c>
      <c r="O69" s="4">
        <f>O68+职业基础属性!F$3*LOOKUP($B69,职业基础属性!$M$8:$M$16,职业基础属性!$O$8:$O$16)</f>
        <v>146.3</v>
      </c>
      <c r="P69" s="4">
        <f>P68+职业基础属性!I$3*LOOKUP($B69,职业基础属性!$M$8:$M$16,职业基础属性!$O$8:$O$16)</f>
        <v>73.15</v>
      </c>
      <c r="R69" s="4">
        <f t="shared" si="11"/>
        <v>47</v>
      </c>
      <c r="S69" s="4">
        <f t="shared" si="12"/>
        <v>470</v>
      </c>
      <c r="T69" s="4">
        <f t="shared" si="12"/>
        <v>235</v>
      </c>
      <c r="U69" s="4">
        <f t="shared" si="12"/>
        <v>235</v>
      </c>
      <c r="W69" s="7" t="str">
        <f>IFERROR(VLOOKUP($B69&amp;"级"&amp;W$4,装备强化!$M:$N,2,0),W68)</f>
        <v>70级通用武器</v>
      </c>
      <c r="X69" s="7" t="str">
        <f>IFERROR(VLOOKUP($B69&amp;"级"&amp;X$4,装备强化!$M:$N,2,0),X68)</f>
        <v>60级通用头盔</v>
      </c>
      <c r="Y69" s="7" t="str">
        <f>IFERROR(VLOOKUP($B69&amp;"级"&amp;Y$4,装备强化!$M:$N,2,0),Y68)</f>
        <v>70级通用衣服</v>
      </c>
      <c r="Z69" s="7" t="str">
        <f>IFERROR(VLOOKUP($B69&amp;"级"&amp;Z$4,装备强化!$M:$N,2,0),Z68)</f>
        <v>60级通用腰带</v>
      </c>
      <c r="AA69" s="7" t="str">
        <f>IFERROR(VLOOKUP($B69&amp;"级"&amp;AA$4,装备强化!$M:$N,2,0),AA68)</f>
        <v>70级通用鞋子</v>
      </c>
      <c r="AB69" s="7" t="str">
        <f>IFERROR(VLOOKUP($B69&amp;"级"&amp;AB$4,装备强化!$M:$N,2,0),AB68)</f>
        <v>70级通用项链</v>
      </c>
      <c r="AC69" s="7" t="str">
        <f>IFERROR(VLOOKUP($B69&amp;"级"&amp;AC$4,装备强化!$M:$N,2,0),AC68)</f>
        <v>60级通用手镯</v>
      </c>
      <c r="AD69" s="7" t="str">
        <f>IFERROR(VLOOKUP($B69&amp;"级"&amp;AD$4,装备强化!$M:$N,2,0),AD68)</f>
        <v>70级通用戒指</v>
      </c>
      <c r="AE69" s="4">
        <f>IFERROR(VLOOKUP($W69,装备强化!$N:$T,AE$3,0),0)+IFERROR(VLOOKUP($X69,装备强化!$N:$T,AE$3,0),0)+IFERROR(VLOOKUP($Y69,装备强化!$N:$T,AE$3,0),0)+IFERROR(VLOOKUP($Z69,装备强化!$N:$T,AE$3,0),0)+IFERROR(VLOOKUP($AA69,装备强化!$N:$T,AE$3,0),0)+IFERROR(VLOOKUP($AB69,装备强化!$N:$T,AE$3,0),0)+IFERROR(VLOOKUP($AC69,装备强化!$N:$T,AE$3,0)*2,0)+IFERROR(VLOOKUP($AD69,装备强化!$N:$T,AE$3,0)*2,0)</f>
        <v>874.8</v>
      </c>
      <c r="AF69" s="4">
        <f>IFERROR(VLOOKUP($W69,装备强化!$N:$T,AF$3,0),0)+IFERROR(VLOOKUP($X69,装备强化!$N:$T,AF$3,0),0)+IFERROR(VLOOKUP($Y69,装备强化!$N:$T,AF$3,0),0)+IFERROR(VLOOKUP($Z69,装备强化!$N:$T,AF$3,0),0)+IFERROR(VLOOKUP($AA69,装备强化!$N:$T,AF$3,0),0)+IFERROR(VLOOKUP($AB69,装备强化!$N:$T,AF$3,0),0)+IFERROR(VLOOKUP($AC69,装备强化!$N:$T,AF$3,0)*2,0)+IFERROR(VLOOKUP($AD69,装备强化!$N:$T,AF$3,0)*2,0)</f>
        <v>97.92</v>
      </c>
      <c r="AG69" s="4">
        <f>IFERROR(VLOOKUP($W69,装备强化!$N:$T,AG$3,0),0)+IFERROR(VLOOKUP($X69,装备强化!$N:$T,AG$3,0),0)+IFERROR(VLOOKUP($Y69,装备强化!$N:$T,AG$3,0),0)+IFERROR(VLOOKUP($Z69,装备强化!$N:$T,AG$3,0),0)+IFERROR(VLOOKUP($AA69,装备强化!$N:$T,AG$3,0),0)+IFERROR(VLOOKUP($AB69,装备强化!$N:$T,AG$3,0),0)+IFERROR(VLOOKUP($AC69,装备强化!$N:$T,AG$3,0)*2,0)+IFERROR(VLOOKUP($AD69,装备强化!$N:$T,AG$3,0)*2,0)</f>
        <v>47.52</v>
      </c>
      <c r="AI69" s="4">
        <f>LOOKUP($B69,装备设定!$B$48:$B$55,装备设定!$F$48:$F$55)*(COUNTA($W69:$AB69)+COUNTA($AC69:$AD69)*2)*AI$3</f>
        <v>126</v>
      </c>
      <c r="AJ69" s="4">
        <f>LOOKUP($B69,装备设定!$B$48:$B$55,装备设定!$F$48:$F$55)*(COUNTA($W69:$AB69)+COUNTA($AC69:$AD69)*2)*AJ$3</f>
        <v>126</v>
      </c>
      <c r="AK69" s="4">
        <f>LOOKUP($B69,装备设定!$B$48:$B$55,装备设定!$F$48:$F$55)*(COUNTA($W69:$AB69)+COUNTA($AC69:$AD69)*2)*AK$3</f>
        <v>126</v>
      </c>
    </row>
    <row r="70" spans="1:37">
      <c r="A70" s="4">
        <f>INT(C70*基础设定!$D$9+D70*基础设定!$D$11+E70*基础设定!$D$14)</f>
        <v>15670</v>
      </c>
      <c r="B70" s="4">
        <v>66</v>
      </c>
      <c r="C70" s="4">
        <f t="shared" ref="C70:C84" si="13">N70+AE70+AI70+S70</f>
        <v>2295.1</v>
      </c>
      <c r="D70" s="4">
        <f t="shared" ref="D70:D84" si="14">O70+AF70+AJ70+T70</f>
        <v>619.58</v>
      </c>
      <c r="E70" s="4">
        <f t="shared" ref="E70:E84" si="15">P70+AG70+AK70+U70</f>
        <v>488.47</v>
      </c>
      <c r="F70" s="4">
        <f t="shared" ref="F70:F84" si="16">D70-E70</f>
        <v>131.11</v>
      </c>
      <c r="G70" s="4">
        <f t="shared" ref="G70:G84" si="17">C70/F70</f>
        <v>17.5051483487148</v>
      </c>
      <c r="H70" s="4">
        <f t="shared" ref="H70:H84" si="18">D70*1.2+20</f>
        <v>763.496</v>
      </c>
      <c r="I70" s="4">
        <f t="shared" ref="I70:I84" si="19">H70-E70</f>
        <v>275.026</v>
      </c>
      <c r="J70" s="4">
        <f t="shared" ref="J70:J84" si="20">C70/I70</f>
        <v>8.34502919723954</v>
      </c>
      <c r="N70" s="4">
        <f>N69+职业基础属性!D$3*LOOKUP($B70,职业基础属性!$M$8:$M$16,职业基础属性!$O$8:$O$16)</f>
        <v>749.5</v>
      </c>
      <c r="O70" s="4">
        <f>O69+职业基础属性!F$3*LOOKUP($B70,职业基础属性!$M$8:$M$16,职业基础属性!$O$8:$O$16)</f>
        <v>149.9</v>
      </c>
      <c r="P70" s="4">
        <f>P69+职业基础属性!I$3*LOOKUP($B70,职业基础属性!$M$8:$M$16,职业基础属性!$O$8:$O$16)</f>
        <v>74.95</v>
      </c>
      <c r="R70" s="4">
        <f t="shared" si="11"/>
        <v>48</v>
      </c>
      <c r="S70" s="4">
        <f t="shared" si="12"/>
        <v>480</v>
      </c>
      <c r="T70" s="4">
        <f t="shared" si="12"/>
        <v>240</v>
      </c>
      <c r="U70" s="4">
        <f t="shared" si="12"/>
        <v>240</v>
      </c>
      <c r="W70" s="7" t="str">
        <f>IFERROR(VLOOKUP($B70&amp;"级"&amp;W$4,装备强化!$M:$N,2,0),W69)</f>
        <v>70级通用武器</v>
      </c>
      <c r="X70" s="7" t="str">
        <f>IFERROR(VLOOKUP($B70&amp;"级"&amp;X$4,装备强化!$M:$N,2,0),X69)</f>
        <v>60级通用头盔</v>
      </c>
      <c r="Y70" s="7" t="str">
        <f>IFERROR(VLOOKUP($B70&amp;"级"&amp;Y$4,装备强化!$M:$N,2,0),Y69)</f>
        <v>70级通用衣服</v>
      </c>
      <c r="Z70" s="7" t="str">
        <f>IFERROR(VLOOKUP($B70&amp;"级"&amp;Z$4,装备强化!$M:$N,2,0),Z69)</f>
        <v>60级通用腰带</v>
      </c>
      <c r="AA70" s="7" t="str">
        <f>IFERROR(VLOOKUP($B70&amp;"级"&amp;AA$4,装备强化!$M:$N,2,0),AA69)</f>
        <v>70级通用鞋子</v>
      </c>
      <c r="AB70" s="7" t="str">
        <f>IFERROR(VLOOKUP($B70&amp;"级"&amp;AB$4,装备强化!$M:$N,2,0),AB69)</f>
        <v>70级通用项链</v>
      </c>
      <c r="AC70" s="7" t="str">
        <f>IFERROR(VLOOKUP($B70&amp;"级"&amp;AC$4,装备强化!$M:$N,2,0),AC69)</f>
        <v>70级通用手镯</v>
      </c>
      <c r="AD70" s="7" t="str">
        <f>IFERROR(VLOOKUP($B70&amp;"级"&amp;AD$4,装备强化!$M:$N,2,0),AD69)</f>
        <v>70级通用戒指</v>
      </c>
      <c r="AE70" s="4">
        <f>IFERROR(VLOOKUP($W70,装备强化!$N:$T,AE$3,0),0)+IFERROR(VLOOKUP($X70,装备强化!$N:$T,AE$3,0),0)+IFERROR(VLOOKUP($Y70,装备强化!$N:$T,AE$3,0),0)+IFERROR(VLOOKUP($Z70,装备强化!$N:$T,AE$3,0),0)+IFERROR(VLOOKUP($AA70,装备强化!$N:$T,AE$3,0),0)+IFERROR(VLOOKUP($AB70,装备强化!$N:$T,AE$3,0),0)+IFERROR(VLOOKUP($AC70,装备强化!$N:$T,AE$3,0)*2,0)+IFERROR(VLOOKUP($AD70,装备强化!$N:$T,AE$3,0)*2,0)</f>
        <v>939.6</v>
      </c>
      <c r="AF70" s="4">
        <f>IFERROR(VLOOKUP($W70,装备强化!$N:$T,AF$3,0),0)+IFERROR(VLOOKUP($X70,装备强化!$N:$T,AF$3,0),0)+IFERROR(VLOOKUP($Y70,装备强化!$N:$T,AF$3,0),0)+IFERROR(VLOOKUP($Z70,装备强化!$N:$T,AF$3,0),0)+IFERROR(VLOOKUP($AA70,装备强化!$N:$T,AF$3,0),0)+IFERROR(VLOOKUP($AB70,装备强化!$N:$T,AF$3,0),0)+IFERROR(VLOOKUP($AC70,装备强化!$N:$T,AF$3,0)*2,0)+IFERROR(VLOOKUP($AD70,装备强化!$N:$T,AF$3,0)*2,0)</f>
        <v>103.68</v>
      </c>
      <c r="AG70" s="4">
        <f>IFERROR(VLOOKUP($W70,装备强化!$N:$T,AG$3,0),0)+IFERROR(VLOOKUP($X70,装备强化!$N:$T,AG$3,0),0)+IFERROR(VLOOKUP($Y70,装备强化!$N:$T,AG$3,0),0)+IFERROR(VLOOKUP($Z70,装备强化!$N:$T,AG$3,0),0)+IFERROR(VLOOKUP($AA70,装备强化!$N:$T,AG$3,0),0)+IFERROR(VLOOKUP($AB70,装备强化!$N:$T,AG$3,0),0)+IFERROR(VLOOKUP($AC70,装备强化!$N:$T,AG$3,0)*2,0)+IFERROR(VLOOKUP($AD70,装备强化!$N:$T,AG$3,0)*2,0)</f>
        <v>47.52</v>
      </c>
      <c r="AI70" s="4">
        <f>LOOKUP($B70,装备设定!$B$48:$B$55,装备设定!$F$48:$F$55)*(COUNTA($W70:$AB70)+COUNTA($AC70:$AD70)*2)*AI$3</f>
        <v>126</v>
      </c>
      <c r="AJ70" s="4">
        <f>LOOKUP($B70,装备设定!$B$48:$B$55,装备设定!$F$48:$F$55)*(COUNTA($W70:$AB70)+COUNTA($AC70:$AD70)*2)*AJ$3</f>
        <v>126</v>
      </c>
      <c r="AK70" s="4">
        <f>LOOKUP($B70,装备设定!$B$48:$B$55,装备设定!$F$48:$F$55)*(COUNTA($W70:$AB70)+COUNTA($AC70:$AD70)*2)*AK$3</f>
        <v>126</v>
      </c>
    </row>
    <row r="71" spans="1:37">
      <c r="A71" s="4">
        <f>INT(C71*基础设定!$D$9+D71*基础设定!$D$11+E71*基础设定!$D$14)</f>
        <v>15839</v>
      </c>
      <c r="B71" s="4">
        <v>67</v>
      </c>
      <c r="C71" s="4">
        <f t="shared" si="13"/>
        <v>2313.1</v>
      </c>
      <c r="D71" s="4">
        <f t="shared" si="14"/>
        <v>627.5</v>
      </c>
      <c r="E71" s="4">
        <f t="shared" si="15"/>
        <v>493.87</v>
      </c>
      <c r="F71" s="4">
        <f t="shared" si="16"/>
        <v>133.63</v>
      </c>
      <c r="G71" s="4">
        <f t="shared" si="17"/>
        <v>17.309735837761</v>
      </c>
      <c r="H71" s="4">
        <f t="shared" si="18"/>
        <v>773</v>
      </c>
      <c r="I71" s="4">
        <f t="shared" si="19"/>
        <v>279.13</v>
      </c>
      <c r="J71" s="4">
        <f t="shared" si="20"/>
        <v>8.2868197614015</v>
      </c>
      <c r="N71" s="4">
        <f>N70+职业基础属性!D$3*LOOKUP($B71,职业基础属性!$M$8:$M$16,职业基础属性!$O$8:$O$16)</f>
        <v>767.5</v>
      </c>
      <c r="O71" s="4">
        <f>O70+职业基础属性!F$3*LOOKUP($B71,职业基础属性!$M$8:$M$16,职业基础属性!$O$8:$O$16)</f>
        <v>153.5</v>
      </c>
      <c r="P71" s="4">
        <f>P70+职业基础属性!I$3*LOOKUP($B71,职业基础属性!$M$8:$M$16,职业基础属性!$O$8:$O$16)</f>
        <v>76.75</v>
      </c>
      <c r="R71" s="4">
        <f t="shared" si="11"/>
        <v>48</v>
      </c>
      <c r="S71" s="4">
        <f t="shared" si="12"/>
        <v>480</v>
      </c>
      <c r="T71" s="4">
        <f t="shared" si="12"/>
        <v>240</v>
      </c>
      <c r="U71" s="4">
        <f t="shared" si="12"/>
        <v>240</v>
      </c>
      <c r="W71" s="7" t="str">
        <f>IFERROR(VLOOKUP($B71&amp;"级"&amp;W$4,装备强化!$M:$N,2,0),W70)</f>
        <v>70级通用武器</v>
      </c>
      <c r="X71" s="7" t="str">
        <f>IFERROR(VLOOKUP($B71&amp;"级"&amp;X$4,装备强化!$M:$N,2,0),X70)</f>
        <v>70级通用头盔</v>
      </c>
      <c r="Y71" s="7" t="str">
        <f>IFERROR(VLOOKUP($B71&amp;"级"&amp;Y$4,装备强化!$M:$N,2,0),Y70)</f>
        <v>70级通用衣服</v>
      </c>
      <c r="Z71" s="7" t="str">
        <f>IFERROR(VLOOKUP($B71&amp;"级"&amp;Z$4,装备强化!$M:$N,2,0),Z70)</f>
        <v>60级通用腰带</v>
      </c>
      <c r="AA71" s="7" t="str">
        <f>IFERROR(VLOOKUP($B71&amp;"级"&amp;AA$4,装备强化!$M:$N,2,0),AA70)</f>
        <v>70级通用鞋子</v>
      </c>
      <c r="AB71" s="7" t="str">
        <f>IFERROR(VLOOKUP($B71&amp;"级"&amp;AB$4,装备强化!$M:$N,2,0),AB70)</f>
        <v>70级通用项链</v>
      </c>
      <c r="AC71" s="7" t="str">
        <f>IFERROR(VLOOKUP($B71&amp;"级"&amp;AC$4,装备强化!$M:$N,2,0),AC70)</f>
        <v>70级通用手镯</v>
      </c>
      <c r="AD71" s="7" t="str">
        <f>IFERROR(VLOOKUP($B71&amp;"级"&amp;AD$4,装备强化!$M:$N,2,0),AD70)</f>
        <v>70级通用戒指</v>
      </c>
      <c r="AE71" s="4">
        <f>IFERROR(VLOOKUP($W71,装备强化!$N:$T,AE$3,0),0)+IFERROR(VLOOKUP($X71,装备强化!$N:$T,AE$3,0),0)+IFERROR(VLOOKUP($Y71,装备强化!$N:$T,AE$3,0),0)+IFERROR(VLOOKUP($Z71,装备强化!$N:$T,AE$3,0),0)+IFERROR(VLOOKUP($AA71,装备强化!$N:$T,AE$3,0),0)+IFERROR(VLOOKUP($AB71,装备强化!$N:$T,AE$3,0),0)+IFERROR(VLOOKUP($AC71,装备强化!$N:$T,AE$3,0)*2,0)+IFERROR(VLOOKUP($AD71,装备强化!$N:$T,AE$3,0)*2,0)</f>
        <v>939.6</v>
      </c>
      <c r="AF71" s="4">
        <f>IFERROR(VLOOKUP($W71,装备强化!$N:$T,AF$3,0),0)+IFERROR(VLOOKUP($X71,装备强化!$N:$T,AF$3,0),0)+IFERROR(VLOOKUP($Y71,装备强化!$N:$T,AF$3,0),0)+IFERROR(VLOOKUP($Z71,装备强化!$N:$T,AF$3,0),0)+IFERROR(VLOOKUP($AA71,装备强化!$N:$T,AF$3,0),0)+IFERROR(VLOOKUP($AB71,装备强化!$N:$T,AF$3,0),0)+IFERROR(VLOOKUP($AC71,装备强化!$N:$T,AF$3,0)*2,0)+IFERROR(VLOOKUP($AD71,装备强化!$N:$T,AF$3,0)*2,0)</f>
        <v>108</v>
      </c>
      <c r="AG71" s="4">
        <f>IFERROR(VLOOKUP($W71,装备强化!$N:$T,AG$3,0),0)+IFERROR(VLOOKUP($X71,装备强化!$N:$T,AG$3,0),0)+IFERROR(VLOOKUP($Y71,装备强化!$N:$T,AG$3,0),0)+IFERROR(VLOOKUP($Z71,装备强化!$N:$T,AG$3,0),0)+IFERROR(VLOOKUP($AA71,装备强化!$N:$T,AG$3,0),0)+IFERROR(VLOOKUP($AB71,装备强化!$N:$T,AG$3,0),0)+IFERROR(VLOOKUP($AC71,装备强化!$N:$T,AG$3,0)*2,0)+IFERROR(VLOOKUP($AD71,装备强化!$N:$T,AG$3,0)*2,0)</f>
        <v>51.12</v>
      </c>
      <c r="AI71" s="4">
        <f>LOOKUP($B71,装备设定!$B$48:$B$55,装备设定!$F$48:$F$55)*(COUNTA($W71:$AB71)+COUNTA($AC71:$AD71)*2)*AI$3</f>
        <v>126</v>
      </c>
      <c r="AJ71" s="4">
        <f>LOOKUP($B71,装备设定!$B$48:$B$55,装备设定!$F$48:$F$55)*(COUNTA($W71:$AB71)+COUNTA($AC71:$AD71)*2)*AJ$3</f>
        <v>126</v>
      </c>
      <c r="AK71" s="4">
        <f>LOOKUP($B71,装备设定!$B$48:$B$55,装备设定!$F$48:$F$55)*(COUNTA($W71:$AB71)+COUNTA($AC71:$AD71)*2)*AK$3</f>
        <v>126</v>
      </c>
    </row>
    <row r="72" spans="1:37">
      <c r="A72" s="4">
        <f>INT(C72*基础设定!$D$9+D72*基础设定!$D$11+E72*基础设定!$D$14)</f>
        <v>16143</v>
      </c>
      <c r="B72" s="4">
        <v>68</v>
      </c>
      <c r="C72" s="4">
        <f t="shared" si="13"/>
        <v>2373.5</v>
      </c>
      <c r="D72" s="4">
        <f t="shared" si="14"/>
        <v>636.1</v>
      </c>
      <c r="E72" s="4">
        <f t="shared" si="15"/>
        <v>503.55</v>
      </c>
      <c r="F72" s="4">
        <f t="shared" si="16"/>
        <v>132.55</v>
      </c>
      <c r="G72" s="4">
        <f t="shared" si="17"/>
        <v>17.9064503960769</v>
      </c>
      <c r="H72" s="4">
        <f t="shared" si="18"/>
        <v>783.32</v>
      </c>
      <c r="I72" s="4">
        <f t="shared" si="19"/>
        <v>279.77</v>
      </c>
      <c r="J72" s="4">
        <f t="shared" si="20"/>
        <v>8.48375451263538</v>
      </c>
      <c r="N72" s="4">
        <f>N71+职业基础属性!D$3*LOOKUP($B72,职业基础属性!$M$8:$M$16,职业基础属性!$O$8:$O$16)</f>
        <v>785.5</v>
      </c>
      <c r="O72" s="4">
        <f>O71+职业基础属性!F$3*LOOKUP($B72,职业基础属性!$M$8:$M$16,职业基础属性!$O$8:$O$16)</f>
        <v>157.1</v>
      </c>
      <c r="P72" s="4">
        <f>P71+职业基础属性!I$3*LOOKUP($B72,职业基础属性!$M$8:$M$16,职业基础属性!$O$8:$O$16)</f>
        <v>78.55</v>
      </c>
      <c r="R72" s="4">
        <f t="shared" si="11"/>
        <v>49</v>
      </c>
      <c r="S72" s="4">
        <f t="shared" si="12"/>
        <v>490</v>
      </c>
      <c r="T72" s="4">
        <f t="shared" si="12"/>
        <v>245</v>
      </c>
      <c r="U72" s="4">
        <f t="shared" si="12"/>
        <v>245</v>
      </c>
      <c r="W72" s="7" t="str">
        <f>IFERROR(VLOOKUP($B72&amp;"级"&amp;W$4,装备强化!$M:$N,2,0),W71)</f>
        <v>70级通用武器</v>
      </c>
      <c r="X72" s="7" t="str">
        <f>IFERROR(VLOOKUP($B72&amp;"级"&amp;X$4,装备强化!$M:$N,2,0),X71)</f>
        <v>70级通用头盔</v>
      </c>
      <c r="Y72" s="7" t="str">
        <f>IFERROR(VLOOKUP($B72&amp;"级"&amp;Y$4,装备强化!$M:$N,2,0),Y71)</f>
        <v>70级通用衣服</v>
      </c>
      <c r="Z72" s="7" t="str">
        <f>IFERROR(VLOOKUP($B72&amp;"级"&amp;Z$4,装备强化!$M:$N,2,0),Z71)</f>
        <v>70级通用腰带</v>
      </c>
      <c r="AA72" s="7" t="str">
        <f>IFERROR(VLOOKUP($B72&amp;"级"&amp;AA$4,装备强化!$M:$N,2,0),AA71)</f>
        <v>70级通用鞋子</v>
      </c>
      <c r="AB72" s="7" t="str">
        <f>IFERROR(VLOOKUP($B72&amp;"级"&amp;AB$4,装备强化!$M:$N,2,0),AB71)</f>
        <v>70级通用项链</v>
      </c>
      <c r="AC72" s="7" t="str">
        <f>IFERROR(VLOOKUP($B72&amp;"级"&amp;AC$4,装备强化!$M:$N,2,0),AC71)</f>
        <v>70级通用手镯</v>
      </c>
      <c r="AD72" s="7" t="str">
        <f>IFERROR(VLOOKUP($B72&amp;"级"&amp;AD$4,装备强化!$M:$N,2,0),AD71)</f>
        <v>70级通用戒指</v>
      </c>
      <c r="AE72" s="4">
        <f>IFERROR(VLOOKUP($W72,装备强化!$N:$T,AE$3,0),0)+IFERROR(VLOOKUP($X72,装备强化!$N:$T,AE$3,0),0)+IFERROR(VLOOKUP($Y72,装备强化!$N:$T,AE$3,0),0)+IFERROR(VLOOKUP($Z72,装备强化!$N:$T,AE$3,0),0)+IFERROR(VLOOKUP($AA72,装备强化!$N:$T,AE$3,0),0)+IFERROR(VLOOKUP($AB72,装备强化!$N:$T,AE$3,0),0)+IFERROR(VLOOKUP($AC72,装备强化!$N:$T,AE$3,0)*2,0)+IFERROR(VLOOKUP($AD72,装备强化!$N:$T,AE$3,0)*2,0)</f>
        <v>972</v>
      </c>
      <c r="AF72" s="4">
        <f>IFERROR(VLOOKUP($W72,装备强化!$N:$T,AF$3,0),0)+IFERROR(VLOOKUP($X72,装备强化!$N:$T,AF$3,0),0)+IFERROR(VLOOKUP($Y72,装备强化!$N:$T,AF$3,0),0)+IFERROR(VLOOKUP($Z72,装备强化!$N:$T,AF$3,0),0)+IFERROR(VLOOKUP($AA72,装备强化!$N:$T,AF$3,0),0)+IFERROR(VLOOKUP($AB72,装备强化!$N:$T,AF$3,0),0)+IFERROR(VLOOKUP($AC72,装备强化!$N:$T,AF$3,0)*2,0)+IFERROR(VLOOKUP($AD72,装备强化!$N:$T,AF$3,0)*2,0)</f>
        <v>108</v>
      </c>
      <c r="AG72" s="4">
        <f>IFERROR(VLOOKUP($W72,装备强化!$N:$T,AG$3,0),0)+IFERROR(VLOOKUP($X72,装备强化!$N:$T,AG$3,0),0)+IFERROR(VLOOKUP($Y72,装备强化!$N:$T,AG$3,0),0)+IFERROR(VLOOKUP($Z72,装备强化!$N:$T,AG$3,0),0)+IFERROR(VLOOKUP($AA72,装备强化!$N:$T,AG$3,0),0)+IFERROR(VLOOKUP($AB72,装备强化!$N:$T,AG$3,0),0)+IFERROR(VLOOKUP($AC72,装备强化!$N:$T,AG$3,0)*2,0)+IFERROR(VLOOKUP($AD72,装备强化!$N:$T,AG$3,0)*2,0)</f>
        <v>54</v>
      </c>
      <c r="AI72" s="4">
        <f>LOOKUP($B72,装备设定!$B$48:$B$55,装备设定!$F$48:$F$55)*(COUNTA($W72:$AB72)+COUNTA($AC72:$AD72)*2)*AI$3</f>
        <v>126</v>
      </c>
      <c r="AJ72" s="4">
        <f>LOOKUP($B72,装备设定!$B$48:$B$55,装备设定!$F$48:$F$55)*(COUNTA($W72:$AB72)+COUNTA($AC72:$AD72)*2)*AJ$3</f>
        <v>126</v>
      </c>
      <c r="AK72" s="4">
        <f>LOOKUP($B72,装备设定!$B$48:$B$55,装备设定!$F$48:$F$55)*(COUNTA($W72:$AB72)+COUNTA($AC72:$AD72)*2)*AK$3</f>
        <v>126</v>
      </c>
    </row>
    <row r="73" spans="1:37">
      <c r="A73" s="4">
        <f>INT(C73*基础设定!$D$9+D73*基础设定!$D$11+E73*基础设定!$D$14)</f>
        <v>16233</v>
      </c>
      <c r="B73" s="4">
        <v>69</v>
      </c>
      <c r="C73" s="4">
        <f t="shared" si="13"/>
        <v>2391.5</v>
      </c>
      <c r="D73" s="4">
        <f t="shared" si="14"/>
        <v>639.7</v>
      </c>
      <c r="E73" s="4">
        <f t="shared" si="15"/>
        <v>505.35</v>
      </c>
      <c r="F73" s="4">
        <f t="shared" si="16"/>
        <v>134.35</v>
      </c>
      <c r="G73" s="4">
        <f t="shared" si="17"/>
        <v>17.8005210271678</v>
      </c>
      <c r="H73" s="4">
        <f t="shared" si="18"/>
        <v>787.64</v>
      </c>
      <c r="I73" s="4">
        <f t="shared" si="19"/>
        <v>282.29</v>
      </c>
      <c r="J73" s="4">
        <f t="shared" si="20"/>
        <v>8.47178433525807</v>
      </c>
      <c r="N73" s="4">
        <f>N72+职业基础属性!D$3*LOOKUP($B73,职业基础属性!$M$8:$M$16,职业基础属性!$O$8:$O$16)</f>
        <v>803.5</v>
      </c>
      <c r="O73" s="4">
        <f>O72+职业基础属性!F$3*LOOKUP($B73,职业基础属性!$M$8:$M$16,职业基础属性!$O$8:$O$16)</f>
        <v>160.7</v>
      </c>
      <c r="P73" s="4">
        <f>P72+职业基础属性!I$3*LOOKUP($B73,职业基础属性!$M$8:$M$16,职业基础属性!$O$8:$O$16)</f>
        <v>80.35</v>
      </c>
      <c r="R73" s="4">
        <f t="shared" si="11"/>
        <v>49</v>
      </c>
      <c r="S73" s="4">
        <f t="shared" si="12"/>
        <v>490</v>
      </c>
      <c r="T73" s="4">
        <f t="shared" si="12"/>
        <v>245</v>
      </c>
      <c r="U73" s="4">
        <f t="shared" si="12"/>
        <v>245</v>
      </c>
      <c r="W73" s="7" t="str">
        <f>IFERROR(VLOOKUP($B73&amp;"级"&amp;W$4,装备强化!$M:$N,2,0),W72)</f>
        <v>70级通用武器</v>
      </c>
      <c r="X73" s="7" t="str">
        <f>IFERROR(VLOOKUP($B73&amp;"级"&amp;X$4,装备强化!$M:$N,2,0),X72)</f>
        <v>70级通用头盔</v>
      </c>
      <c r="Y73" s="7" t="str">
        <f>IFERROR(VLOOKUP($B73&amp;"级"&amp;Y$4,装备强化!$M:$N,2,0),Y72)</f>
        <v>70级通用衣服</v>
      </c>
      <c r="Z73" s="7" t="str">
        <f>IFERROR(VLOOKUP($B73&amp;"级"&amp;Z$4,装备强化!$M:$N,2,0),Z72)</f>
        <v>70级通用腰带</v>
      </c>
      <c r="AA73" s="7" t="str">
        <f>IFERROR(VLOOKUP($B73&amp;"级"&amp;AA$4,装备强化!$M:$N,2,0),AA72)</f>
        <v>70级通用鞋子</v>
      </c>
      <c r="AB73" s="7" t="str">
        <f>IFERROR(VLOOKUP($B73&amp;"级"&amp;AB$4,装备强化!$M:$N,2,0),AB72)</f>
        <v>70级通用项链</v>
      </c>
      <c r="AC73" s="7" t="str">
        <f>IFERROR(VLOOKUP($B73&amp;"级"&amp;AC$4,装备强化!$M:$N,2,0),AC72)</f>
        <v>70级通用手镯</v>
      </c>
      <c r="AD73" s="7" t="str">
        <f>IFERROR(VLOOKUP($B73&amp;"级"&amp;AD$4,装备强化!$M:$N,2,0),AD72)</f>
        <v>70级通用戒指</v>
      </c>
      <c r="AE73" s="4">
        <f>IFERROR(VLOOKUP($W73,装备强化!$N:$T,AE$3,0),0)+IFERROR(VLOOKUP($X73,装备强化!$N:$T,AE$3,0),0)+IFERROR(VLOOKUP($Y73,装备强化!$N:$T,AE$3,0),0)+IFERROR(VLOOKUP($Z73,装备强化!$N:$T,AE$3,0),0)+IFERROR(VLOOKUP($AA73,装备强化!$N:$T,AE$3,0),0)+IFERROR(VLOOKUP($AB73,装备强化!$N:$T,AE$3,0),0)+IFERROR(VLOOKUP($AC73,装备强化!$N:$T,AE$3,0)*2,0)+IFERROR(VLOOKUP($AD73,装备强化!$N:$T,AE$3,0)*2,0)</f>
        <v>972</v>
      </c>
      <c r="AF73" s="4">
        <f>IFERROR(VLOOKUP($W73,装备强化!$N:$T,AF$3,0),0)+IFERROR(VLOOKUP($X73,装备强化!$N:$T,AF$3,0),0)+IFERROR(VLOOKUP($Y73,装备强化!$N:$T,AF$3,0),0)+IFERROR(VLOOKUP($Z73,装备强化!$N:$T,AF$3,0),0)+IFERROR(VLOOKUP($AA73,装备强化!$N:$T,AF$3,0),0)+IFERROR(VLOOKUP($AB73,装备强化!$N:$T,AF$3,0),0)+IFERROR(VLOOKUP($AC73,装备强化!$N:$T,AF$3,0)*2,0)+IFERROR(VLOOKUP($AD73,装备强化!$N:$T,AF$3,0)*2,0)</f>
        <v>108</v>
      </c>
      <c r="AG73" s="4">
        <f>IFERROR(VLOOKUP($W73,装备强化!$N:$T,AG$3,0),0)+IFERROR(VLOOKUP($X73,装备强化!$N:$T,AG$3,0),0)+IFERROR(VLOOKUP($Y73,装备强化!$N:$T,AG$3,0),0)+IFERROR(VLOOKUP($Z73,装备强化!$N:$T,AG$3,0),0)+IFERROR(VLOOKUP($AA73,装备强化!$N:$T,AG$3,0),0)+IFERROR(VLOOKUP($AB73,装备强化!$N:$T,AG$3,0),0)+IFERROR(VLOOKUP($AC73,装备强化!$N:$T,AG$3,0)*2,0)+IFERROR(VLOOKUP($AD73,装备强化!$N:$T,AG$3,0)*2,0)</f>
        <v>54</v>
      </c>
      <c r="AI73" s="4">
        <f>LOOKUP($B73,装备设定!$B$48:$B$55,装备设定!$F$48:$F$55)*(COUNTA($W73:$AB73)+COUNTA($AC73:$AD73)*2)*AI$3</f>
        <v>126</v>
      </c>
      <c r="AJ73" s="4">
        <f>LOOKUP($B73,装备设定!$B$48:$B$55,装备设定!$F$48:$F$55)*(COUNTA($W73:$AB73)+COUNTA($AC73:$AD73)*2)*AJ$3</f>
        <v>126</v>
      </c>
      <c r="AK73" s="4">
        <f>LOOKUP($B73,装备设定!$B$48:$B$55,装备设定!$F$48:$F$55)*(COUNTA($W73:$AB73)+COUNTA($AC73:$AD73)*2)*AK$3</f>
        <v>126</v>
      </c>
    </row>
    <row r="74" spans="1:37">
      <c r="A74" s="4">
        <f>INT(C74*基础设定!$D$9+D74*基础设定!$D$11+E74*基础设定!$D$14)</f>
        <v>16443</v>
      </c>
      <c r="B74" s="4">
        <v>70</v>
      </c>
      <c r="C74" s="4">
        <f t="shared" si="13"/>
        <v>2419.5</v>
      </c>
      <c r="D74" s="4">
        <f t="shared" si="14"/>
        <v>648.3</v>
      </c>
      <c r="E74" s="4">
        <f t="shared" si="15"/>
        <v>512.15</v>
      </c>
      <c r="F74" s="4">
        <f t="shared" si="16"/>
        <v>136.15</v>
      </c>
      <c r="G74" s="4">
        <f t="shared" si="17"/>
        <v>17.7708409842086</v>
      </c>
      <c r="H74" s="4">
        <f t="shared" si="18"/>
        <v>797.96</v>
      </c>
      <c r="I74" s="4">
        <f t="shared" si="19"/>
        <v>285.81</v>
      </c>
      <c r="J74" s="4">
        <f t="shared" si="20"/>
        <v>8.4654140862811</v>
      </c>
      <c r="N74" s="4">
        <f>N73+职业基础属性!D$3*LOOKUP($B74,职业基础属性!$M$8:$M$16,职业基础属性!$O$8:$O$16)</f>
        <v>821.5</v>
      </c>
      <c r="O74" s="4">
        <f>O73+职业基础属性!F$3*LOOKUP($B74,职业基础属性!$M$8:$M$16,职业基础属性!$O$8:$O$16)</f>
        <v>164.3</v>
      </c>
      <c r="P74" s="4">
        <f>P73+职业基础属性!I$3*LOOKUP($B74,职业基础属性!$M$8:$M$16,职业基础属性!$O$8:$O$16)</f>
        <v>82.15</v>
      </c>
      <c r="R74" s="4">
        <f t="shared" si="11"/>
        <v>50</v>
      </c>
      <c r="S74" s="4">
        <f t="shared" si="12"/>
        <v>500</v>
      </c>
      <c r="T74" s="4">
        <f t="shared" si="12"/>
        <v>250</v>
      </c>
      <c r="U74" s="4">
        <f t="shared" si="12"/>
        <v>250</v>
      </c>
      <c r="W74" s="7" t="str">
        <f>IFERROR(VLOOKUP($B74&amp;"级"&amp;W$4,装备强化!$M:$N,2,0),W73)</f>
        <v>70级通用武器</v>
      </c>
      <c r="X74" s="7" t="str">
        <f>IFERROR(VLOOKUP($B74&amp;"级"&amp;X$4,装备强化!$M:$N,2,0),X73)</f>
        <v>70级通用头盔</v>
      </c>
      <c r="Y74" s="7" t="str">
        <f>IFERROR(VLOOKUP($B74&amp;"级"&amp;Y$4,装备强化!$M:$N,2,0),Y73)</f>
        <v>70级通用衣服</v>
      </c>
      <c r="Z74" s="7" t="str">
        <f>IFERROR(VLOOKUP($B74&amp;"级"&amp;Z$4,装备强化!$M:$N,2,0),Z73)</f>
        <v>70级通用腰带</v>
      </c>
      <c r="AA74" s="7" t="str">
        <f>IFERROR(VLOOKUP($B74&amp;"级"&amp;AA$4,装备强化!$M:$N,2,0),AA73)</f>
        <v>70级通用鞋子</v>
      </c>
      <c r="AB74" s="7" t="str">
        <f>IFERROR(VLOOKUP($B74&amp;"级"&amp;AB$4,装备强化!$M:$N,2,0),AB73)</f>
        <v>70级通用项链</v>
      </c>
      <c r="AC74" s="7" t="str">
        <f>IFERROR(VLOOKUP($B74&amp;"级"&amp;AC$4,装备强化!$M:$N,2,0),AC73)</f>
        <v>70级通用手镯</v>
      </c>
      <c r="AD74" s="7" t="str">
        <f>IFERROR(VLOOKUP($B74&amp;"级"&amp;AD$4,装备强化!$M:$N,2,0),AD73)</f>
        <v>70级通用戒指</v>
      </c>
      <c r="AE74" s="4">
        <f>IFERROR(VLOOKUP($W74,装备强化!$N:$T,AE$3,0),0)+IFERROR(VLOOKUP($X74,装备强化!$N:$T,AE$3,0),0)+IFERROR(VLOOKUP($Y74,装备强化!$N:$T,AE$3,0),0)+IFERROR(VLOOKUP($Z74,装备强化!$N:$T,AE$3,0),0)+IFERROR(VLOOKUP($AA74,装备强化!$N:$T,AE$3,0),0)+IFERROR(VLOOKUP($AB74,装备强化!$N:$T,AE$3,0),0)+IFERROR(VLOOKUP($AC74,装备强化!$N:$T,AE$3,0)*2,0)+IFERROR(VLOOKUP($AD74,装备强化!$N:$T,AE$3,0)*2,0)</f>
        <v>972</v>
      </c>
      <c r="AF74" s="4">
        <f>IFERROR(VLOOKUP($W74,装备强化!$N:$T,AF$3,0),0)+IFERROR(VLOOKUP($X74,装备强化!$N:$T,AF$3,0),0)+IFERROR(VLOOKUP($Y74,装备强化!$N:$T,AF$3,0),0)+IFERROR(VLOOKUP($Z74,装备强化!$N:$T,AF$3,0),0)+IFERROR(VLOOKUP($AA74,装备强化!$N:$T,AF$3,0),0)+IFERROR(VLOOKUP($AB74,装备强化!$N:$T,AF$3,0),0)+IFERROR(VLOOKUP($AC74,装备强化!$N:$T,AF$3,0)*2,0)+IFERROR(VLOOKUP($AD74,装备强化!$N:$T,AF$3,0)*2,0)</f>
        <v>108</v>
      </c>
      <c r="AG74" s="4">
        <f>IFERROR(VLOOKUP($W74,装备强化!$N:$T,AG$3,0),0)+IFERROR(VLOOKUP($X74,装备强化!$N:$T,AG$3,0),0)+IFERROR(VLOOKUP($Y74,装备强化!$N:$T,AG$3,0),0)+IFERROR(VLOOKUP($Z74,装备强化!$N:$T,AG$3,0),0)+IFERROR(VLOOKUP($AA74,装备强化!$N:$T,AG$3,0),0)+IFERROR(VLOOKUP($AB74,装备强化!$N:$T,AG$3,0),0)+IFERROR(VLOOKUP($AC74,装备强化!$N:$T,AG$3,0)*2,0)+IFERROR(VLOOKUP($AD74,装备强化!$N:$T,AG$3,0)*2,0)</f>
        <v>54</v>
      </c>
      <c r="AI74" s="4">
        <f>LOOKUP($B74,装备设定!$B$48:$B$55,装备设定!$F$48:$F$55)*(COUNTA($W74:$AB74)+COUNTA($AC74:$AD74)*2)*AI$3</f>
        <v>126</v>
      </c>
      <c r="AJ74" s="4">
        <f>LOOKUP($B74,装备设定!$B$48:$B$55,装备设定!$F$48:$F$55)*(COUNTA($W74:$AB74)+COUNTA($AC74:$AD74)*2)*AJ$3</f>
        <v>126</v>
      </c>
      <c r="AK74" s="4">
        <f>LOOKUP($B74,装备设定!$B$48:$B$55,装备设定!$F$48:$F$55)*(COUNTA($W74:$AB74)+COUNTA($AC74:$AD74)*2)*AK$3</f>
        <v>126</v>
      </c>
    </row>
    <row r="75" spans="1:37">
      <c r="A75" s="4">
        <f>INT(C75*基础设定!$D$9+D75*基础设定!$D$11+E75*基础设定!$D$14)</f>
        <v>17753</v>
      </c>
      <c r="B75" s="4">
        <v>71</v>
      </c>
      <c r="C75" s="4">
        <f t="shared" si="13"/>
        <v>2490.5</v>
      </c>
      <c r="D75" s="4">
        <f t="shared" si="14"/>
        <v>713.94</v>
      </c>
      <c r="E75" s="4">
        <f t="shared" si="15"/>
        <v>563.35</v>
      </c>
      <c r="F75" s="4">
        <f t="shared" si="16"/>
        <v>150.59</v>
      </c>
      <c r="G75" s="4">
        <f t="shared" si="17"/>
        <v>16.538282754499</v>
      </c>
      <c r="H75" s="4">
        <f t="shared" si="18"/>
        <v>876.728</v>
      </c>
      <c r="I75" s="4">
        <f t="shared" si="19"/>
        <v>313.378</v>
      </c>
      <c r="J75" s="4">
        <f t="shared" si="20"/>
        <v>7.94727134642508</v>
      </c>
      <c r="N75" s="4">
        <f>N74+职业基础属性!D$3*LOOKUP($B75,职业基础属性!$M$8:$M$16,职业基础属性!$O$8:$O$16)</f>
        <v>843.5</v>
      </c>
      <c r="O75" s="4">
        <f>O74+职业基础属性!F$3*LOOKUP($B75,职业基础属性!$M$8:$M$16,职业基础属性!$O$8:$O$16)</f>
        <v>168.7</v>
      </c>
      <c r="P75" s="4">
        <f>P74+职业基础属性!I$3*LOOKUP($B75,职业基础属性!$M$8:$M$16,职业基础属性!$O$8:$O$16)</f>
        <v>84.35</v>
      </c>
      <c r="R75" s="4">
        <f t="shared" si="11"/>
        <v>50</v>
      </c>
      <c r="S75" s="4">
        <f t="shared" si="12"/>
        <v>500</v>
      </c>
      <c r="T75" s="4">
        <f t="shared" si="12"/>
        <v>250</v>
      </c>
      <c r="U75" s="4">
        <f t="shared" si="12"/>
        <v>250</v>
      </c>
      <c r="W75" s="7" t="str">
        <f>IFERROR(VLOOKUP($B75&amp;"级"&amp;W$4,装备强化!$M:$N,2,0),W74)</f>
        <v>80级通用武器</v>
      </c>
      <c r="X75" s="7" t="str">
        <f>IFERROR(VLOOKUP($B75&amp;"级"&amp;X$4,装备强化!$M:$N,2,0),X74)</f>
        <v>70级通用头盔</v>
      </c>
      <c r="Y75" s="7" t="str">
        <f>IFERROR(VLOOKUP($B75&amp;"级"&amp;Y$4,装备强化!$M:$N,2,0),Y74)</f>
        <v>70级通用衣服</v>
      </c>
      <c r="Z75" s="7" t="str">
        <f>IFERROR(VLOOKUP($B75&amp;"级"&amp;Z$4,装备强化!$M:$N,2,0),Z74)</f>
        <v>70级通用腰带</v>
      </c>
      <c r="AA75" s="7" t="str">
        <f>IFERROR(VLOOKUP($B75&amp;"级"&amp;AA$4,装备强化!$M:$N,2,0),AA74)</f>
        <v>70级通用鞋子</v>
      </c>
      <c r="AB75" s="7" t="str">
        <f>IFERROR(VLOOKUP($B75&amp;"级"&amp;AB$4,装备强化!$M:$N,2,0),AB74)</f>
        <v>70级通用项链</v>
      </c>
      <c r="AC75" s="7" t="str">
        <f>IFERROR(VLOOKUP($B75&amp;"级"&amp;AC$4,装备强化!$M:$N,2,0),AC74)</f>
        <v>70级通用手镯</v>
      </c>
      <c r="AD75" s="7" t="str">
        <f>IFERROR(VLOOKUP($B75&amp;"级"&amp;AD$4,装备强化!$M:$N,2,0),AD74)</f>
        <v>70级通用戒指</v>
      </c>
      <c r="AE75" s="4">
        <f>IFERROR(VLOOKUP($W75,装备强化!$N:$T,AE$3,0),0)+IFERROR(VLOOKUP($X75,装备强化!$N:$T,AE$3,0),0)+IFERROR(VLOOKUP($Y75,装备强化!$N:$T,AE$3,0),0)+IFERROR(VLOOKUP($Z75,装备强化!$N:$T,AE$3,0),0)+IFERROR(VLOOKUP($AA75,装备强化!$N:$T,AE$3,0),0)+IFERROR(VLOOKUP($AB75,装备强化!$N:$T,AE$3,0),0)+IFERROR(VLOOKUP($AC75,装备强化!$N:$T,AE$3,0)*2,0)+IFERROR(VLOOKUP($AD75,装备强化!$N:$T,AE$3,0)*2,0)</f>
        <v>972</v>
      </c>
      <c r="AF75" s="4">
        <f>IFERROR(VLOOKUP($W75,装备强化!$N:$T,AF$3,0),0)+IFERROR(VLOOKUP($X75,装备强化!$N:$T,AF$3,0),0)+IFERROR(VLOOKUP($Y75,装备强化!$N:$T,AF$3,0),0)+IFERROR(VLOOKUP($Z75,装备强化!$N:$T,AF$3,0),0)+IFERROR(VLOOKUP($AA75,装备强化!$N:$T,AF$3,0),0)+IFERROR(VLOOKUP($AB75,装备强化!$N:$T,AF$3,0),0)+IFERROR(VLOOKUP($AC75,装备强化!$N:$T,AF$3,0)*2,0)+IFERROR(VLOOKUP($AD75,装备强化!$N:$T,AF$3,0)*2,0)</f>
        <v>120.24</v>
      </c>
      <c r="AG75" s="4">
        <f>IFERROR(VLOOKUP($W75,装备强化!$N:$T,AG$3,0),0)+IFERROR(VLOOKUP($X75,装备强化!$N:$T,AG$3,0),0)+IFERROR(VLOOKUP($Y75,装备强化!$N:$T,AG$3,0),0)+IFERROR(VLOOKUP($Z75,装备强化!$N:$T,AG$3,0),0)+IFERROR(VLOOKUP($AA75,装备强化!$N:$T,AG$3,0),0)+IFERROR(VLOOKUP($AB75,装备强化!$N:$T,AG$3,0),0)+IFERROR(VLOOKUP($AC75,装备强化!$N:$T,AG$3,0)*2,0)+IFERROR(VLOOKUP($AD75,装备强化!$N:$T,AG$3,0)*2,0)</f>
        <v>54</v>
      </c>
      <c r="AI75" s="4">
        <f>LOOKUP($B75,装备设定!$B$48:$B$55,装备设定!$F$48:$F$55)*(COUNTA($W75:$AB75)+COUNTA($AC75:$AD75)*2)*AI$3</f>
        <v>175</v>
      </c>
      <c r="AJ75" s="4">
        <f>LOOKUP($B75,装备设定!$B$48:$B$55,装备设定!$F$48:$F$55)*(COUNTA($W75:$AB75)+COUNTA($AC75:$AD75)*2)*AJ$3</f>
        <v>175</v>
      </c>
      <c r="AK75" s="4">
        <f>LOOKUP($B75,装备设定!$B$48:$B$55,装备设定!$F$48:$F$55)*(COUNTA($W75:$AB75)+COUNTA($AC75:$AD75)*2)*AK$3</f>
        <v>175</v>
      </c>
    </row>
    <row r="76" spans="1:37">
      <c r="A76" s="4">
        <f>INT(C76*基础设定!$D$9+D76*基础设定!$D$11+E76*基础设定!$D$14)</f>
        <v>18116</v>
      </c>
      <c r="B76" s="4">
        <v>72</v>
      </c>
      <c r="C76" s="4">
        <f t="shared" si="13"/>
        <v>2568.4</v>
      </c>
      <c r="D76" s="4">
        <f t="shared" si="14"/>
        <v>723.34</v>
      </c>
      <c r="E76" s="4">
        <f t="shared" si="15"/>
        <v>574.63</v>
      </c>
      <c r="F76" s="4">
        <f t="shared" si="16"/>
        <v>148.71</v>
      </c>
      <c r="G76" s="4">
        <f t="shared" si="17"/>
        <v>17.2711989778764</v>
      </c>
      <c r="H76" s="4">
        <f t="shared" si="18"/>
        <v>888.008</v>
      </c>
      <c r="I76" s="4">
        <f t="shared" si="19"/>
        <v>313.378</v>
      </c>
      <c r="J76" s="4">
        <f t="shared" si="20"/>
        <v>8.19585293160337</v>
      </c>
      <c r="N76" s="4">
        <f>N75+职业基础属性!D$3*LOOKUP($B76,职业基础属性!$M$8:$M$16,职业基础属性!$O$8:$O$16)</f>
        <v>865.5</v>
      </c>
      <c r="O76" s="4">
        <f>O75+职业基础属性!F$3*LOOKUP($B76,职业基础属性!$M$8:$M$16,职业基础属性!$O$8:$O$16)</f>
        <v>173.1</v>
      </c>
      <c r="P76" s="4">
        <f>P75+职业基础属性!I$3*LOOKUP($B76,职业基础属性!$M$8:$M$16,职业基础属性!$O$8:$O$16)</f>
        <v>86.55</v>
      </c>
      <c r="R76" s="4">
        <f t="shared" si="11"/>
        <v>51</v>
      </c>
      <c r="S76" s="4">
        <f t="shared" si="12"/>
        <v>510</v>
      </c>
      <c r="T76" s="4">
        <f t="shared" si="12"/>
        <v>255</v>
      </c>
      <c r="U76" s="4">
        <f t="shared" si="12"/>
        <v>255</v>
      </c>
      <c r="W76" s="7" t="str">
        <f>IFERROR(VLOOKUP($B76&amp;"级"&amp;W$4,装备强化!$M:$N,2,0),W75)</f>
        <v>80级通用武器</v>
      </c>
      <c r="X76" s="7" t="str">
        <f>IFERROR(VLOOKUP($B76&amp;"级"&amp;X$4,装备强化!$M:$N,2,0),X75)</f>
        <v>70级通用头盔</v>
      </c>
      <c r="Y76" s="7" t="str">
        <f>IFERROR(VLOOKUP($B76&amp;"级"&amp;Y$4,装备强化!$M:$N,2,0),Y75)</f>
        <v>70级通用衣服</v>
      </c>
      <c r="Z76" s="7" t="str">
        <f>IFERROR(VLOOKUP($B76&amp;"级"&amp;Z$4,装备强化!$M:$N,2,0),Z75)</f>
        <v>70级通用腰带</v>
      </c>
      <c r="AA76" s="7" t="str">
        <f>IFERROR(VLOOKUP($B76&amp;"级"&amp;AA$4,装备强化!$M:$N,2,0),AA75)</f>
        <v>80级通用鞋子</v>
      </c>
      <c r="AB76" s="7" t="str">
        <f>IFERROR(VLOOKUP($B76&amp;"级"&amp;AB$4,装备强化!$M:$N,2,0),AB75)</f>
        <v>70级通用项链</v>
      </c>
      <c r="AC76" s="7" t="str">
        <f>IFERROR(VLOOKUP($B76&amp;"级"&amp;AC$4,装备强化!$M:$N,2,0),AC75)</f>
        <v>70级通用手镯</v>
      </c>
      <c r="AD76" s="7" t="str">
        <f>IFERROR(VLOOKUP($B76&amp;"级"&amp;AD$4,装备强化!$M:$N,2,0),AD75)</f>
        <v>70级通用戒指</v>
      </c>
      <c r="AE76" s="4">
        <f>IFERROR(VLOOKUP($W76,装备强化!$N:$T,AE$3,0),0)+IFERROR(VLOOKUP($X76,装备强化!$N:$T,AE$3,0),0)+IFERROR(VLOOKUP($Y76,装备强化!$N:$T,AE$3,0),0)+IFERROR(VLOOKUP($Z76,装备强化!$N:$T,AE$3,0),0)+IFERROR(VLOOKUP($AA76,装备强化!$N:$T,AE$3,0),0)+IFERROR(VLOOKUP($AB76,装备强化!$N:$T,AE$3,0),0)+IFERROR(VLOOKUP($AC76,装备强化!$N:$T,AE$3,0)*2,0)+IFERROR(VLOOKUP($AD76,装备强化!$N:$T,AE$3,0)*2,0)</f>
        <v>1017.9</v>
      </c>
      <c r="AF76" s="4">
        <f>IFERROR(VLOOKUP($W76,装备强化!$N:$T,AF$3,0),0)+IFERROR(VLOOKUP($X76,装备强化!$N:$T,AF$3,0),0)+IFERROR(VLOOKUP($Y76,装备强化!$N:$T,AF$3,0),0)+IFERROR(VLOOKUP($Z76,装备强化!$N:$T,AF$3,0),0)+IFERROR(VLOOKUP($AA76,装备强化!$N:$T,AF$3,0),0)+IFERROR(VLOOKUP($AB76,装备强化!$N:$T,AF$3,0),0)+IFERROR(VLOOKUP($AC76,装备强化!$N:$T,AF$3,0)*2,0)+IFERROR(VLOOKUP($AD76,装备强化!$N:$T,AF$3,0)*2,0)</f>
        <v>120.24</v>
      </c>
      <c r="AG76" s="4">
        <f>IFERROR(VLOOKUP($W76,装备强化!$N:$T,AG$3,0),0)+IFERROR(VLOOKUP($X76,装备强化!$N:$T,AG$3,0),0)+IFERROR(VLOOKUP($Y76,装备强化!$N:$T,AG$3,0),0)+IFERROR(VLOOKUP($Z76,装备强化!$N:$T,AG$3,0),0)+IFERROR(VLOOKUP($AA76,装备强化!$N:$T,AG$3,0),0)+IFERROR(VLOOKUP($AB76,装备强化!$N:$T,AG$3,0),0)+IFERROR(VLOOKUP($AC76,装备强化!$N:$T,AG$3,0)*2,0)+IFERROR(VLOOKUP($AD76,装备强化!$N:$T,AG$3,0)*2,0)</f>
        <v>58.08</v>
      </c>
      <c r="AI76" s="4">
        <f>LOOKUP($B76,装备设定!$B$48:$B$55,装备设定!$F$48:$F$55)*(COUNTA($W76:$AB76)+COUNTA($AC76:$AD76)*2)*AI$3</f>
        <v>175</v>
      </c>
      <c r="AJ76" s="4">
        <f>LOOKUP($B76,装备设定!$B$48:$B$55,装备设定!$F$48:$F$55)*(COUNTA($W76:$AB76)+COUNTA($AC76:$AD76)*2)*AJ$3</f>
        <v>175</v>
      </c>
      <c r="AK76" s="4">
        <f>LOOKUP($B76,装备设定!$B$48:$B$55,装备设定!$F$48:$F$55)*(COUNTA($W76:$AB76)+COUNTA($AC76:$AD76)*2)*AK$3</f>
        <v>175</v>
      </c>
    </row>
    <row r="77" spans="1:37">
      <c r="A77" s="4">
        <f>INT(C77*基础设定!$D$9+D77*基础设定!$D$11+E77*基础设定!$D$14)</f>
        <v>18491</v>
      </c>
      <c r="B77" s="4">
        <v>73</v>
      </c>
      <c r="C77" s="4">
        <f t="shared" si="13"/>
        <v>2682.2</v>
      </c>
      <c r="D77" s="4">
        <f t="shared" si="14"/>
        <v>735.9</v>
      </c>
      <c r="E77" s="4">
        <f t="shared" si="15"/>
        <v>576.83</v>
      </c>
      <c r="F77" s="4">
        <f t="shared" si="16"/>
        <v>159.07</v>
      </c>
      <c r="G77" s="4">
        <f t="shared" si="17"/>
        <v>16.8617589740366</v>
      </c>
      <c r="H77" s="4">
        <f t="shared" si="18"/>
        <v>903.08</v>
      </c>
      <c r="I77" s="4">
        <f t="shared" si="19"/>
        <v>326.25</v>
      </c>
      <c r="J77" s="4">
        <f t="shared" si="20"/>
        <v>8.22130268199233</v>
      </c>
      <c r="N77" s="4">
        <f>N76+职业基础属性!D$3*LOOKUP($B77,职业基础属性!$M$8:$M$16,职业基础属性!$O$8:$O$16)</f>
        <v>887.5</v>
      </c>
      <c r="O77" s="4">
        <f>O76+职业基础属性!F$3*LOOKUP($B77,职业基础属性!$M$8:$M$16,职业基础属性!$O$8:$O$16)</f>
        <v>177.5</v>
      </c>
      <c r="P77" s="4">
        <f>P76+职业基础属性!I$3*LOOKUP($B77,职业基础属性!$M$8:$M$16,职业基础属性!$O$8:$O$16)</f>
        <v>88.75</v>
      </c>
      <c r="R77" s="4">
        <f t="shared" si="11"/>
        <v>51</v>
      </c>
      <c r="S77" s="4">
        <f t="shared" si="12"/>
        <v>510</v>
      </c>
      <c r="T77" s="4">
        <f t="shared" si="12"/>
        <v>255</v>
      </c>
      <c r="U77" s="4">
        <f t="shared" si="12"/>
        <v>255</v>
      </c>
      <c r="W77" s="7" t="str">
        <f>IFERROR(VLOOKUP($B77&amp;"级"&amp;W$4,装备强化!$M:$N,2,0),W76)</f>
        <v>80级通用武器</v>
      </c>
      <c r="X77" s="7" t="str">
        <f>IFERROR(VLOOKUP($B77&amp;"级"&amp;X$4,装备强化!$M:$N,2,0),X76)</f>
        <v>70级通用头盔</v>
      </c>
      <c r="Y77" s="7" t="str">
        <f>IFERROR(VLOOKUP($B77&amp;"级"&amp;Y$4,装备强化!$M:$N,2,0),Y76)</f>
        <v>70级通用衣服</v>
      </c>
      <c r="Z77" s="7" t="str">
        <f>IFERROR(VLOOKUP($B77&amp;"级"&amp;Z$4,装备强化!$M:$N,2,0),Z76)</f>
        <v>70级通用腰带</v>
      </c>
      <c r="AA77" s="7" t="str">
        <f>IFERROR(VLOOKUP($B77&amp;"级"&amp;AA$4,装备强化!$M:$N,2,0),AA76)</f>
        <v>80级通用鞋子</v>
      </c>
      <c r="AB77" s="7" t="str">
        <f>IFERROR(VLOOKUP($B77&amp;"级"&amp;AB$4,装备强化!$M:$N,2,0),AB76)</f>
        <v>70级通用项链</v>
      </c>
      <c r="AC77" s="7" t="str">
        <f>IFERROR(VLOOKUP($B77&amp;"级"&amp;AC$4,装备强化!$M:$N,2,0),AC76)</f>
        <v>70级通用手镯</v>
      </c>
      <c r="AD77" s="7" t="str">
        <f>IFERROR(VLOOKUP($B77&amp;"级"&amp;AD$4,装备强化!$M:$N,2,0),AD76)</f>
        <v>80级通用戒指</v>
      </c>
      <c r="AE77" s="4">
        <f>IFERROR(VLOOKUP($W77,装备强化!$N:$T,AE$3,0),0)+IFERROR(VLOOKUP($X77,装备强化!$N:$T,AE$3,0),0)+IFERROR(VLOOKUP($Y77,装备强化!$N:$T,AE$3,0),0)+IFERROR(VLOOKUP($Z77,装备强化!$N:$T,AE$3,0),0)+IFERROR(VLOOKUP($AA77,装备强化!$N:$T,AE$3,0),0)+IFERROR(VLOOKUP($AB77,装备强化!$N:$T,AE$3,0),0)+IFERROR(VLOOKUP($AC77,装备强化!$N:$T,AE$3,0)*2,0)+IFERROR(VLOOKUP($AD77,装备强化!$N:$T,AE$3,0)*2,0)</f>
        <v>1109.7</v>
      </c>
      <c r="AF77" s="4">
        <f>IFERROR(VLOOKUP($W77,装备强化!$N:$T,AF$3,0),0)+IFERROR(VLOOKUP($X77,装备强化!$N:$T,AF$3,0),0)+IFERROR(VLOOKUP($Y77,装备强化!$N:$T,AF$3,0),0)+IFERROR(VLOOKUP($Z77,装备强化!$N:$T,AF$3,0),0)+IFERROR(VLOOKUP($AA77,装备强化!$N:$T,AF$3,0),0)+IFERROR(VLOOKUP($AB77,装备强化!$N:$T,AF$3,0),0)+IFERROR(VLOOKUP($AC77,装备强化!$N:$T,AF$3,0)*2,0)+IFERROR(VLOOKUP($AD77,装备强化!$N:$T,AF$3,0)*2,0)</f>
        <v>128.4</v>
      </c>
      <c r="AG77" s="4">
        <f>IFERROR(VLOOKUP($W77,装备强化!$N:$T,AG$3,0),0)+IFERROR(VLOOKUP($X77,装备强化!$N:$T,AG$3,0),0)+IFERROR(VLOOKUP($Y77,装备强化!$N:$T,AG$3,0),0)+IFERROR(VLOOKUP($Z77,装备强化!$N:$T,AG$3,0),0)+IFERROR(VLOOKUP($AA77,装备强化!$N:$T,AG$3,0),0)+IFERROR(VLOOKUP($AB77,装备强化!$N:$T,AG$3,0),0)+IFERROR(VLOOKUP($AC77,装备强化!$N:$T,AG$3,0)*2,0)+IFERROR(VLOOKUP($AD77,装备强化!$N:$T,AG$3,0)*2,0)</f>
        <v>58.08</v>
      </c>
      <c r="AI77" s="4">
        <f>LOOKUP($B77,装备设定!$B$48:$B$55,装备设定!$F$48:$F$55)*(COUNTA($W77:$AB77)+COUNTA($AC77:$AD77)*2)*AI$3</f>
        <v>175</v>
      </c>
      <c r="AJ77" s="4">
        <f>LOOKUP($B77,装备设定!$B$48:$B$55,装备设定!$F$48:$F$55)*(COUNTA($W77:$AB77)+COUNTA($AC77:$AD77)*2)*AJ$3</f>
        <v>175</v>
      </c>
      <c r="AK77" s="4">
        <f>LOOKUP($B77,装备设定!$B$48:$B$55,装备设定!$F$48:$F$55)*(COUNTA($W77:$AB77)+COUNTA($AC77:$AD77)*2)*AK$3</f>
        <v>175</v>
      </c>
    </row>
    <row r="78" spans="1:37">
      <c r="A78" s="4">
        <f>INT(C78*基础设定!$D$9+D78*基础设定!$D$11+E78*基础设定!$D$14)</f>
        <v>18803</v>
      </c>
      <c r="B78" s="4">
        <v>74</v>
      </c>
      <c r="C78" s="4">
        <f t="shared" si="13"/>
        <v>2714.2</v>
      </c>
      <c r="D78" s="4">
        <f t="shared" si="14"/>
        <v>751.42</v>
      </c>
      <c r="E78" s="4">
        <f t="shared" si="15"/>
        <v>586.07</v>
      </c>
      <c r="F78" s="4">
        <f t="shared" si="16"/>
        <v>165.35</v>
      </c>
      <c r="G78" s="4">
        <f t="shared" si="17"/>
        <v>16.4148775325068</v>
      </c>
      <c r="H78" s="4">
        <f t="shared" si="18"/>
        <v>921.704</v>
      </c>
      <c r="I78" s="4">
        <f t="shared" si="19"/>
        <v>335.634</v>
      </c>
      <c r="J78" s="4">
        <f t="shared" si="20"/>
        <v>8.08678500986193</v>
      </c>
      <c r="N78" s="4">
        <f>N77+职业基础属性!D$3*LOOKUP($B78,职业基础属性!$M$8:$M$16,职业基础属性!$O$8:$O$16)</f>
        <v>909.5</v>
      </c>
      <c r="O78" s="4">
        <f>O77+职业基础属性!F$3*LOOKUP($B78,职业基础属性!$M$8:$M$16,职业基础属性!$O$8:$O$16)</f>
        <v>181.9</v>
      </c>
      <c r="P78" s="4">
        <f>P77+职业基础属性!I$3*LOOKUP($B78,职业基础属性!$M$8:$M$16,职业基础属性!$O$8:$O$16)</f>
        <v>90.95</v>
      </c>
      <c r="R78" s="4">
        <f t="shared" si="11"/>
        <v>52</v>
      </c>
      <c r="S78" s="4">
        <f t="shared" si="12"/>
        <v>520</v>
      </c>
      <c r="T78" s="4">
        <f t="shared" si="12"/>
        <v>260</v>
      </c>
      <c r="U78" s="4">
        <f t="shared" si="12"/>
        <v>260</v>
      </c>
      <c r="W78" s="7" t="str">
        <f>IFERROR(VLOOKUP($B78&amp;"级"&amp;W$4,装备强化!$M:$N,2,0),W77)</f>
        <v>80级通用武器</v>
      </c>
      <c r="X78" s="7" t="str">
        <f>IFERROR(VLOOKUP($B78&amp;"级"&amp;X$4,装备强化!$M:$N,2,0),X77)</f>
        <v>70级通用头盔</v>
      </c>
      <c r="Y78" s="7" t="str">
        <f>IFERROR(VLOOKUP($B78&amp;"级"&amp;Y$4,装备强化!$M:$N,2,0),Y77)</f>
        <v>70级通用衣服</v>
      </c>
      <c r="Z78" s="7" t="str">
        <f>IFERROR(VLOOKUP($B78&amp;"级"&amp;Z$4,装备强化!$M:$N,2,0),Z77)</f>
        <v>70级通用腰带</v>
      </c>
      <c r="AA78" s="7" t="str">
        <f>IFERROR(VLOOKUP($B78&amp;"级"&amp;AA$4,装备强化!$M:$N,2,0),AA77)</f>
        <v>80级通用鞋子</v>
      </c>
      <c r="AB78" s="7" t="str">
        <f>IFERROR(VLOOKUP($B78&amp;"级"&amp;AB$4,装备强化!$M:$N,2,0),AB77)</f>
        <v>80级通用项链</v>
      </c>
      <c r="AC78" s="7" t="str">
        <f>IFERROR(VLOOKUP($B78&amp;"级"&amp;AC$4,装备强化!$M:$N,2,0),AC77)</f>
        <v>70级通用手镯</v>
      </c>
      <c r="AD78" s="7" t="str">
        <f>IFERROR(VLOOKUP($B78&amp;"级"&amp;AD$4,装备强化!$M:$N,2,0),AD77)</f>
        <v>80级通用戒指</v>
      </c>
      <c r="AE78" s="4">
        <f>IFERROR(VLOOKUP($W78,装备强化!$N:$T,AE$3,0),0)+IFERROR(VLOOKUP($X78,装备强化!$N:$T,AE$3,0),0)+IFERROR(VLOOKUP($Y78,装备强化!$N:$T,AE$3,0),0)+IFERROR(VLOOKUP($Z78,装备强化!$N:$T,AE$3,0),0)+IFERROR(VLOOKUP($AA78,装备强化!$N:$T,AE$3,0),0)+IFERROR(VLOOKUP($AB78,装备强化!$N:$T,AE$3,0),0)+IFERROR(VLOOKUP($AC78,装备强化!$N:$T,AE$3,0)*2,0)+IFERROR(VLOOKUP($AD78,装备强化!$N:$T,AE$3,0)*2,0)</f>
        <v>1109.7</v>
      </c>
      <c r="AF78" s="4">
        <f>IFERROR(VLOOKUP($W78,装备强化!$N:$T,AF$3,0),0)+IFERROR(VLOOKUP($X78,装备强化!$N:$T,AF$3,0),0)+IFERROR(VLOOKUP($Y78,装备强化!$N:$T,AF$3,0),0)+IFERROR(VLOOKUP($Z78,装备强化!$N:$T,AF$3,0),0)+IFERROR(VLOOKUP($AA78,装备强化!$N:$T,AF$3,0),0)+IFERROR(VLOOKUP($AB78,装备强化!$N:$T,AF$3,0),0)+IFERROR(VLOOKUP($AC78,装备强化!$N:$T,AF$3,0)*2,0)+IFERROR(VLOOKUP($AD78,装备强化!$N:$T,AF$3,0)*2,0)</f>
        <v>134.52</v>
      </c>
      <c r="AG78" s="4">
        <f>IFERROR(VLOOKUP($W78,装备强化!$N:$T,AG$3,0),0)+IFERROR(VLOOKUP($X78,装备强化!$N:$T,AG$3,0),0)+IFERROR(VLOOKUP($Y78,装备强化!$N:$T,AG$3,0),0)+IFERROR(VLOOKUP($Z78,装备强化!$N:$T,AG$3,0),0)+IFERROR(VLOOKUP($AA78,装备强化!$N:$T,AG$3,0),0)+IFERROR(VLOOKUP($AB78,装备强化!$N:$T,AG$3,0),0)+IFERROR(VLOOKUP($AC78,装备强化!$N:$T,AG$3,0)*2,0)+IFERROR(VLOOKUP($AD78,装备强化!$N:$T,AG$3,0)*2,0)</f>
        <v>60.12</v>
      </c>
      <c r="AI78" s="4">
        <f>LOOKUP($B78,装备设定!$B$48:$B$55,装备设定!$F$48:$F$55)*(COUNTA($W78:$AB78)+COUNTA($AC78:$AD78)*2)*AI$3</f>
        <v>175</v>
      </c>
      <c r="AJ78" s="4">
        <f>LOOKUP($B78,装备设定!$B$48:$B$55,装备设定!$F$48:$F$55)*(COUNTA($W78:$AB78)+COUNTA($AC78:$AD78)*2)*AJ$3</f>
        <v>175</v>
      </c>
      <c r="AK78" s="4">
        <f>LOOKUP($B78,装备设定!$B$48:$B$55,装备设定!$F$48:$F$55)*(COUNTA($W78:$AB78)+COUNTA($AC78:$AD78)*2)*AK$3</f>
        <v>175</v>
      </c>
    </row>
    <row r="79" spans="1:37">
      <c r="A79" s="4">
        <f>INT(C79*基础设定!$D$9+D79*基础设定!$D$11+E79*基础设定!$D$14)</f>
        <v>19147</v>
      </c>
      <c r="B79" s="4">
        <v>75</v>
      </c>
      <c r="C79" s="4">
        <f t="shared" si="13"/>
        <v>2828</v>
      </c>
      <c r="D79" s="4">
        <f t="shared" si="14"/>
        <v>755.82</v>
      </c>
      <c r="E79" s="4">
        <f t="shared" si="15"/>
        <v>593.37</v>
      </c>
      <c r="F79" s="4">
        <f t="shared" si="16"/>
        <v>162.45</v>
      </c>
      <c r="G79" s="4">
        <f t="shared" si="17"/>
        <v>17.408433364112</v>
      </c>
      <c r="H79" s="4">
        <f t="shared" si="18"/>
        <v>926.984</v>
      </c>
      <c r="I79" s="4">
        <f t="shared" si="19"/>
        <v>333.614</v>
      </c>
      <c r="J79" s="4">
        <f t="shared" si="20"/>
        <v>8.47686248179033</v>
      </c>
      <c r="N79" s="4">
        <f>N78+职业基础属性!D$3*LOOKUP($B79,职业基础属性!$M$8:$M$16,职业基础属性!$O$8:$O$16)</f>
        <v>931.5</v>
      </c>
      <c r="O79" s="4">
        <f>O78+职业基础属性!F$3*LOOKUP($B79,职业基础属性!$M$8:$M$16,职业基础属性!$O$8:$O$16)</f>
        <v>186.3</v>
      </c>
      <c r="P79" s="4">
        <f>P78+职业基础属性!I$3*LOOKUP($B79,职业基础属性!$M$8:$M$16,职业基础属性!$O$8:$O$16)</f>
        <v>93.15</v>
      </c>
      <c r="R79" s="4">
        <f t="shared" si="11"/>
        <v>52</v>
      </c>
      <c r="S79" s="4">
        <f t="shared" si="12"/>
        <v>520</v>
      </c>
      <c r="T79" s="4">
        <f t="shared" si="12"/>
        <v>260</v>
      </c>
      <c r="U79" s="4">
        <f t="shared" si="12"/>
        <v>260</v>
      </c>
      <c r="W79" s="7" t="str">
        <f>IFERROR(VLOOKUP($B79&amp;"级"&amp;W$4,装备强化!$M:$N,2,0),W78)</f>
        <v>80级通用武器</v>
      </c>
      <c r="X79" s="7" t="str">
        <f>IFERROR(VLOOKUP($B79&amp;"级"&amp;X$4,装备强化!$M:$N,2,0),X78)</f>
        <v>70级通用头盔</v>
      </c>
      <c r="Y79" s="7" t="str">
        <f>IFERROR(VLOOKUP($B79&amp;"级"&amp;Y$4,装备强化!$M:$N,2,0),Y78)</f>
        <v>80级通用衣服</v>
      </c>
      <c r="Z79" s="7" t="str">
        <f>IFERROR(VLOOKUP($B79&amp;"级"&amp;Z$4,装备强化!$M:$N,2,0),Z78)</f>
        <v>70级通用腰带</v>
      </c>
      <c r="AA79" s="7" t="str">
        <f>IFERROR(VLOOKUP($B79&amp;"级"&amp;AA$4,装备强化!$M:$N,2,0),AA78)</f>
        <v>80级通用鞋子</v>
      </c>
      <c r="AB79" s="7" t="str">
        <f>IFERROR(VLOOKUP($B79&amp;"级"&amp;AB$4,装备强化!$M:$N,2,0),AB78)</f>
        <v>80级通用项链</v>
      </c>
      <c r="AC79" s="7" t="str">
        <f>IFERROR(VLOOKUP($B79&amp;"级"&amp;AC$4,装备强化!$M:$N,2,0),AC78)</f>
        <v>70级通用手镯</v>
      </c>
      <c r="AD79" s="7" t="str">
        <f>IFERROR(VLOOKUP($B79&amp;"级"&amp;AD$4,装备强化!$M:$N,2,0),AD78)</f>
        <v>80级通用戒指</v>
      </c>
      <c r="AE79" s="4">
        <f>IFERROR(VLOOKUP($W79,装备强化!$N:$T,AE$3,0),0)+IFERROR(VLOOKUP($X79,装备强化!$N:$T,AE$3,0),0)+IFERROR(VLOOKUP($Y79,装备强化!$N:$T,AE$3,0),0)+IFERROR(VLOOKUP($Z79,装备强化!$N:$T,AE$3,0),0)+IFERROR(VLOOKUP($AA79,装备强化!$N:$T,AE$3,0),0)+IFERROR(VLOOKUP($AB79,装备强化!$N:$T,AE$3,0),0)+IFERROR(VLOOKUP($AC79,装备强化!$N:$T,AE$3,0)*2,0)+IFERROR(VLOOKUP($AD79,装备强化!$N:$T,AE$3,0)*2,0)</f>
        <v>1201.5</v>
      </c>
      <c r="AF79" s="4">
        <f>IFERROR(VLOOKUP($W79,装备强化!$N:$T,AF$3,0),0)+IFERROR(VLOOKUP($X79,装备强化!$N:$T,AF$3,0),0)+IFERROR(VLOOKUP($Y79,装备强化!$N:$T,AF$3,0),0)+IFERROR(VLOOKUP($Z79,装备强化!$N:$T,AF$3,0),0)+IFERROR(VLOOKUP($AA79,装备强化!$N:$T,AF$3,0),0)+IFERROR(VLOOKUP($AB79,装备强化!$N:$T,AF$3,0),0)+IFERROR(VLOOKUP($AC79,装备强化!$N:$T,AF$3,0)*2,0)+IFERROR(VLOOKUP($AD79,装备强化!$N:$T,AF$3,0)*2,0)</f>
        <v>134.52</v>
      </c>
      <c r="AG79" s="4">
        <f>IFERROR(VLOOKUP($W79,装备强化!$N:$T,AG$3,0),0)+IFERROR(VLOOKUP($X79,装备强化!$N:$T,AG$3,0),0)+IFERROR(VLOOKUP($Y79,装备强化!$N:$T,AG$3,0),0)+IFERROR(VLOOKUP($Z79,装备强化!$N:$T,AG$3,0),0)+IFERROR(VLOOKUP($AA79,装备强化!$N:$T,AG$3,0),0)+IFERROR(VLOOKUP($AB79,装备强化!$N:$T,AG$3,0),0)+IFERROR(VLOOKUP($AC79,装备强化!$N:$T,AG$3,0)*2,0)+IFERROR(VLOOKUP($AD79,装备强化!$N:$T,AG$3,0)*2,0)</f>
        <v>65.22</v>
      </c>
      <c r="AI79" s="4">
        <f>LOOKUP($B79,装备设定!$B$48:$B$55,装备设定!$F$48:$F$55)*(COUNTA($W79:$AB79)+COUNTA($AC79:$AD79)*2)*AI$3</f>
        <v>175</v>
      </c>
      <c r="AJ79" s="4">
        <f>LOOKUP($B79,装备设定!$B$48:$B$55,装备设定!$F$48:$F$55)*(COUNTA($W79:$AB79)+COUNTA($AC79:$AD79)*2)*AJ$3</f>
        <v>175</v>
      </c>
      <c r="AK79" s="4">
        <f>LOOKUP($B79,装备设定!$B$48:$B$55,装备设定!$F$48:$F$55)*(COUNTA($W79:$AB79)+COUNTA($AC79:$AD79)*2)*AK$3</f>
        <v>175</v>
      </c>
    </row>
    <row r="80" spans="1:37">
      <c r="A80" s="4">
        <f>INT(C80*基础设定!$D$9+D80*基础设定!$D$11+E80*基础设定!$D$14)</f>
        <v>19643</v>
      </c>
      <c r="B80" s="4">
        <v>76</v>
      </c>
      <c r="C80" s="4">
        <f t="shared" si="13"/>
        <v>2951.8</v>
      </c>
      <c r="D80" s="4">
        <f t="shared" si="14"/>
        <v>773.38</v>
      </c>
      <c r="E80" s="4">
        <f t="shared" si="15"/>
        <v>600.57</v>
      </c>
      <c r="F80" s="4">
        <f t="shared" si="16"/>
        <v>172.81</v>
      </c>
      <c r="G80" s="4">
        <f t="shared" si="17"/>
        <v>17.0811874312829</v>
      </c>
      <c r="H80" s="4">
        <f t="shared" si="18"/>
        <v>948.056</v>
      </c>
      <c r="I80" s="4">
        <f t="shared" si="19"/>
        <v>347.486</v>
      </c>
      <c r="J80" s="4">
        <f t="shared" si="20"/>
        <v>8.49473072296438</v>
      </c>
      <c r="N80" s="4">
        <f>N79+职业基础属性!D$3*LOOKUP($B80,职业基础属性!$M$8:$M$16,职业基础属性!$O$8:$O$16)</f>
        <v>953.5</v>
      </c>
      <c r="O80" s="4">
        <f>O79+职业基础属性!F$3*LOOKUP($B80,职业基础属性!$M$8:$M$16,职业基础属性!$O$8:$O$16)</f>
        <v>190.7</v>
      </c>
      <c r="P80" s="4">
        <f>P79+职业基础属性!I$3*LOOKUP($B80,职业基础属性!$M$8:$M$16,职业基础属性!$O$8:$O$16)</f>
        <v>95.35</v>
      </c>
      <c r="R80" s="4">
        <f t="shared" si="11"/>
        <v>53</v>
      </c>
      <c r="S80" s="4">
        <f t="shared" si="12"/>
        <v>530</v>
      </c>
      <c r="T80" s="4">
        <f t="shared" si="12"/>
        <v>265</v>
      </c>
      <c r="U80" s="4">
        <f t="shared" si="12"/>
        <v>265</v>
      </c>
      <c r="W80" s="7" t="str">
        <f>IFERROR(VLOOKUP($B80&amp;"级"&amp;W$4,装备强化!$M:$N,2,0),W79)</f>
        <v>80级通用武器</v>
      </c>
      <c r="X80" s="7" t="str">
        <f>IFERROR(VLOOKUP($B80&amp;"级"&amp;X$4,装备强化!$M:$N,2,0),X79)</f>
        <v>70级通用头盔</v>
      </c>
      <c r="Y80" s="7" t="str">
        <f>IFERROR(VLOOKUP($B80&amp;"级"&amp;Y$4,装备强化!$M:$N,2,0),Y79)</f>
        <v>80级通用衣服</v>
      </c>
      <c r="Z80" s="7" t="str">
        <f>IFERROR(VLOOKUP($B80&amp;"级"&amp;Z$4,装备强化!$M:$N,2,0),Z79)</f>
        <v>70级通用腰带</v>
      </c>
      <c r="AA80" s="7" t="str">
        <f>IFERROR(VLOOKUP($B80&amp;"级"&amp;AA$4,装备强化!$M:$N,2,0),AA79)</f>
        <v>80级通用鞋子</v>
      </c>
      <c r="AB80" s="7" t="str">
        <f>IFERROR(VLOOKUP($B80&amp;"级"&amp;AB$4,装备强化!$M:$N,2,0),AB79)</f>
        <v>80级通用项链</v>
      </c>
      <c r="AC80" s="7" t="str">
        <f>IFERROR(VLOOKUP($B80&amp;"级"&amp;AC$4,装备强化!$M:$N,2,0),AC79)</f>
        <v>80级通用手镯</v>
      </c>
      <c r="AD80" s="7" t="str">
        <f>IFERROR(VLOOKUP($B80&amp;"级"&amp;AD$4,装备强化!$M:$N,2,0),AD79)</f>
        <v>80级通用戒指</v>
      </c>
      <c r="AE80" s="4">
        <f>IFERROR(VLOOKUP($W80,装备强化!$N:$T,AE$3,0),0)+IFERROR(VLOOKUP($X80,装备强化!$N:$T,AE$3,0),0)+IFERROR(VLOOKUP($Y80,装备强化!$N:$T,AE$3,0),0)+IFERROR(VLOOKUP($Z80,装备强化!$N:$T,AE$3,0),0)+IFERROR(VLOOKUP($AA80,装备强化!$N:$T,AE$3,0),0)+IFERROR(VLOOKUP($AB80,装备强化!$N:$T,AE$3,0),0)+IFERROR(VLOOKUP($AC80,装备强化!$N:$T,AE$3,0)*2,0)+IFERROR(VLOOKUP($AD80,装备强化!$N:$T,AE$3,0)*2,0)</f>
        <v>1293.3</v>
      </c>
      <c r="AF80" s="4">
        <f>IFERROR(VLOOKUP($W80,装备强化!$N:$T,AF$3,0),0)+IFERROR(VLOOKUP($X80,装备强化!$N:$T,AF$3,0),0)+IFERROR(VLOOKUP($Y80,装备强化!$N:$T,AF$3,0),0)+IFERROR(VLOOKUP($Z80,装备强化!$N:$T,AF$3,0),0)+IFERROR(VLOOKUP($AA80,装备强化!$N:$T,AF$3,0),0)+IFERROR(VLOOKUP($AB80,装备强化!$N:$T,AF$3,0),0)+IFERROR(VLOOKUP($AC80,装备强化!$N:$T,AF$3,0)*2,0)+IFERROR(VLOOKUP($AD80,装备强化!$N:$T,AF$3,0)*2,0)</f>
        <v>142.68</v>
      </c>
      <c r="AG80" s="4">
        <f>IFERROR(VLOOKUP($W80,装备强化!$N:$T,AG$3,0),0)+IFERROR(VLOOKUP($X80,装备强化!$N:$T,AG$3,0),0)+IFERROR(VLOOKUP($Y80,装备强化!$N:$T,AG$3,0),0)+IFERROR(VLOOKUP($Z80,装备强化!$N:$T,AG$3,0),0)+IFERROR(VLOOKUP($AA80,装备强化!$N:$T,AG$3,0),0)+IFERROR(VLOOKUP($AB80,装备强化!$N:$T,AG$3,0),0)+IFERROR(VLOOKUP($AC80,装备强化!$N:$T,AG$3,0)*2,0)+IFERROR(VLOOKUP($AD80,装备强化!$N:$T,AG$3,0)*2,0)</f>
        <v>65.22</v>
      </c>
      <c r="AI80" s="4">
        <f>LOOKUP($B80,装备设定!$B$48:$B$55,装备设定!$F$48:$F$55)*(COUNTA($W80:$AB80)+COUNTA($AC80:$AD80)*2)*AI$3</f>
        <v>175</v>
      </c>
      <c r="AJ80" s="4">
        <f>LOOKUP($B80,装备设定!$B$48:$B$55,装备设定!$F$48:$F$55)*(COUNTA($W80:$AB80)+COUNTA($AC80:$AD80)*2)*AJ$3</f>
        <v>175</v>
      </c>
      <c r="AK80" s="4">
        <f>LOOKUP($B80,装备设定!$B$48:$B$55,装备设定!$F$48:$F$55)*(COUNTA($W80:$AB80)+COUNTA($AC80:$AD80)*2)*AK$3</f>
        <v>175</v>
      </c>
    </row>
    <row r="81" spans="1:37">
      <c r="A81" s="4">
        <f>INT(C81*基础设定!$D$9+D81*基础设定!$D$11+E81*基础设定!$D$14)</f>
        <v>19865</v>
      </c>
      <c r="B81" s="4">
        <v>77</v>
      </c>
      <c r="C81" s="4">
        <f t="shared" si="13"/>
        <v>2973.8</v>
      </c>
      <c r="D81" s="4">
        <f t="shared" si="14"/>
        <v>783.9</v>
      </c>
      <c r="E81" s="4">
        <f t="shared" si="15"/>
        <v>607.87</v>
      </c>
      <c r="F81" s="4">
        <f t="shared" si="16"/>
        <v>176.03</v>
      </c>
      <c r="G81" s="4">
        <f t="shared" si="17"/>
        <v>16.8937112992104</v>
      </c>
      <c r="H81" s="4">
        <f t="shared" si="18"/>
        <v>960.68</v>
      </c>
      <c r="I81" s="4">
        <f t="shared" si="19"/>
        <v>352.81</v>
      </c>
      <c r="J81" s="4">
        <f t="shared" si="20"/>
        <v>8.42889940761316</v>
      </c>
      <c r="N81" s="4">
        <f>N80+职业基础属性!D$3*LOOKUP($B81,职业基础属性!$M$8:$M$16,职业基础属性!$O$8:$O$16)</f>
        <v>975.5</v>
      </c>
      <c r="O81" s="4">
        <f>O80+职业基础属性!F$3*LOOKUP($B81,职业基础属性!$M$8:$M$16,职业基础属性!$O$8:$O$16)</f>
        <v>195.1</v>
      </c>
      <c r="P81" s="4">
        <f>P80+职业基础属性!I$3*LOOKUP($B81,职业基础属性!$M$8:$M$16,职业基础属性!$O$8:$O$16)</f>
        <v>97.55</v>
      </c>
      <c r="R81" s="4">
        <f t="shared" si="11"/>
        <v>53</v>
      </c>
      <c r="S81" s="4">
        <f t="shared" si="12"/>
        <v>530</v>
      </c>
      <c r="T81" s="4">
        <f t="shared" si="12"/>
        <v>265</v>
      </c>
      <c r="U81" s="4">
        <f t="shared" si="12"/>
        <v>265</v>
      </c>
      <c r="W81" s="7" t="str">
        <f>IFERROR(VLOOKUP($B81&amp;"级"&amp;W$4,装备强化!$M:$N,2,0),W80)</f>
        <v>80级通用武器</v>
      </c>
      <c r="X81" s="7" t="str">
        <f>IFERROR(VLOOKUP($B81&amp;"级"&amp;X$4,装备强化!$M:$N,2,0),X80)</f>
        <v>80级通用头盔</v>
      </c>
      <c r="Y81" s="7" t="str">
        <f>IFERROR(VLOOKUP($B81&amp;"级"&amp;Y$4,装备强化!$M:$N,2,0),Y80)</f>
        <v>80级通用衣服</v>
      </c>
      <c r="Z81" s="7" t="str">
        <f>IFERROR(VLOOKUP($B81&amp;"级"&amp;Z$4,装备强化!$M:$N,2,0),Z80)</f>
        <v>70级通用腰带</v>
      </c>
      <c r="AA81" s="7" t="str">
        <f>IFERROR(VLOOKUP($B81&amp;"级"&amp;AA$4,装备强化!$M:$N,2,0),AA80)</f>
        <v>80级通用鞋子</v>
      </c>
      <c r="AB81" s="7" t="str">
        <f>IFERROR(VLOOKUP($B81&amp;"级"&amp;AB$4,装备强化!$M:$N,2,0),AB80)</f>
        <v>80级通用项链</v>
      </c>
      <c r="AC81" s="7" t="str">
        <f>IFERROR(VLOOKUP($B81&amp;"级"&amp;AC$4,装备强化!$M:$N,2,0),AC80)</f>
        <v>80级通用手镯</v>
      </c>
      <c r="AD81" s="7" t="str">
        <f>IFERROR(VLOOKUP($B81&amp;"级"&amp;AD$4,装备强化!$M:$N,2,0),AD80)</f>
        <v>80级通用戒指</v>
      </c>
      <c r="AE81" s="4">
        <f>IFERROR(VLOOKUP($W81,装备强化!$N:$T,AE$3,0),0)+IFERROR(VLOOKUP($X81,装备强化!$N:$T,AE$3,0),0)+IFERROR(VLOOKUP($Y81,装备强化!$N:$T,AE$3,0),0)+IFERROR(VLOOKUP($Z81,装备强化!$N:$T,AE$3,0),0)+IFERROR(VLOOKUP($AA81,装备强化!$N:$T,AE$3,0),0)+IFERROR(VLOOKUP($AB81,装备强化!$N:$T,AE$3,0),0)+IFERROR(VLOOKUP($AC81,装备强化!$N:$T,AE$3,0)*2,0)+IFERROR(VLOOKUP($AD81,装备强化!$N:$T,AE$3,0)*2,0)</f>
        <v>1293.3</v>
      </c>
      <c r="AF81" s="4">
        <f>IFERROR(VLOOKUP($W81,装备强化!$N:$T,AF$3,0),0)+IFERROR(VLOOKUP($X81,装备强化!$N:$T,AF$3,0),0)+IFERROR(VLOOKUP($Y81,装备强化!$N:$T,AF$3,0),0)+IFERROR(VLOOKUP($Z81,装备强化!$N:$T,AF$3,0),0)+IFERROR(VLOOKUP($AA81,装备强化!$N:$T,AF$3,0),0)+IFERROR(VLOOKUP($AB81,装备强化!$N:$T,AF$3,0),0)+IFERROR(VLOOKUP($AC81,装备强化!$N:$T,AF$3,0)*2,0)+IFERROR(VLOOKUP($AD81,装备强化!$N:$T,AF$3,0)*2,0)</f>
        <v>148.8</v>
      </c>
      <c r="AG81" s="4">
        <f>IFERROR(VLOOKUP($W81,装备强化!$N:$T,AG$3,0),0)+IFERROR(VLOOKUP($X81,装备强化!$N:$T,AG$3,0),0)+IFERROR(VLOOKUP($Y81,装备强化!$N:$T,AG$3,0),0)+IFERROR(VLOOKUP($Z81,装备强化!$N:$T,AG$3,0),0)+IFERROR(VLOOKUP($AA81,装备强化!$N:$T,AG$3,0),0)+IFERROR(VLOOKUP($AB81,装备强化!$N:$T,AG$3,0),0)+IFERROR(VLOOKUP($AC81,装备强化!$N:$T,AG$3,0)*2,0)+IFERROR(VLOOKUP($AD81,装备强化!$N:$T,AG$3,0)*2,0)</f>
        <v>70.32</v>
      </c>
      <c r="AI81" s="4">
        <f>LOOKUP($B81,装备设定!$B$48:$B$55,装备设定!$F$48:$F$55)*(COUNTA($W81:$AB81)+COUNTA($AC81:$AD81)*2)*AI$3</f>
        <v>175</v>
      </c>
      <c r="AJ81" s="4">
        <f>LOOKUP($B81,装备设定!$B$48:$B$55,装备设定!$F$48:$F$55)*(COUNTA($W81:$AB81)+COUNTA($AC81:$AD81)*2)*AJ$3</f>
        <v>175</v>
      </c>
      <c r="AK81" s="4">
        <f>LOOKUP($B81,装备设定!$B$48:$B$55,装备设定!$F$48:$F$55)*(COUNTA($W81:$AB81)+COUNTA($AC81:$AD81)*2)*AK$3</f>
        <v>175</v>
      </c>
    </row>
    <row r="82" spans="1:37">
      <c r="A82" s="4">
        <f>INT(C82*基础设定!$D$9+D82*基础设定!$D$11+E82*基础设定!$D$14)</f>
        <v>20227</v>
      </c>
      <c r="B82" s="4">
        <v>78</v>
      </c>
      <c r="C82" s="4">
        <f t="shared" si="13"/>
        <v>3051.7</v>
      </c>
      <c r="D82" s="4">
        <f t="shared" si="14"/>
        <v>793.3</v>
      </c>
      <c r="E82" s="4">
        <f t="shared" si="15"/>
        <v>619.15</v>
      </c>
      <c r="F82" s="4">
        <f t="shared" si="16"/>
        <v>174.15</v>
      </c>
      <c r="G82" s="4">
        <f t="shared" si="17"/>
        <v>17.5233993683606</v>
      </c>
      <c r="H82" s="4">
        <f t="shared" si="18"/>
        <v>971.96</v>
      </c>
      <c r="I82" s="4">
        <f t="shared" si="19"/>
        <v>352.81</v>
      </c>
      <c r="J82" s="4">
        <f t="shared" si="20"/>
        <v>8.64969813780789</v>
      </c>
      <c r="N82" s="4">
        <f>N81+职业基础属性!D$3*LOOKUP($B82,职业基础属性!$M$8:$M$16,职业基础属性!$O$8:$O$16)</f>
        <v>997.5</v>
      </c>
      <c r="O82" s="4">
        <f>O81+职业基础属性!F$3*LOOKUP($B82,职业基础属性!$M$8:$M$16,职业基础属性!$O$8:$O$16)</f>
        <v>199.5</v>
      </c>
      <c r="P82" s="4">
        <f>P81+职业基础属性!I$3*LOOKUP($B82,职业基础属性!$M$8:$M$16,职业基础属性!$O$8:$O$16)</f>
        <v>99.75</v>
      </c>
      <c r="R82" s="4">
        <f t="shared" si="11"/>
        <v>54</v>
      </c>
      <c r="S82" s="4">
        <f t="shared" si="12"/>
        <v>540</v>
      </c>
      <c r="T82" s="4">
        <f t="shared" si="12"/>
        <v>270</v>
      </c>
      <c r="U82" s="4">
        <f t="shared" si="12"/>
        <v>270</v>
      </c>
      <c r="W82" s="7" t="str">
        <f>IFERROR(VLOOKUP($B82&amp;"级"&amp;W$4,装备强化!$M:$N,2,0),W81)</f>
        <v>80级通用武器</v>
      </c>
      <c r="X82" s="7" t="str">
        <f>IFERROR(VLOOKUP($B82&amp;"级"&amp;X$4,装备强化!$M:$N,2,0),X81)</f>
        <v>80级通用头盔</v>
      </c>
      <c r="Y82" s="7" t="str">
        <f>IFERROR(VLOOKUP($B82&amp;"级"&amp;Y$4,装备强化!$M:$N,2,0),Y81)</f>
        <v>80级通用衣服</v>
      </c>
      <c r="Z82" s="7" t="str">
        <f>IFERROR(VLOOKUP($B82&amp;"级"&amp;Z$4,装备强化!$M:$N,2,0),Z81)</f>
        <v>80级通用腰带</v>
      </c>
      <c r="AA82" s="7" t="str">
        <f>IFERROR(VLOOKUP($B82&amp;"级"&amp;AA$4,装备强化!$M:$N,2,0),AA81)</f>
        <v>80级通用鞋子</v>
      </c>
      <c r="AB82" s="7" t="str">
        <f>IFERROR(VLOOKUP($B82&amp;"级"&amp;AB$4,装备强化!$M:$N,2,0),AB81)</f>
        <v>80级通用项链</v>
      </c>
      <c r="AC82" s="7" t="str">
        <f>IFERROR(VLOOKUP($B82&amp;"级"&amp;AC$4,装备强化!$M:$N,2,0),AC81)</f>
        <v>80级通用手镯</v>
      </c>
      <c r="AD82" s="7" t="str">
        <f>IFERROR(VLOOKUP($B82&amp;"级"&amp;AD$4,装备强化!$M:$N,2,0),AD81)</f>
        <v>80级通用戒指</v>
      </c>
      <c r="AE82" s="4">
        <f>IFERROR(VLOOKUP($W82,装备强化!$N:$T,AE$3,0),0)+IFERROR(VLOOKUP($X82,装备强化!$N:$T,AE$3,0),0)+IFERROR(VLOOKUP($Y82,装备强化!$N:$T,AE$3,0),0)+IFERROR(VLOOKUP($Z82,装备强化!$N:$T,AE$3,0),0)+IFERROR(VLOOKUP($AA82,装备强化!$N:$T,AE$3,0),0)+IFERROR(VLOOKUP($AB82,装备强化!$N:$T,AE$3,0),0)+IFERROR(VLOOKUP($AC82,装备强化!$N:$T,AE$3,0)*2,0)+IFERROR(VLOOKUP($AD82,装备强化!$N:$T,AE$3,0)*2,0)</f>
        <v>1339.2</v>
      </c>
      <c r="AF82" s="4">
        <f>IFERROR(VLOOKUP($W82,装备强化!$N:$T,AF$3,0),0)+IFERROR(VLOOKUP($X82,装备强化!$N:$T,AF$3,0),0)+IFERROR(VLOOKUP($Y82,装备强化!$N:$T,AF$3,0),0)+IFERROR(VLOOKUP($Z82,装备强化!$N:$T,AF$3,0),0)+IFERROR(VLOOKUP($AA82,装备强化!$N:$T,AF$3,0),0)+IFERROR(VLOOKUP($AB82,装备强化!$N:$T,AF$3,0),0)+IFERROR(VLOOKUP($AC82,装备强化!$N:$T,AF$3,0)*2,0)+IFERROR(VLOOKUP($AD82,装备强化!$N:$T,AF$3,0)*2,0)</f>
        <v>148.8</v>
      </c>
      <c r="AG82" s="4">
        <f>IFERROR(VLOOKUP($W82,装备强化!$N:$T,AG$3,0),0)+IFERROR(VLOOKUP($X82,装备强化!$N:$T,AG$3,0),0)+IFERROR(VLOOKUP($Y82,装备强化!$N:$T,AG$3,0),0)+IFERROR(VLOOKUP($Z82,装备强化!$N:$T,AG$3,0),0)+IFERROR(VLOOKUP($AA82,装备强化!$N:$T,AG$3,0),0)+IFERROR(VLOOKUP($AB82,装备强化!$N:$T,AG$3,0),0)+IFERROR(VLOOKUP($AC82,装备强化!$N:$T,AG$3,0)*2,0)+IFERROR(VLOOKUP($AD82,装备强化!$N:$T,AG$3,0)*2,0)</f>
        <v>74.4</v>
      </c>
      <c r="AI82" s="4">
        <f>LOOKUP($B82,装备设定!$B$48:$B$55,装备设定!$F$48:$F$55)*(COUNTA($W82:$AB82)+COUNTA($AC82:$AD82)*2)*AI$3</f>
        <v>175</v>
      </c>
      <c r="AJ82" s="4">
        <f>LOOKUP($B82,装备设定!$B$48:$B$55,装备设定!$F$48:$F$55)*(COUNTA($W82:$AB82)+COUNTA($AC82:$AD82)*2)*AJ$3</f>
        <v>175</v>
      </c>
      <c r="AK82" s="4">
        <f>LOOKUP($B82,装备设定!$B$48:$B$55,装备设定!$F$48:$F$55)*(COUNTA($W82:$AB82)+COUNTA($AC82:$AD82)*2)*AK$3</f>
        <v>175</v>
      </c>
    </row>
    <row r="83" spans="1:37">
      <c r="A83" s="4">
        <f>INT(C83*基础设定!$D$9+D83*基础设定!$D$11+E83*基础设定!$D$14)</f>
        <v>20337</v>
      </c>
      <c r="B83" s="4">
        <v>79</v>
      </c>
      <c r="C83" s="4">
        <f t="shared" si="13"/>
        <v>3073.7</v>
      </c>
      <c r="D83" s="4">
        <f t="shared" si="14"/>
        <v>797.7</v>
      </c>
      <c r="E83" s="4">
        <f t="shared" si="15"/>
        <v>621.35</v>
      </c>
      <c r="F83" s="4">
        <f t="shared" si="16"/>
        <v>176.35</v>
      </c>
      <c r="G83" s="4">
        <f t="shared" si="17"/>
        <v>17.4295435214063</v>
      </c>
      <c r="H83" s="4">
        <f t="shared" si="18"/>
        <v>977.24</v>
      </c>
      <c r="I83" s="4">
        <f t="shared" si="19"/>
        <v>355.89</v>
      </c>
      <c r="J83" s="4">
        <f t="shared" si="20"/>
        <v>8.63665739413864</v>
      </c>
      <c r="N83" s="4">
        <f>N82+职业基础属性!D$3*LOOKUP($B83,职业基础属性!$M$8:$M$16,职业基础属性!$O$8:$O$16)</f>
        <v>1019.5</v>
      </c>
      <c r="O83" s="4">
        <f>O82+职业基础属性!F$3*LOOKUP($B83,职业基础属性!$M$8:$M$16,职业基础属性!$O$8:$O$16)</f>
        <v>203.9</v>
      </c>
      <c r="P83" s="4">
        <f>P82+职业基础属性!I$3*LOOKUP($B83,职业基础属性!$M$8:$M$16,职业基础属性!$O$8:$O$16)</f>
        <v>101.95</v>
      </c>
      <c r="R83" s="4">
        <f t="shared" si="11"/>
        <v>54</v>
      </c>
      <c r="S83" s="4">
        <f t="shared" si="12"/>
        <v>540</v>
      </c>
      <c r="T83" s="4">
        <f t="shared" si="12"/>
        <v>270</v>
      </c>
      <c r="U83" s="4">
        <f t="shared" si="12"/>
        <v>270</v>
      </c>
      <c r="W83" s="7" t="str">
        <f>IFERROR(VLOOKUP($B83&amp;"级"&amp;W$4,装备强化!$M:$N,2,0),W82)</f>
        <v>80级通用武器</v>
      </c>
      <c r="X83" s="7" t="str">
        <f>IFERROR(VLOOKUP($B83&amp;"级"&amp;X$4,装备强化!$M:$N,2,0),X82)</f>
        <v>80级通用头盔</v>
      </c>
      <c r="Y83" s="7" t="str">
        <f>IFERROR(VLOOKUP($B83&amp;"级"&amp;Y$4,装备强化!$M:$N,2,0),Y82)</f>
        <v>80级通用衣服</v>
      </c>
      <c r="Z83" s="7" t="str">
        <f>IFERROR(VLOOKUP($B83&amp;"级"&amp;Z$4,装备强化!$M:$N,2,0),Z82)</f>
        <v>80级通用腰带</v>
      </c>
      <c r="AA83" s="7" t="str">
        <f>IFERROR(VLOOKUP($B83&amp;"级"&amp;AA$4,装备强化!$M:$N,2,0),AA82)</f>
        <v>80级通用鞋子</v>
      </c>
      <c r="AB83" s="7" t="str">
        <f>IFERROR(VLOOKUP($B83&amp;"级"&amp;AB$4,装备强化!$M:$N,2,0),AB82)</f>
        <v>80级通用项链</v>
      </c>
      <c r="AC83" s="7" t="str">
        <f>IFERROR(VLOOKUP($B83&amp;"级"&amp;AC$4,装备强化!$M:$N,2,0),AC82)</f>
        <v>80级通用手镯</v>
      </c>
      <c r="AD83" s="7" t="str">
        <f>IFERROR(VLOOKUP($B83&amp;"级"&amp;AD$4,装备强化!$M:$N,2,0),AD82)</f>
        <v>80级通用戒指</v>
      </c>
      <c r="AE83" s="4">
        <f>IFERROR(VLOOKUP($W83,装备强化!$N:$T,AE$3,0),0)+IFERROR(VLOOKUP($X83,装备强化!$N:$T,AE$3,0),0)+IFERROR(VLOOKUP($Y83,装备强化!$N:$T,AE$3,0),0)+IFERROR(VLOOKUP($Z83,装备强化!$N:$T,AE$3,0),0)+IFERROR(VLOOKUP($AA83,装备强化!$N:$T,AE$3,0),0)+IFERROR(VLOOKUP($AB83,装备强化!$N:$T,AE$3,0),0)+IFERROR(VLOOKUP($AC83,装备强化!$N:$T,AE$3,0)*2,0)+IFERROR(VLOOKUP($AD83,装备强化!$N:$T,AE$3,0)*2,0)</f>
        <v>1339.2</v>
      </c>
      <c r="AF83" s="4">
        <f>IFERROR(VLOOKUP($W83,装备强化!$N:$T,AF$3,0),0)+IFERROR(VLOOKUP($X83,装备强化!$N:$T,AF$3,0),0)+IFERROR(VLOOKUP($Y83,装备强化!$N:$T,AF$3,0),0)+IFERROR(VLOOKUP($Z83,装备强化!$N:$T,AF$3,0),0)+IFERROR(VLOOKUP($AA83,装备强化!$N:$T,AF$3,0),0)+IFERROR(VLOOKUP($AB83,装备强化!$N:$T,AF$3,0),0)+IFERROR(VLOOKUP($AC83,装备强化!$N:$T,AF$3,0)*2,0)+IFERROR(VLOOKUP($AD83,装备强化!$N:$T,AF$3,0)*2,0)</f>
        <v>148.8</v>
      </c>
      <c r="AG83" s="4">
        <f>IFERROR(VLOOKUP($W83,装备强化!$N:$T,AG$3,0),0)+IFERROR(VLOOKUP($X83,装备强化!$N:$T,AG$3,0),0)+IFERROR(VLOOKUP($Y83,装备强化!$N:$T,AG$3,0),0)+IFERROR(VLOOKUP($Z83,装备强化!$N:$T,AG$3,0),0)+IFERROR(VLOOKUP($AA83,装备强化!$N:$T,AG$3,0),0)+IFERROR(VLOOKUP($AB83,装备强化!$N:$T,AG$3,0),0)+IFERROR(VLOOKUP($AC83,装备强化!$N:$T,AG$3,0)*2,0)+IFERROR(VLOOKUP($AD83,装备强化!$N:$T,AG$3,0)*2,0)</f>
        <v>74.4</v>
      </c>
      <c r="AI83" s="4">
        <f>LOOKUP($B83,装备设定!$B$48:$B$55,装备设定!$F$48:$F$55)*(COUNTA($W83:$AB83)+COUNTA($AC83:$AD83)*2)*AI$3</f>
        <v>175</v>
      </c>
      <c r="AJ83" s="4">
        <f>LOOKUP($B83,装备设定!$B$48:$B$55,装备设定!$F$48:$F$55)*(COUNTA($W83:$AB83)+COUNTA($AC83:$AD83)*2)*AJ$3</f>
        <v>175</v>
      </c>
      <c r="AK83" s="4">
        <f>LOOKUP($B83,装备设定!$B$48:$B$55,装备设定!$F$48:$F$55)*(COUNTA($W83:$AB83)+COUNTA($AC83:$AD83)*2)*AK$3</f>
        <v>175</v>
      </c>
    </row>
    <row r="84" spans="1:37">
      <c r="A84" s="4">
        <f>INT(C84*基础设定!$D$9+D84*基础设定!$D$11+E84*基础设定!$D$14)</f>
        <v>20567</v>
      </c>
      <c r="B84" s="4">
        <v>80</v>
      </c>
      <c r="C84" s="4">
        <f t="shared" si="13"/>
        <v>3105.7</v>
      </c>
      <c r="D84" s="4">
        <f t="shared" si="14"/>
        <v>807.1</v>
      </c>
      <c r="E84" s="4">
        <f t="shared" si="15"/>
        <v>628.55</v>
      </c>
      <c r="F84" s="4">
        <f t="shared" si="16"/>
        <v>178.55</v>
      </c>
      <c r="G84" s="4">
        <f t="shared" si="17"/>
        <v>17.3940072808737</v>
      </c>
      <c r="H84" s="4">
        <f t="shared" si="18"/>
        <v>988.52</v>
      </c>
      <c r="I84" s="4">
        <f t="shared" si="19"/>
        <v>359.97</v>
      </c>
      <c r="J84" s="4">
        <f t="shared" si="20"/>
        <v>8.62766341639581</v>
      </c>
      <c r="N84" s="4">
        <f>N83+职业基础属性!D$3*LOOKUP($B84,职业基础属性!$M$8:$M$16,职业基础属性!$O$8:$O$16)</f>
        <v>1041.5</v>
      </c>
      <c r="O84" s="4">
        <f>O83+职业基础属性!F$3*LOOKUP($B84,职业基础属性!$M$8:$M$16,职业基础属性!$O$8:$O$16)</f>
        <v>208.3</v>
      </c>
      <c r="P84" s="4">
        <f>P83+职业基础属性!I$3*LOOKUP($B84,职业基础属性!$M$8:$M$16,职业基础属性!$O$8:$O$16)</f>
        <v>104.15</v>
      </c>
      <c r="R84" s="4">
        <f t="shared" si="11"/>
        <v>55</v>
      </c>
      <c r="S84" s="4">
        <f t="shared" si="12"/>
        <v>550</v>
      </c>
      <c r="T84" s="4">
        <f t="shared" si="12"/>
        <v>275</v>
      </c>
      <c r="U84" s="4">
        <f t="shared" si="12"/>
        <v>275</v>
      </c>
      <c r="W84" s="7" t="str">
        <f>IFERROR(VLOOKUP($B84&amp;"级"&amp;W$4,装备强化!$M:$N,2,0),W83)</f>
        <v>80级通用武器</v>
      </c>
      <c r="X84" s="7" t="str">
        <f>IFERROR(VLOOKUP($B84&amp;"级"&amp;X$4,装备强化!$M:$N,2,0),X83)</f>
        <v>80级通用头盔</v>
      </c>
      <c r="Y84" s="7" t="str">
        <f>IFERROR(VLOOKUP($B84&amp;"级"&amp;Y$4,装备强化!$M:$N,2,0),Y83)</f>
        <v>80级通用衣服</v>
      </c>
      <c r="Z84" s="7" t="str">
        <f>IFERROR(VLOOKUP($B84&amp;"级"&amp;Z$4,装备强化!$M:$N,2,0),Z83)</f>
        <v>80级通用腰带</v>
      </c>
      <c r="AA84" s="7" t="str">
        <f>IFERROR(VLOOKUP($B84&amp;"级"&amp;AA$4,装备强化!$M:$N,2,0),AA83)</f>
        <v>80级通用鞋子</v>
      </c>
      <c r="AB84" s="7" t="str">
        <f>IFERROR(VLOOKUP($B84&amp;"级"&amp;AB$4,装备强化!$M:$N,2,0),AB83)</f>
        <v>80级通用项链</v>
      </c>
      <c r="AC84" s="7" t="str">
        <f>IFERROR(VLOOKUP($B84&amp;"级"&amp;AC$4,装备强化!$M:$N,2,0),AC83)</f>
        <v>80级通用手镯</v>
      </c>
      <c r="AD84" s="7" t="str">
        <f>IFERROR(VLOOKUP($B84&amp;"级"&amp;AD$4,装备强化!$M:$N,2,0),AD83)</f>
        <v>80级通用戒指</v>
      </c>
      <c r="AE84" s="4">
        <f>IFERROR(VLOOKUP($W84,装备强化!$N:$T,AE$3,0),0)+IFERROR(VLOOKUP($X84,装备强化!$N:$T,AE$3,0),0)+IFERROR(VLOOKUP($Y84,装备强化!$N:$T,AE$3,0),0)+IFERROR(VLOOKUP($Z84,装备强化!$N:$T,AE$3,0),0)+IFERROR(VLOOKUP($AA84,装备强化!$N:$T,AE$3,0),0)+IFERROR(VLOOKUP($AB84,装备强化!$N:$T,AE$3,0),0)+IFERROR(VLOOKUP($AC84,装备强化!$N:$T,AE$3,0)*2,0)+IFERROR(VLOOKUP($AD84,装备强化!$N:$T,AE$3,0)*2,0)</f>
        <v>1339.2</v>
      </c>
      <c r="AF84" s="4">
        <f>IFERROR(VLOOKUP($W84,装备强化!$N:$T,AF$3,0),0)+IFERROR(VLOOKUP($X84,装备强化!$N:$T,AF$3,0),0)+IFERROR(VLOOKUP($Y84,装备强化!$N:$T,AF$3,0),0)+IFERROR(VLOOKUP($Z84,装备强化!$N:$T,AF$3,0),0)+IFERROR(VLOOKUP($AA84,装备强化!$N:$T,AF$3,0),0)+IFERROR(VLOOKUP($AB84,装备强化!$N:$T,AF$3,0),0)+IFERROR(VLOOKUP($AC84,装备强化!$N:$T,AF$3,0)*2,0)+IFERROR(VLOOKUP($AD84,装备强化!$N:$T,AF$3,0)*2,0)</f>
        <v>148.8</v>
      </c>
      <c r="AG84" s="4">
        <f>IFERROR(VLOOKUP($W84,装备强化!$N:$T,AG$3,0),0)+IFERROR(VLOOKUP($X84,装备强化!$N:$T,AG$3,0),0)+IFERROR(VLOOKUP($Y84,装备强化!$N:$T,AG$3,0),0)+IFERROR(VLOOKUP($Z84,装备强化!$N:$T,AG$3,0),0)+IFERROR(VLOOKUP($AA84,装备强化!$N:$T,AG$3,0),0)+IFERROR(VLOOKUP($AB84,装备强化!$N:$T,AG$3,0),0)+IFERROR(VLOOKUP($AC84,装备强化!$N:$T,AG$3,0)*2,0)+IFERROR(VLOOKUP($AD84,装备强化!$N:$T,AG$3,0)*2,0)</f>
        <v>74.4</v>
      </c>
      <c r="AI84" s="4">
        <f>LOOKUP($B84,装备设定!$B$48:$B$55,装备设定!$F$48:$F$55)*(COUNTA($W84:$AB84)+COUNTA($AC84:$AD84)*2)*AI$3</f>
        <v>175</v>
      </c>
      <c r="AJ84" s="4">
        <f>LOOKUP($B84,装备设定!$B$48:$B$55,装备设定!$F$48:$F$55)*(COUNTA($W84:$AB84)+COUNTA($AC84:$AD84)*2)*AJ$3</f>
        <v>175</v>
      </c>
      <c r="AK84" s="4">
        <f>LOOKUP($B84,装备设定!$B$48:$B$55,装备设定!$F$48:$F$55)*(COUNTA($W84:$AB84)+COUNTA($AC84:$AD84)*2)*AK$3</f>
        <v>175</v>
      </c>
    </row>
  </sheetData>
  <pageMargins left="0.7" right="0.7" top="0.75" bottom="0.75" header="0.3" footer="0.3"/>
  <pageSetup paperSize="9" orientation="portrait" horizontalDpi="360" verticalDpi="36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2:Z28"/>
  <sheetViews>
    <sheetView workbookViewId="0">
      <selection activeCell="E14" sqref="E14"/>
    </sheetView>
  </sheetViews>
  <sheetFormatPr defaultColWidth="9" defaultRowHeight="14.25"/>
  <cols>
    <col min="1" max="6" width="9" style="4"/>
    <col min="7" max="7" width="51.875" style="4" customWidth="1"/>
    <col min="8" max="8" width="4.875" style="4" customWidth="1"/>
    <col min="9" max="23" width="6.875" style="4" customWidth="1"/>
    <col min="24" max="16384" width="9" style="4"/>
  </cols>
  <sheetData>
    <row r="2" spans="2:23">
      <c r="B2" s="4" t="s">
        <v>93</v>
      </c>
      <c r="D2" s="4" t="s">
        <v>1101</v>
      </c>
      <c r="E2" s="4" t="s">
        <v>1102</v>
      </c>
      <c r="I2" s="4">
        <v>1</v>
      </c>
      <c r="J2" s="4">
        <v>2</v>
      </c>
      <c r="K2" s="4">
        <v>3</v>
      </c>
      <c r="L2" s="4">
        <v>4</v>
      </c>
      <c r="M2" s="4">
        <v>5</v>
      </c>
      <c r="N2" s="4">
        <v>6</v>
      </c>
      <c r="O2" s="4">
        <v>7</v>
      </c>
      <c r="P2" s="4">
        <v>8</v>
      </c>
      <c r="Q2" s="4">
        <v>9</v>
      </c>
      <c r="R2" s="4">
        <v>10</v>
      </c>
      <c r="S2" s="4">
        <v>11</v>
      </c>
      <c r="T2" s="4">
        <v>12</v>
      </c>
      <c r="U2" s="4">
        <v>13</v>
      </c>
      <c r="V2" s="4">
        <v>14</v>
      </c>
      <c r="W2" s="4">
        <v>15</v>
      </c>
    </row>
    <row r="3" spans="3:26">
      <c r="C3" s="4">
        <v>1</v>
      </c>
      <c r="D3" s="4" t="s">
        <v>1053</v>
      </c>
      <c r="E3" s="4" t="s">
        <v>1103</v>
      </c>
      <c r="F3" s="4" t="s">
        <v>1104</v>
      </c>
      <c r="G3" s="4" t="s">
        <v>1105</v>
      </c>
      <c r="H3" s="4">
        <v>1</v>
      </c>
      <c r="Y3" s="4" t="s">
        <v>1053</v>
      </c>
      <c r="Z3" s="4" t="s">
        <v>1106</v>
      </c>
    </row>
    <row r="4" spans="3:26">
      <c r="C4" s="4">
        <v>2</v>
      </c>
      <c r="D4" s="4" t="s">
        <v>1056</v>
      </c>
      <c r="E4" s="4" t="s">
        <v>1107</v>
      </c>
      <c r="F4" s="4" t="s">
        <v>1104</v>
      </c>
      <c r="G4" s="4" t="s">
        <v>1108</v>
      </c>
      <c r="H4" s="4">
        <v>1</v>
      </c>
      <c r="Y4" s="4" t="s">
        <v>1109</v>
      </c>
      <c r="Z4" s="4" t="s">
        <v>1110</v>
      </c>
    </row>
    <row r="5" spans="3:25">
      <c r="C5" s="4">
        <v>3</v>
      </c>
      <c r="D5" s="4" t="s">
        <v>1059</v>
      </c>
      <c r="E5" s="4" t="s">
        <v>1111</v>
      </c>
      <c r="F5" s="4" t="s">
        <v>1104</v>
      </c>
      <c r="G5" s="4" t="s">
        <v>1112</v>
      </c>
      <c r="H5" s="4">
        <v>1</v>
      </c>
      <c r="Y5" s="4" t="s">
        <v>1113</v>
      </c>
    </row>
    <row r="6" spans="3:26">
      <c r="C6" s="4">
        <v>4</v>
      </c>
      <c r="D6" s="4" t="s">
        <v>1062</v>
      </c>
      <c r="E6" s="4" t="s">
        <v>1114</v>
      </c>
      <c r="F6" s="5" t="s">
        <v>1115</v>
      </c>
      <c r="G6" s="4" t="s">
        <v>1116</v>
      </c>
      <c r="H6" s="4">
        <v>2</v>
      </c>
      <c r="Y6" s="4" t="s">
        <v>1117</v>
      </c>
      <c r="Z6" s="4" t="s">
        <v>1118</v>
      </c>
    </row>
    <row r="7" spans="3:26">
      <c r="C7" s="4">
        <v>5</v>
      </c>
      <c r="D7" s="4" t="s">
        <v>1065</v>
      </c>
      <c r="E7" s="4" t="s">
        <v>1119</v>
      </c>
      <c r="F7" s="4" t="s">
        <v>1104</v>
      </c>
      <c r="G7" s="4" t="s">
        <v>1120</v>
      </c>
      <c r="H7" s="4">
        <v>1</v>
      </c>
      <c r="Y7" s="4" t="s">
        <v>1121</v>
      </c>
      <c r="Z7" s="4" t="s">
        <v>1122</v>
      </c>
    </row>
    <row r="8" spans="3:25">
      <c r="C8" s="4">
        <v>6</v>
      </c>
      <c r="D8" s="4" t="s">
        <v>1068</v>
      </c>
      <c r="E8" s="5" t="s">
        <v>1123</v>
      </c>
      <c r="F8" s="5" t="s">
        <v>1115</v>
      </c>
      <c r="G8" s="5" t="s">
        <v>1124</v>
      </c>
      <c r="H8" s="4">
        <v>2</v>
      </c>
      <c r="Y8" s="4" t="s">
        <v>1062</v>
      </c>
    </row>
    <row r="9" spans="3:8">
      <c r="C9" s="4">
        <v>7</v>
      </c>
      <c r="D9" s="4" t="s">
        <v>1071</v>
      </c>
      <c r="E9" s="4" t="s">
        <v>1125</v>
      </c>
      <c r="F9" s="4" t="s">
        <v>1104</v>
      </c>
      <c r="G9" s="4" t="s">
        <v>1126</v>
      </c>
      <c r="H9" s="4">
        <v>1</v>
      </c>
    </row>
    <row r="11" spans="2:2">
      <c r="B11" s="4" t="s">
        <v>94</v>
      </c>
    </row>
    <row r="12" spans="3:8">
      <c r="C12" s="4">
        <v>1</v>
      </c>
      <c r="D12" s="4" t="s">
        <v>1054</v>
      </c>
      <c r="E12" s="4" t="s">
        <v>1054</v>
      </c>
      <c r="F12" s="4" t="s">
        <v>1104</v>
      </c>
      <c r="G12" s="4" t="s">
        <v>1127</v>
      </c>
      <c r="H12" s="4">
        <v>1</v>
      </c>
    </row>
    <row r="13" spans="3:8">
      <c r="C13" s="4">
        <v>2</v>
      </c>
      <c r="D13" s="4" t="s">
        <v>1128</v>
      </c>
      <c r="E13" s="4" t="s">
        <v>1057</v>
      </c>
      <c r="F13" s="4" t="s">
        <v>1104</v>
      </c>
      <c r="G13" s="4" t="s">
        <v>1129</v>
      </c>
      <c r="H13" s="4">
        <v>1</v>
      </c>
    </row>
    <row r="14" spans="3:8">
      <c r="C14" s="4">
        <v>3</v>
      </c>
      <c r="D14" s="4" t="s">
        <v>1060</v>
      </c>
      <c r="E14" s="4" t="s">
        <v>1060</v>
      </c>
      <c r="F14" s="4" t="s">
        <v>1104</v>
      </c>
      <c r="G14" s="4" t="s">
        <v>1130</v>
      </c>
      <c r="H14" s="4">
        <v>1</v>
      </c>
    </row>
    <row r="15" spans="3:8">
      <c r="C15" s="4">
        <v>4</v>
      </c>
      <c r="D15" s="4" t="s">
        <v>1063</v>
      </c>
      <c r="E15" s="4" t="s">
        <v>1131</v>
      </c>
      <c r="F15" s="4" t="s">
        <v>1104</v>
      </c>
      <c r="G15" s="4" t="s">
        <v>1132</v>
      </c>
      <c r="H15" s="4">
        <v>1</v>
      </c>
    </row>
    <row r="16" spans="3:8">
      <c r="C16" s="4">
        <v>5</v>
      </c>
      <c r="D16" s="5" t="s">
        <v>1066</v>
      </c>
      <c r="E16" s="5" t="s">
        <v>1133</v>
      </c>
      <c r="F16" s="5" t="s">
        <v>1115</v>
      </c>
      <c r="G16" s="5" t="s">
        <v>1134</v>
      </c>
      <c r="H16" s="4">
        <v>2</v>
      </c>
    </row>
    <row r="17" spans="3:8">
      <c r="C17" s="4">
        <v>6</v>
      </c>
      <c r="D17" s="4" t="s">
        <v>1069</v>
      </c>
      <c r="E17" s="4" t="s">
        <v>1135</v>
      </c>
      <c r="F17" s="4" t="s">
        <v>1104</v>
      </c>
      <c r="G17" s="4" t="s">
        <v>1136</v>
      </c>
      <c r="H17" s="4">
        <v>1</v>
      </c>
    </row>
    <row r="18" spans="3:8">
      <c r="C18" s="4">
        <v>7</v>
      </c>
      <c r="D18" s="4" t="s">
        <v>1137</v>
      </c>
      <c r="E18" s="4" t="s">
        <v>1138</v>
      </c>
      <c r="F18" s="4" t="s">
        <v>1104</v>
      </c>
      <c r="G18" s="4" t="s">
        <v>1139</v>
      </c>
      <c r="H18" s="4">
        <v>1</v>
      </c>
    </row>
    <row r="21" spans="2:2">
      <c r="B21" s="4" t="s">
        <v>1140</v>
      </c>
    </row>
    <row r="22" spans="3:8">
      <c r="C22" s="4">
        <v>1</v>
      </c>
      <c r="D22" s="4" t="s">
        <v>1055</v>
      </c>
      <c r="E22" s="4" t="s">
        <v>1141</v>
      </c>
      <c r="F22" s="4" t="s">
        <v>1104</v>
      </c>
      <c r="G22" s="4" t="s">
        <v>1142</v>
      </c>
      <c r="H22" s="4">
        <v>1</v>
      </c>
    </row>
    <row r="23" spans="3:8">
      <c r="C23" s="4">
        <v>2</v>
      </c>
      <c r="D23" s="4" t="s">
        <v>1143</v>
      </c>
      <c r="E23" s="4" t="s">
        <v>1144</v>
      </c>
      <c r="F23" s="4" t="s">
        <v>1104</v>
      </c>
      <c r="G23" s="4" t="s">
        <v>1145</v>
      </c>
      <c r="H23" s="4">
        <v>1</v>
      </c>
    </row>
    <row r="24" spans="3:8">
      <c r="C24" s="4">
        <v>3</v>
      </c>
      <c r="D24" s="4" t="s">
        <v>1061</v>
      </c>
      <c r="E24" s="4" t="s">
        <v>1146</v>
      </c>
      <c r="F24" s="4" t="s">
        <v>1104</v>
      </c>
      <c r="G24" s="4" t="s">
        <v>1147</v>
      </c>
      <c r="H24" s="4">
        <v>1</v>
      </c>
    </row>
    <row r="25" spans="3:8">
      <c r="C25" s="4">
        <v>4</v>
      </c>
      <c r="D25" s="4" t="s">
        <v>1064</v>
      </c>
      <c r="E25" s="4" t="s">
        <v>1148</v>
      </c>
      <c r="F25" s="4" t="s">
        <v>1104</v>
      </c>
      <c r="G25" s="4" t="s">
        <v>1149</v>
      </c>
      <c r="H25" s="4">
        <v>1</v>
      </c>
    </row>
    <row r="26" spans="3:8">
      <c r="C26" s="4">
        <v>5</v>
      </c>
      <c r="D26" s="5" t="s">
        <v>1067</v>
      </c>
      <c r="E26" s="5" t="s">
        <v>1150</v>
      </c>
      <c r="F26" s="5" t="s">
        <v>1115</v>
      </c>
      <c r="G26" s="5" t="s">
        <v>1151</v>
      </c>
      <c r="H26" s="4">
        <v>2</v>
      </c>
    </row>
    <row r="27" spans="3:8">
      <c r="C27" s="4">
        <v>6</v>
      </c>
      <c r="D27" s="5" t="s">
        <v>1070</v>
      </c>
      <c r="E27" s="5" t="s">
        <v>1152</v>
      </c>
      <c r="F27" s="5" t="s">
        <v>1115</v>
      </c>
      <c r="G27" s="5" t="s">
        <v>1153</v>
      </c>
      <c r="H27" s="4">
        <v>2</v>
      </c>
    </row>
    <row r="28" spans="3:8">
      <c r="C28" s="4">
        <v>7</v>
      </c>
      <c r="D28" s="4" t="s">
        <v>1073</v>
      </c>
      <c r="E28" s="4" t="s">
        <v>1154</v>
      </c>
      <c r="F28" s="4" t="s">
        <v>1104</v>
      </c>
      <c r="G28" s="4" t="s">
        <v>1155</v>
      </c>
      <c r="H28" s="4">
        <v>1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82"/>
  <sheetViews>
    <sheetView workbookViewId="0">
      <selection activeCell="M29" sqref="M29"/>
    </sheetView>
  </sheetViews>
  <sheetFormatPr defaultColWidth="9" defaultRowHeight="14.25"/>
  <cols>
    <col min="1" max="1" width="5.125" style="4" customWidth="1"/>
    <col min="2" max="2" width="4.5" style="4" customWidth="1"/>
    <col min="3" max="3" width="8.625" style="4" customWidth="1"/>
    <col min="4" max="4" width="8.375" style="4" customWidth="1"/>
    <col min="5" max="5" width="9" style="4" customWidth="1"/>
    <col min="6" max="6" width="9" style="4"/>
    <col min="7" max="8" width="7.5" style="4" customWidth="1"/>
    <col min="9" max="9" width="5.875" style="4" customWidth="1"/>
    <col min="10" max="10" width="5" style="4" customWidth="1"/>
    <col min="11" max="11" width="4.5" style="4" customWidth="1"/>
    <col min="12" max="12" width="5.875" style="4" customWidth="1"/>
    <col min="13" max="13" width="9" style="4"/>
    <col min="14" max="14" width="7.75" style="4" customWidth="1"/>
    <col min="15" max="15" width="7.5" style="4" customWidth="1"/>
    <col min="16" max="16" width="6.75" style="4" customWidth="1"/>
    <col min="17" max="18" width="4.5" style="4" customWidth="1"/>
    <col min="19" max="16384" width="9" style="4"/>
  </cols>
  <sheetData>
    <row r="1" spans="14:14">
      <c r="N1" s="4" t="s">
        <v>1156</v>
      </c>
    </row>
    <row r="2" spans="2:24">
      <c r="B2" s="4" t="s">
        <v>77</v>
      </c>
      <c r="C2" s="4" t="s">
        <v>1157</v>
      </c>
      <c r="D2" s="4" t="s">
        <v>1158</v>
      </c>
      <c r="E2" s="4" t="s">
        <v>1159</v>
      </c>
      <c r="G2" s="4" t="s">
        <v>1092</v>
      </c>
      <c r="H2" s="4" t="s">
        <v>1160</v>
      </c>
      <c r="I2" s="4" t="s">
        <v>10</v>
      </c>
      <c r="J2" s="4" t="s">
        <v>106</v>
      </c>
      <c r="K2" s="4" t="s">
        <v>17</v>
      </c>
      <c r="N2" s="4" t="s">
        <v>1092</v>
      </c>
      <c r="O2" s="4" t="s">
        <v>1160</v>
      </c>
      <c r="P2" s="4" t="s">
        <v>10</v>
      </c>
      <c r="Q2" s="4" t="s">
        <v>106</v>
      </c>
      <c r="R2" s="4" t="s">
        <v>17</v>
      </c>
      <c r="V2" s="4" t="s">
        <v>10</v>
      </c>
      <c r="W2" s="4" t="s">
        <v>106</v>
      </c>
      <c r="X2" s="4" t="s">
        <v>17</v>
      </c>
    </row>
    <row r="3" spans="2:24">
      <c r="B3" s="4">
        <v>1</v>
      </c>
      <c r="C3" s="4">
        <f>角色基础!C5</f>
        <v>62.1</v>
      </c>
      <c r="D3" s="4">
        <f>角色基础!D5</f>
        <v>22.5</v>
      </c>
      <c r="E3" s="4">
        <f>角色基础!E5</f>
        <v>12.1</v>
      </c>
      <c r="G3" s="4">
        <v>2</v>
      </c>
      <c r="H3" s="4">
        <v>0.015</v>
      </c>
      <c r="I3" s="4">
        <f>INT((D3*1.5+K3)*G3)</f>
        <v>71</v>
      </c>
      <c r="J3" s="4">
        <f>INT(C3*H3+E3)</f>
        <v>13</v>
      </c>
      <c r="K3" s="4">
        <f>INT(E3*0.2)</f>
        <v>2</v>
      </c>
      <c r="L3" s="4">
        <f>I3*基础设定!$D$9+J3*基础设定!$D$11+K3*基础设定!$D$14</f>
        <v>292</v>
      </c>
      <c r="N3" s="4">
        <f>G3*12</f>
        <v>24</v>
      </c>
      <c r="O3" s="4">
        <f>H3*3.5</f>
        <v>0.0525</v>
      </c>
      <c r="P3" s="4">
        <f>INT((D3*1.5+R3)*N3)</f>
        <v>1098</v>
      </c>
      <c r="Q3" s="4">
        <f>INT(C3*O3+E3)</f>
        <v>15</v>
      </c>
      <c r="R3" s="4">
        <f>INT(E3*1)</f>
        <v>12</v>
      </c>
      <c r="S3" s="4">
        <f>P3*基础设定!$D$9+Q3*基础设定!$D$11+R3*基础设定!$D$14</f>
        <v>2466</v>
      </c>
      <c r="T3" s="4">
        <f>J3*2/Q3</f>
        <v>1.73333333333333</v>
      </c>
      <c r="U3" s="4" t="s">
        <v>1161</v>
      </c>
      <c r="V3" s="4">
        <v>1</v>
      </c>
      <c r="W3" s="4">
        <v>1</v>
      </c>
      <c r="X3" s="4">
        <v>0</v>
      </c>
    </row>
    <row r="4" spans="2:24">
      <c r="B4" s="4">
        <v>2</v>
      </c>
      <c r="C4" s="4">
        <f>角色基础!C6</f>
        <v>102.95</v>
      </c>
      <c r="D4" s="4">
        <f>角色基础!D6</f>
        <v>31.3</v>
      </c>
      <c r="E4" s="4">
        <f>角色基础!E6</f>
        <v>21.85</v>
      </c>
      <c r="G4" s="4">
        <v>2</v>
      </c>
      <c r="H4" s="4">
        <f>H3</f>
        <v>0.015</v>
      </c>
      <c r="I4" s="4">
        <f t="shared" ref="I4:I67" si="0">INT((D4*1.5+K4)*G4)</f>
        <v>101</v>
      </c>
      <c r="J4" s="4">
        <f t="shared" ref="J4:J67" si="1">INT(C4*H4+E4)</f>
        <v>23</v>
      </c>
      <c r="K4" s="4">
        <f t="shared" ref="K4:K67" si="2">INT(E4*0.2)</f>
        <v>4</v>
      </c>
      <c r="L4" s="4">
        <f>I4*基础设定!$D$9+J4*基础设定!$D$11+K4*基础设定!$D$14</f>
        <v>472</v>
      </c>
      <c r="N4" s="4">
        <f t="shared" ref="N4:N67" si="3">G4*12</f>
        <v>24</v>
      </c>
      <c r="O4" s="4">
        <f t="shared" ref="O4:O67" si="4">H4*3.5</f>
        <v>0.0525</v>
      </c>
      <c r="P4" s="4">
        <f t="shared" ref="P4:P67" si="5">INT((D4*1.5+R4)*N4)</f>
        <v>1630</v>
      </c>
      <c r="Q4" s="4">
        <f t="shared" ref="Q4:Q67" si="6">INT(C4*O4+E4)</f>
        <v>27</v>
      </c>
      <c r="R4" s="4">
        <f t="shared" ref="R4:R67" si="7">INT(E4*1)</f>
        <v>21</v>
      </c>
      <c r="S4" s="4">
        <f>P4*基础设定!$D$9+Q4*基础设定!$D$11+R4*基础设定!$D$14</f>
        <v>3740</v>
      </c>
      <c r="T4" s="4">
        <f t="shared" ref="T4:T67" si="8">J4*2/Q4</f>
        <v>1.7037037037037</v>
      </c>
      <c r="U4" s="4" t="s">
        <v>1162</v>
      </c>
      <c r="V4" s="4">
        <v>1.5</v>
      </c>
      <c r="W4" s="4">
        <v>1.2</v>
      </c>
      <c r="X4" s="4">
        <v>30</v>
      </c>
    </row>
    <row r="5" spans="2:24">
      <c r="B5" s="4">
        <v>3</v>
      </c>
      <c r="C5" s="4">
        <f>角色基础!C7</f>
        <v>166.15</v>
      </c>
      <c r="D5" s="4">
        <f>角色基础!D7</f>
        <v>45.8</v>
      </c>
      <c r="E5" s="4">
        <f>角色基础!E7</f>
        <v>31.9</v>
      </c>
      <c r="G5" s="4">
        <v>2</v>
      </c>
      <c r="H5" s="4">
        <v>0.015</v>
      </c>
      <c r="I5" s="4">
        <f t="shared" si="0"/>
        <v>149</v>
      </c>
      <c r="J5" s="4">
        <f t="shared" si="1"/>
        <v>34</v>
      </c>
      <c r="K5" s="4">
        <f t="shared" si="2"/>
        <v>6</v>
      </c>
      <c r="L5" s="4">
        <f>I5*基础设定!$D$9+J5*基础设定!$D$11+K5*基础设定!$D$14</f>
        <v>698</v>
      </c>
      <c r="N5" s="4">
        <f t="shared" si="3"/>
        <v>24</v>
      </c>
      <c r="O5" s="4">
        <f t="shared" si="4"/>
        <v>0.0525</v>
      </c>
      <c r="P5" s="4">
        <f t="shared" si="5"/>
        <v>2392</v>
      </c>
      <c r="Q5" s="4">
        <f t="shared" si="6"/>
        <v>40</v>
      </c>
      <c r="R5" s="4">
        <f t="shared" si="7"/>
        <v>31</v>
      </c>
      <c r="S5" s="4">
        <f>P5*基础设定!$D$9+Q5*基础设定!$D$11+R5*基础设定!$D$14</f>
        <v>5494</v>
      </c>
      <c r="T5" s="4">
        <f t="shared" si="8"/>
        <v>1.7</v>
      </c>
      <c r="U5" s="4" t="s">
        <v>1163</v>
      </c>
      <c r="V5" s="4">
        <f>V4*1.5</f>
        <v>2.25</v>
      </c>
      <c r="W5" s="4">
        <f>W4*1.5</f>
        <v>1.8</v>
      </c>
      <c r="X5" s="4">
        <v>60</v>
      </c>
    </row>
    <row r="6" spans="2:24">
      <c r="B6" s="4">
        <v>4</v>
      </c>
      <c r="C6" s="4">
        <f>角色基础!C8</f>
        <v>186.75</v>
      </c>
      <c r="D6" s="4">
        <f>角色基础!D8</f>
        <v>57.3</v>
      </c>
      <c r="E6" s="4">
        <f>角色基础!E8</f>
        <v>40.75</v>
      </c>
      <c r="G6" s="4">
        <v>2</v>
      </c>
      <c r="H6" s="4">
        <f>H3+0.01</f>
        <v>0.025</v>
      </c>
      <c r="I6" s="4">
        <f t="shared" si="0"/>
        <v>187</v>
      </c>
      <c r="J6" s="4">
        <f t="shared" si="1"/>
        <v>45</v>
      </c>
      <c r="K6" s="4">
        <f t="shared" si="2"/>
        <v>8</v>
      </c>
      <c r="L6" s="4">
        <f>I6*基础设定!$D$9+J6*基础设定!$D$11+K6*基础设定!$D$14</f>
        <v>904</v>
      </c>
      <c r="N6" s="4">
        <f t="shared" si="3"/>
        <v>24</v>
      </c>
      <c r="O6" s="4">
        <f t="shared" si="4"/>
        <v>0.0875</v>
      </c>
      <c r="P6" s="4">
        <f t="shared" si="5"/>
        <v>3022</v>
      </c>
      <c r="Q6" s="4">
        <f t="shared" si="6"/>
        <v>57</v>
      </c>
      <c r="R6" s="4">
        <f t="shared" si="7"/>
        <v>40</v>
      </c>
      <c r="S6" s="4">
        <f>P6*基础设定!$D$9+Q6*基础设定!$D$11+R6*基础设定!$D$14</f>
        <v>7014</v>
      </c>
      <c r="T6" s="4">
        <f t="shared" si="8"/>
        <v>1.57894736842105</v>
      </c>
      <c r="U6" s="4" t="s">
        <v>1164</v>
      </c>
      <c r="V6" s="4">
        <f>V5*2.5</f>
        <v>5.625</v>
      </c>
      <c r="W6" s="4">
        <f>W5*1.5</f>
        <v>2.7</v>
      </c>
      <c r="X6" s="4">
        <v>120</v>
      </c>
    </row>
    <row r="7" spans="2:20">
      <c r="B7" s="4">
        <v>5</v>
      </c>
      <c r="C7" s="4">
        <f>角色基础!C9</f>
        <v>247.85</v>
      </c>
      <c r="D7" s="4">
        <f>角色基础!D9</f>
        <v>66.1</v>
      </c>
      <c r="E7" s="4">
        <f>角色基础!E9</f>
        <v>50.95</v>
      </c>
      <c r="G7" s="4">
        <v>2</v>
      </c>
      <c r="H7" s="4">
        <f t="shared" ref="H7:H70" si="9">H4+0.01</f>
        <v>0.025</v>
      </c>
      <c r="I7" s="4">
        <f t="shared" si="0"/>
        <v>218</v>
      </c>
      <c r="J7" s="4">
        <f t="shared" si="1"/>
        <v>57</v>
      </c>
      <c r="K7" s="4">
        <f t="shared" si="2"/>
        <v>10</v>
      </c>
      <c r="L7" s="4">
        <f>I7*基础设定!$D$9+J7*基础设定!$D$11+K7*基础设定!$D$14</f>
        <v>1106</v>
      </c>
      <c r="N7" s="4">
        <f t="shared" si="3"/>
        <v>24</v>
      </c>
      <c r="O7" s="4">
        <f t="shared" si="4"/>
        <v>0.0875</v>
      </c>
      <c r="P7" s="4">
        <f t="shared" si="5"/>
        <v>3579</v>
      </c>
      <c r="Q7" s="4">
        <f t="shared" si="6"/>
        <v>72</v>
      </c>
      <c r="R7" s="4">
        <f t="shared" si="7"/>
        <v>50</v>
      </c>
      <c r="S7" s="4">
        <f>P7*基础设定!$D$9+Q7*基础设定!$D$11+R7*基础设定!$D$14</f>
        <v>8378</v>
      </c>
      <c r="T7" s="4">
        <f t="shared" si="8"/>
        <v>1.58333333333333</v>
      </c>
    </row>
    <row r="8" spans="2:24">
      <c r="B8" s="4">
        <v>6</v>
      </c>
      <c r="C8" s="4">
        <f>角色基础!C10</f>
        <v>311.05</v>
      </c>
      <c r="D8" s="4">
        <f>角色基础!D10</f>
        <v>80.6</v>
      </c>
      <c r="E8" s="4">
        <f>角色基础!E10</f>
        <v>61</v>
      </c>
      <c r="G8" s="4">
        <f>G3+1</f>
        <v>3</v>
      </c>
      <c r="H8" s="4">
        <f t="shared" si="9"/>
        <v>0.025</v>
      </c>
      <c r="I8" s="4">
        <f t="shared" si="0"/>
        <v>398</v>
      </c>
      <c r="J8" s="4">
        <f t="shared" si="1"/>
        <v>68</v>
      </c>
      <c r="K8" s="4">
        <f t="shared" si="2"/>
        <v>12</v>
      </c>
      <c r="L8" s="4">
        <f>I8*基础设定!$D$9+J8*基础设定!$D$11+K8*基础设定!$D$14</f>
        <v>1596</v>
      </c>
      <c r="N8" s="4">
        <f t="shared" si="3"/>
        <v>36</v>
      </c>
      <c r="O8" s="4">
        <f t="shared" si="4"/>
        <v>0.0875</v>
      </c>
      <c r="P8" s="4">
        <f t="shared" si="5"/>
        <v>6548</v>
      </c>
      <c r="Q8" s="4">
        <f t="shared" si="6"/>
        <v>88</v>
      </c>
      <c r="R8" s="4">
        <f t="shared" si="7"/>
        <v>61</v>
      </c>
      <c r="S8" s="4">
        <f>P8*基础设定!$D$9+Q8*基础设定!$D$11+R8*基础设定!$D$14</f>
        <v>14586</v>
      </c>
      <c r="T8" s="4">
        <f t="shared" si="8"/>
        <v>1.54545454545455</v>
      </c>
      <c r="V8" s="4">
        <f>V3*10000</f>
        <v>10000</v>
      </c>
      <c r="W8" s="4">
        <f>W3*10000</f>
        <v>10000</v>
      </c>
      <c r="X8" s="4">
        <f>X3</f>
        <v>0</v>
      </c>
    </row>
    <row r="9" spans="2:24">
      <c r="B9" s="4">
        <v>7</v>
      </c>
      <c r="C9" s="4">
        <f>角色基础!C11</f>
        <v>331.65</v>
      </c>
      <c r="D9" s="4">
        <f>角色基础!D11</f>
        <v>92.1</v>
      </c>
      <c r="E9" s="4">
        <f>角色基础!E11</f>
        <v>71.2</v>
      </c>
      <c r="G9" s="4">
        <f t="shared" ref="G9:G72" si="10">G4+1</f>
        <v>3</v>
      </c>
      <c r="H9" s="4">
        <f t="shared" si="9"/>
        <v>0.035</v>
      </c>
      <c r="I9" s="4">
        <f t="shared" si="0"/>
        <v>456</v>
      </c>
      <c r="J9" s="4">
        <f t="shared" si="1"/>
        <v>82</v>
      </c>
      <c r="K9" s="4">
        <f t="shared" si="2"/>
        <v>14</v>
      </c>
      <c r="L9" s="4">
        <f>I9*基础设定!$D$9+J9*基础设定!$D$11+K9*基础设定!$D$14</f>
        <v>1872</v>
      </c>
      <c r="N9" s="4">
        <f t="shared" si="3"/>
        <v>36</v>
      </c>
      <c r="O9" s="4">
        <f t="shared" si="4"/>
        <v>0.1225</v>
      </c>
      <c r="P9" s="4">
        <f t="shared" si="5"/>
        <v>7529</v>
      </c>
      <c r="Q9" s="4">
        <f t="shared" si="6"/>
        <v>111</v>
      </c>
      <c r="R9" s="4">
        <f t="shared" si="7"/>
        <v>71</v>
      </c>
      <c r="S9" s="4">
        <f>P9*基础设定!$D$9+Q9*基础设定!$D$11+R9*基础设定!$D$14</f>
        <v>16878</v>
      </c>
      <c r="T9" s="4">
        <f t="shared" si="8"/>
        <v>1.47747747747748</v>
      </c>
      <c r="V9" s="4">
        <f t="shared" ref="V9:W9" si="11">V4*10000</f>
        <v>15000</v>
      </c>
      <c r="W9" s="4">
        <f t="shared" si="11"/>
        <v>12000</v>
      </c>
      <c r="X9" s="4">
        <f t="shared" ref="X9:X11" si="12">X4</f>
        <v>30</v>
      </c>
    </row>
    <row r="10" spans="2:24">
      <c r="B10" s="4">
        <v>8</v>
      </c>
      <c r="C10" s="4">
        <f>角色基础!C12</f>
        <v>372.5</v>
      </c>
      <c r="D10" s="4">
        <f>角色基础!D12</f>
        <v>100.9</v>
      </c>
      <c r="E10" s="4">
        <f>角色基础!E12</f>
        <v>80.95</v>
      </c>
      <c r="G10" s="4">
        <f t="shared" si="10"/>
        <v>3</v>
      </c>
      <c r="H10" s="4">
        <f t="shared" si="9"/>
        <v>0.035</v>
      </c>
      <c r="I10" s="4">
        <f t="shared" si="0"/>
        <v>502</v>
      </c>
      <c r="J10" s="4">
        <f t="shared" si="1"/>
        <v>93</v>
      </c>
      <c r="K10" s="4">
        <f t="shared" si="2"/>
        <v>16</v>
      </c>
      <c r="L10" s="4">
        <f>I10*基础设定!$D$9+J10*基础设定!$D$11+K10*基础设定!$D$14</f>
        <v>2094</v>
      </c>
      <c r="N10" s="4">
        <f t="shared" si="3"/>
        <v>36</v>
      </c>
      <c r="O10" s="4">
        <f t="shared" si="4"/>
        <v>0.1225</v>
      </c>
      <c r="P10" s="4">
        <f t="shared" si="5"/>
        <v>8328</v>
      </c>
      <c r="Q10" s="4">
        <f t="shared" si="6"/>
        <v>126</v>
      </c>
      <c r="R10" s="4">
        <f t="shared" si="7"/>
        <v>80</v>
      </c>
      <c r="S10" s="4">
        <f>P10*基础设定!$D$9+Q10*基础设定!$D$11+R10*基础设定!$D$14</f>
        <v>18716</v>
      </c>
      <c r="T10" s="4">
        <f t="shared" si="8"/>
        <v>1.47619047619048</v>
      </c>
      <c r="V10" s="4">
        <f t="shared" ref="V10:W10" si="13">V5*10000</f>
        <v>22500</v>
      </c>
      <c r="W10" s="4">
        <f t="shared" si="13"/>
        <v>18000</v>
      </c>
      <c r="X10" s="4">
        <f t="shared" si="12"/>
        <v>60</v>
      </c>
    </row>
    <row r="11" spans="2:24">
      <c r="B11" s="4">
        <v>9</v>
      </c>
      <c r="C11" s="4">
        <f>角色基础!C13</f>
        <v>391</v>
      </c>
      <c r="D11" s="4">
        <f>角色基础!D13</f>
        <v>107.6</v>
      </c>
      <c r="E11" s="4">
        <f>角色基础!E13</f>
        <v>86.8</v>
      </c>
      <c r="G11" s="4">
        <f t="shared" si="10"/>
        <v>3</v>
      </c>
      <c r="H11" s="4">
        <f t="shared" si="9"/>
        <v>0.035</v>
      </c>
      <c r="I11" s="4">
        <f t="shared" si="0"/>
        <v>535</v>
      </c>
      <c r="J11" s="4">
        <f t="shared" si="1"/>
        <v>100</v>
      </c>
      <c r="K11" s="4">
        <f t="shared" si="2"/>
        <v>17</v>
      </c>
      <c r="L11" s="4">
        <f>I11*基础设定!$D$9+J11*基础设定!$D$11+K11*基础设定!$D$14</f>
        <v>2240</v>
      </c>
      <c r="N11" s="4">
        <f t="shared" si="3"/>
        <v>36</v>
      </c>
      <c r="O11" s="4">
        <f t="shared" si="4"/>
        <v>0.1225</v>
      </c>
      <c r="P11" s="4">
        <f t="shared" si="5"/>
        <v>8906</v>
      </c>
      <c r="Q11" s="4">
        <f t="shared" si="6"/>
        <v>134</v>
      </c>
      <c r="R11" s="4">
        <f t="shared" si="7"/>
        <v>86</v>
      </c>
      <c r="S11" s="4">
        <f>P11*基础设定!$D$9+Q11*基础设定!$D$11+R11*基础设定!$D$14</f>
        <v>20012</v>
      </c>
      <c r="T11" s="4">
        <f t="shared" si="8"/>
        <v>1.49253731343284</v>
      </c>
      <c r="V11" s="4">
        <f>V6*10000</f>
        <v>56250</v>
      </c>
      <c r="W11" s="4">
        <f t="shared" ref="W11" si="14">W6*10000</f>
        <v>27000</v>
      </c>
      <c r="X11" s="4">
        <f t="shared" si="12"/>
        <v>120</v>
      </c>
    </row>
    <row r="12" spans="2:20">
      <c r="B12" s="4">
        <v>10</v>
      </c>
      <c r="C12" s="4">
        <f>角色基础!C14</f>
        <v>409.5</v>
      </c>
      <c r="D12" s="4">
        <f>角色基础!D14</f>
        <v>114.3</v>
      </c>
      <c r="E12" s="4">
        <f>角色基础!E14</f>
        <v>92.65</v>
      </c>
      <c r="G12" s="4">
        <f t="shared" si="10"/>
        <v>3</v>
      </c>
      <c r="H12" s="4">
        <f t="shared" si="9"/>
        <v>0.045</v>
      </c>
      <c r="I12" s="4">
        <f t="shared" si="0"/>
        <v>568</v>
      </c>
      <c r="J12" s="4">
        <f t="shared" si="1"/>
        <v>111</v>
      </c>
      <c r="K12" s="4">
        <f t="shared" si="2"/>
        <v>18</v>
      </c>
      <c r="L12" s="4">
        <f>I12*基础设定!$D$9+J12*基础设定!$D$11+K12*基础设定!$D$14</f>
        <v>2426</v>
      </c>
      <c r="N12" s="4">
        <f t="shared" si="3"/>
        <v>36</v>
      </c>
      <c r="O12" s="4">
        <f t="shared" si="4"/>
        <v>0.1575</v>
      </c>
      <c r="P12" s="4">
        <f t="shared" si="5"/>
        <v>9484</v>
      </c>
      <c r="Q12" s="4">
        <f t="shared" si="6"/>
        <v>157</v>
      </c>
      <c r="R12" s="4">
        <f t="shared" si="7"/>
        <v>92</v>
      </c>
      <c r="S12" s="4">
        <f>P12*基础设定!$D$9+Q12*基础设定!$D$11+R12*基础设定!$D$14</f>
        <v>21458</v>
      </c>
      <c r="T12" s="4">
        <f t="shared" si="8"/>
        <v>1.4140127388535</v>
      </c>
    </row>
    <row r="13" spans="2:20">
      <c r="B13" s="4">
        <v>11</v>
      </c>
      <c r="C13" s="4">
        <f>角色基础!C15</f>
        <v>429.5</v>
      </c>
      <c r="D13" s="4">
        <f>角色基础!D15</f>
        <v>125.54</v>
      </c>
      <c r="E13" s="4">
        <f>角色基础!E15</f>
        <v>101.8</v>
      </c>
      <c r="G13" s="4">
        <v>4</v>
      </c>
      <c r="H13" s="4">
        <f t="shared" si="9"/>
        <v>0.045</v>
      </c>
      <c r="I13" s="4">
        <f t="shared" si="0"/>
        <v>833</v>
      </c>
      <c r="J13" s="4">
        <f t="shared" si="1"/>
        <v>121</v>
      </c>
      <c r="K13" s="4">
        <f t="shared" si="2"/>
        <v>20</v>
      </c>
      <c r="L13" s="4">
        <f>I13*基础设定!$D$9+J13*基础设定!$D$11+K13*基础设定!$D$14</f>
        <v>3076</v>
      </c>
      <c r="N13" s="4">
        <f t="shared" si="3"/>
        <v>48</v>
      </c>
      <c r="O13" s="4">
        <f t="shared" si="4"/>
        <v>0.1575</v>
      </c>
      <c r="P13" s="4">
        <f t="shared" si="5"/>
        <v>13886</v>
      </c>
      <c r="Q13" s="4">
        <f t="shared" si="6"/>
        <v>169</v>
      </c>
      <c r="R13" s="4">
        <f t="shared" si="7"/>
        <v>101</v>
      </c>
      <c r="S13" s="4">
        <f>P13*基础设定!$D$9+Q13*基础设定!$D$11+R13*基础设定!$D$14</f>
        <v>30472</v>
      </c>
      <c r="T13" s="4">
        <f t="shared" si="8"/>
        <v>1.43195266272189</v>
      </c>
    </row>
    <row r="14" spans="2:20">
      <c r="B14" s="4">
        <v>12</v>
      </c>
      <c r="C14" s="4">
        <f>角色基础!C16</f>
        <v>451.4</v>
      </c>
      <c r="D14" s="4">
        <f>角色基础!D16</f>
        <v>131.84</v>
      </c>
      <c r="E14" s="4">
        <f>角色基础!E16</f>
        <v>107.93</v>
      </c>
      <c r="G14" s="4">
        <v>4</v>
      </c>
      <c r="H14" s="4">
        <f t="shared" si="9"/>
        <v>0.045</v>
      </c>
      <c r="I14" s="4">
        <f t="shared" si="0"/>
        <v>875</v>
      </c>
      <c r="J14" s="4">
        <f t="shared" si="1"/>
        <v>128</v>
      </c>
      <c r="K14" s="4">
        <f t="shared" si="2"/>
        <v>21</v>
      </c>
      <c r="L14" s="4">
        <f>I14*基础设定!$D$9+J14*基础设定!$D$11+K14*基础设定!$D$14</f>
        <v>3240</v>
      </c>
      <c r="N14" s="4">
        <f t="shared" si="3"/>
        <v>48</v>
      </c>
      <c r="O14" s="4">
        <f t="shared" si="4"/>
        <v>0.1575</v>
      </c>
      <c r="P14" s="4">
        <f t="shared" si="5"/>
        <v>14628</v>
      </c>
      <c r="Q14" s="4">
        <f t="shared" si="6"/>
        <v>179</v>
      </c>
      <c r="R14" s="4">
        <f t="shared" si="7"/>
        <v>107</v>
      </c>
      <c r="S14" s="4">
        <f>P14*基础设定!$D$9+Q14*基础设定!$D$11+R14*基础设定!$D$14</f>
        <v>32116</v>
      </c>
      <c r="T14" s="4">
        <f t="shared" si="8"/>
        <v>1.43016759776536</v>
      </c>
    </row>
    <row r="15" spans="2:24">
      <c r="B15" s="4">
        <v>13</v>
      </c>
      <c r="C15" s="4">
        <f>角色基础!C17</f>
        <v>478.7</v>
      </c>
      <c r="D15" s="4">
        <f>角色基础!D17</f>
        <v>139.1</v>
      </c>
      <c r="E15" s="4">
        <f>角色基础!E17</f>
        <v>113.58</v>
      </c>
      <c r="G15" s="4">
        <v>4</v>
      </c>
      <c r="H15" s="4">
        <f t="shared" si="9"/>
        <v>0.055</v>
      </c>
      <c r="I15" s="4">
        <f t="shared" si="0"/>
        <v>922</v>
      </c>
      <c r="J15" s="4">
        <f t="shared" si="1"/>
        <v>139</v>
      </c>
      <c r="K15" s="4">
        <f t="shared" si="2"/>
        <v>22</v>
      </c>
      <c r="L15" s="4">
        <f>I15*基础设定!$D$9+J15*基础设定!$D$11+K15*基础设定!$D$14</f>
        <v>3454</v>
      </c>
      <c r="N15" s="4">
        <f t="shared" si="3"/>
        <v>48</v>
      </c>
      <c r="O15" s="4">
        <f t="shared" si="4"/>
        <v>0.1925</v>
      </c>
      <c r="P15" s="4">
        <f t="shared" si="5"/>
        <v>15439</v>
      </c>
      <c r="Q15" s="4">
        <f t="shared" si="6"/>
        <v>205</v>
      </c>
      <c r="R15" s="4">
        <f t="shared" si="7"/>
        <v>113</v>
      </c>
      <c r="S15" s="4">
        <f>P15*基础设定!$D$9+Q15*基础设定!$D$11+R15*基础设定!$D$14</f>
        <v>34058</v>
      </c>
      <c r="T15" s="4">
        <f t="shared" si="8"/>
        <v>1.35609756097561</v>
      </c>
      <c r="W15" s="4">
        <v>32</v>
      </c>
      <c r="X15" s="4">
        <f>W15*5</f>
        <v>160</v>
      </c>
    </row>
    <row r="16" spans="2:23">
      <c r="B16" s="4">
        <v>14</v>
      </c>
      <c r="C16" s="4">
        <f>角色基础!C18</f>
        <v>495.2</v>
      </c>
      <c r="D16" s="4">
        <f>角色基础!D18</f>
        <v>146.12</v>
      </c>
      <c r="E16" s="4">
        <f>角色基础!E18</f>
        <v>119.47</v>
      </c>
      <c r="G16" s="4">
        <v>4</v>
      </c>
      <c r="H16" s="4">
        <f t="shared" si="9"/>
        <v>0.055</v>
      </c>
      <c r="I16" s="4">
        <f t="shared" si="0"/>
        <v>968</v>
      </c>
      <c r="J16" s="4">
        <f t="shared" si="1"/>
        <v>146</v>
      </c>
      <c r="K16" s="4">
        <f t="shared" si="2"/>
        <v>23</v>
      </c>
      <c r="L16" s="4">
        <f>I16*基础设定!$D$9+J16*基础设定!$D$11+K16*基础设定!$D$14</f>
        <v>3626</v>
      </c>
      <c r="N16" s="4">
        <f t="shared" si="3"/>
        <v>48</v>
      </c>
      <c r="O16" s="4">
        <f t="shared" si="4"/>
        <v>0.1925</v>
      </c>
      <c r="P16" s="4">
        <f t="shared" si="5"/>
        <v>16232</v>
      </c>
      <c r="Q16" s="4">
        <f t="shared" si="6"/>
        <v>214</v>
      </c>
      <c r="R16" s="4">
        <f t="shared" si="7"/>
        <v>119</v>
      </c>
      <c r="S16" s="4">
        <f>P16*基础设定!$D$9+Q16*基础设定!$D$11+R16*基础设定!$D$14</f>
        <v>35794</v>
      </c>
      <c r="T16" s="4">
        <f t="shared" si="8"/>
        <v>1.36448598130841</v>
      </c>
      <c r="W16" s="4">
        <v>55</v>
      </c>
    </row>
    <row r="17" spans="2:23">
      <c r="B17" s="4">
        <v>15</v>
      </c>
      <c r="C17" s="4">
        <f>角色基础!C19</f>
        <v>522.5</v>
      </c>
      <c r="D17" s="4">
        <f>角色基础!D19</f>
        <v>152.42</v>
      </c>
      <c r="E17" s="4">
        <f>角色基础!E19</f>
        <v>125.72</v>
      </c>
      <c r="G17" s="4">
        <v>4</v>
      </c>
      <c r="H17" s="4">
        <f t="shared" si="9"/>
        <v>0.055</v>
      </c>
      <c r="I17" s="4">
        <f t="shared" si="0"/>
        <v>1014</v>
      </c>
      <c r="J17" s="4">
        <f t="shared" si="1"/>
        <v>154</v>
      </c>
      <c r="K17" s="4">
        <f t="shared" si="2"/>
        <v>25</v>
      </c>
      <c r="L17" s="4">
        <f>I17*基础设定!$D$9+J17*基础设定!$D$11+K17*基础设定!$D$14</f>
        <v>3818</v>
      </c>
      <c r="N17" s="4">
        <f t="shared" si="3"/>
        <v>48</v>
      </c>
      <c r="O17" s="4">
        <f t="shared" si="4"/>
        <v>0.1925</v>
      </c>
      <c r="P17" s="4">
        <f t="shared" si="5"/>
        <v>16974</v>
      </c>
      <c r="Q17" s="4">
        <f t="shared" si="6"/>
        <v>226</v>
      </c>
      <c r="R17" s="4">
        <f t="shared" si="7"/>
        <v>125</v>
      </c>
      <c r="S17" s="4">
        <f>P17*基础设定!$D$9+Q17*基础设定!$D$11+R17*基础设定!$D$14</f>
        <v>37458</v>
      </c>
      <c r="T17" s="4">
        <f t="shared" si="8"/>
        <v>1.36283185840708</v>
      </c>
      <c r="W17" s="4">
        <v>55</v>
      </c>
    </row>
    <row r="18" spans="2:24">
      <c r="B18" s="4">
        <v>16</v>
      </c>
      <c r="C18" s="4">
        <f>角色基础!C20</f>
        <v>549.8</v>
      </c>
      <c r="D18" s="4">
        <f>角色基础!D20</f>
        <v>159.68</v>
      </c>
      <c r="E18" s="4">
        <f>角色基础!E20</f>
        <v>131.37</v>
      </c>
      <c r="G18" s="4">
        <v>5</v>
      </c>
      <c r="H18" s="4">
        <f t="shared" si="9"/>
        <v>0.065</v>
      </c>
      <c r="I18" s="4">
        <f t="shared" si="0"/>
        <v>1327</v>
      </c>
      <c r="J18" s="4">
        <f t="shared" si="1"/>
        <v>167</v>
      </c>
      <c r="K18" s="4">
        <f t="shared" si="2"/>
        <v>26</v>
      </c>
      <c r="L18" s="4">
        <f>I18*基础设定!$D$9+J18*基础设定!$D$11+K18*基础设定!$D$14</f>
        <v>4584</v>
      </c>
      <c r="N18" s="4">
        <f t="shared" si="3"/>
        <v>60</v>
      </c>
      <c r="O18" s="4">
        <f t="shared" si="4"/>
        <v>0.2275</v>
      </c>
      <c r="P18" s="4">
        <f t="shared" si="5"/>
        <v>22231</v>
      </c>
      <c r="Q18" s="4">
        <f t="shared" si="6"/>
        <v>256</v>
      </c>
      <c r="R18" s="4">
        <f t="shared" si="7"/>
        <v>131</v>
      </c>
      <c r="S18" s="4">
        <f>P18*基础设定!$D$9+Q18*基础设定!$D$11+R18*基础设定!$D$14</f>
        <v>48332</v>
      </c>
      <c r="T18" s="4">
        <f t="shared" si="8"/>
        <v>1.3046875</v>
      </c>
      <c r="X18" s="4">
        <f>55*3</f>
        <v>165</v>
      </c>
    </row>
    <row r="19" spans="2:20">
      <c r="B19" s="4">
        <v>17</v>
      </c>
      <c r="C19" s="4">
        <f>角色基础!C21</f>
        <v>566.3</v>
      </c>
      <c r="D19" s="4">
        <f>角色基础!D21</f>
        <v>166.7</v>
      </c>
      <c r="E19" s="4">
        <f>角色基础!E21</f>
        <v>137.62</v>
      </c>
      <c r="G19" s="4">
        <v>5</v>
      </c>
      <c r="H19" s="4">
        <f t="shared" si="9"/>
        <v>0.065</v>
      </c>
      <c r="I19" s="4">
        <f t="shared" si="0"/>
        <v>1385</v>
      </c>
      <c r="J19" s="4">
        <f t="shared" si="1"/>
        <v>174</v>
      </c>
      <c r="K19" s="4">
        <f t="shared" si="2"/>
        <v>27</v>
      </c>
      <c r="L19" s="4">
        <f>I19*基础设定!$D$9+J19*基础设定!$D$11+K19*基础设定!$D$14</f>
        <v>4780</v>
      </c>
      <c r="N19" s="4">
        <f t="shared" si="3"/>
        <v>60</v>
      </c>
      <c r="O19" s="4">
        <f t="shared" si="4"/>
        <v>0.2275</v>
      </c>
      <c r="P19" s="4">
        <f t="shared" si="5"/>
        <v>23223</v>
      </c>
      <c r="Q19" s="4">
        <f t="shared" si="6"/>
        <v>266</v>
      </c>
      <c r="R19" s="4">
        <f t="shared" si="7"/>
        <v>137</v>
      </c>
      <c r="S19" s="4">
        <f>P19*基础设定!$D$9+Q19*基础设定!$D$11+R19*基础设定!$D$14</f>
        <v>50476</v>
      </c>
      <c r="T19" s="4">
        <f t="shared" si="8"/>
        <v>1.30827067669173</v>
      </c>
    </row>
    <row r="20" spans="2:20">
      <c r="B20" s="4">
        <v>18</v>
      </c>
      <c r="C20" s="4">
        <f>角色基础!C22</f>
        <v>588.2</v>
      </c>
      <c r="D20" s="4">
        <f>角色基础!D22</f>
        <v>173</v>
      </c>
      <c r="E20" s="4">
        <f>角色基础!E22</f>
        <v>143.75</v>
      </c>
      <c r="G20" s="4">
        <v>5</v>
      </c>
      <c r="H20" s="4">
        <f t="shared" si="9"/>
        <v>0.065</v>
      </c>
      <c r="I20" s="4">
        <f t="shared" si="0"/>
        <v>1437</v>
      </c>
      <c r="J20" s="4">
        <f t="shared" si="1"/>
        <v>181</v>
      </c>
      <c r="K20" s="4">
        <f t="shared" si="2"/>
        <v>28</v>
      </c>
      <c r="L20" s="4">
        <f>I20*基础设定!$D$9+J20*基础设定!$D$11+K20*基础设定!$D$14</f>
        <v>4964</v>
      </c>
      <c r="N20" s="4">
        <f t="shared" si="3"/>
        <v>60</v>
      </c>
      <c r="O20" s="4">
        <f t="shared" si="4"/>
        <v>0.2275</v>
      </c>
      <c r="P20" s="4">
        <f t="shared" si="5"/>
        <v>24150</v>
      </c>
      <c r="Q20" s="4">
        <f t="shared" si="6"/>
        <v>277</v>
      </c>
      <c r="R20" s="4">
        <f t="shared" si="7"/>
        <v>143</v>
      </c>
      <c r="S20" s="4">
        <f>P20*基础设定!$D$9+Q20*基础设定!$D$11+R20*基础设定!$D$14</f>
        <v>52500</v>
      </c>
      <c r="T20" s="4">
        <f t="shared" si="8"/>
        <v>1.30685920577617</v>
      </c>
    </row>
    <row r="21" spans="2:20">
      <c r="B21" s="4">
        <v>19</v>
      </c>
      <c r="C21" s="4">
        <f>角色基础!C23</f>
        <v>604.7</v>
      </c>
      <c r="D21" s="4">
        <f>角色基础!D23</f>
        <v>179.3</v>
      </c>
      <c r="E21" s="4">
        <f>角色基础!E23</f>
        <v>149.4</v>
      </c>
      <c r="G21" s="4">
        <v>5</v>
      </c>
      <c r="H21" s="4">
        <f t="shared" si="9"/>
        <v>0.075</v>
      </c>
      <c r="I21" s="4">
        <f t="shared" si="0"/>
        <v>1489</v>
      </c>
      <c r="J21" s="4">
        <f t="shared" si="1"/>
        <v>194</v>
      </c>
      <c r="K21" s="4">
        <f t="shared" si="2"/>
        <v>29</v>
      </c>
      <c r="L21" s="4">
        <f>I21*基础设定!$D$9+J21*基础设定!$D$11+K21*基础设定!$D$14</f>
        <v>5208</v>
      </c>
      <c r="N21" s="4">
        <f t="shared" si="3"/>
        <v>60</v>
      </c>
      <c r="O21" s="4">
        <f t="shared" si="4"/>
        <v>0.2625</v>
      </c>
      <c r="P21" s="4">
        <f t="shared" si="5"/>
        <v>25077</v>
      </c>
      <c r="Q21" s="4">
        <f t="shared" si="6"/>
        <v>308</v>
      </c>
      <c r="R21" s="4">
        <f t="shared" si="7"/>
        <v>149</v>
      </c>
      <c r="S21" s="4">
        <f>P21*基础设定!$D$9+Q21*基础设定!$D$11+R21*基础设定!$D$14</f>
        <v>54724</v>
      </c>
      <c r="T21" s="4">
        <f t="shared" si="8"/>
        <v>1.25974025974026</v>
      </c>
    </row>
    <row r="22" spans="2:20">
      <c r="B22" s="4">
        <v>20</v>
      </c>
      <c r="C22" s="4">
        <f>角色基础!C24</f>
        <v>621.2</v>
      </c>
      <c r="D22" s="4">
        <f>角色基础!D24</f>
        <v>185.6</v>
      </c>
      <c r="E22" s="4">
        <f>角色基础!E24</f>
        <v>155.05</v>
      </c>
      <c r="G22" s="4">
        <v>5</v>
      </c>
      <c r="H22" s="4">
        <f t="shared" si="9"/>
        <v>0.075</v>
      </c>
      <c r="I22" s="4">
        <f t="shared" si="0"/>
        <v>1547</v>
      </c>
      <c r="J22" s="4">
        <f t="shared" si="1"/>
        <v>201</v>
      </c>
      <c r="K22" s="4">
        <f t="shared" si="2"/>
        <v>31</v>
      </c>
      <c r="L22" s="4">
        <f>I22*基础设定!$D$9+J22*基础设定!$D$11+K22*基础设定!$D$14</f>
        <v>5414</v>
      </c>
      <c r="N22" s="4">
        <f t="shared" si="3"/>
        <v>60</v>
      </c>
      <c r="O22" s="4">
        <f t="shared" si="4"/>
        <v>0.2625</v>
      </c>
      <c r="P22" s="4">
        <f t="shared" si="5"/>
        <v>26004</v>
      </c>
      <c r="Q22" s="4">
        <f t="shared" si="6"/>
        <v>318</v>
      </c>
      <c r="R22" s="4">
        <f t="shared" si="7"/>
        <v>155</v>
      </c>
      <c r="S22" s="4">
        <f>P22*基础设定!$D$9+Q22*基础设定!$D$11+R22*基础设定!$D$14</f>
        <v>56738</v>
      </c>
      <c r="T22" s="4">
        <f t="shared" si="8"/>
        <v>1.26415094339623</v>
      </c>
    </row>
    <row r="23" spans="2:20">
      <c r="B23" s="4">
        <v>21</v>
      </c>
      <c r="C23" s="4">
        <f>角色基础!C25</f>
        <v>649.7</v>
      </c>
      <c r="D23" s="4">
        <f>角色基础!D25</f>
        <v>205.22</v>
      </c>
      <c r="E23" s="4">
        <f>角色基础!E25</f>
        <v>171.35</v>
      </c>
      <c r="G23" s="4">
        <v>6</v>
      </c>
      <c r="H23" s="4">
        <f t="shared" si="9"/>
        <v>0.075</v>
      </c>
      <c r="I23" s="4">
        <f t="shared" si="0"/>
        <v>2050</v>
      </c>
      <c r="J23" s="4">
        <f t="shared" si="1"/>
        <v>220</v>
      </c>
      <c r="K23" s="4">
        <f t="shared" si="2"/>
        <v>34</v>
      </c>
      <c r="L23" s="4">
        <f>I23*基础设定!$D$9+J23*基础设定!$D$11+K23*基础设定!$D$14</f>
        <v>6640</v>
      </c>
      <c r="N23" s="4">
        <f t="shared" si="3"/>
        <v>72</v>
      </c>
      <c r="O23" s="4">
        <f t="shared" si="4"/>
        <v>0.2625</v>
      </c>
      <c r="P23" s="4">
        <f t="shared" si="5"/>
        <v>34475</v>
      </c>
      <c r="Q23" s="4">
        <f t="shared" si="6"/>
        <v>341</v>
      </c>
      <c r="R23" s="4">
        <f t="shared" si="7"/>
        <v>171</v>
      </c>
      <c r="S23" s="4">
        <f>P23*基础设定!$D$9+Q23*基础设定!$D$11+R23*基础设定!$D$14</f>
        <v>74070</v>
      </c>
      <c r="T23" s="4">
        <f t="shared" si="8"/>
        <v>1.29032258064516</v>
      </c>
    </row>
    <row r="24" spans="2:20">
      <c r="B24" s="4">
        <v>22</v>
      </c>
      <c r="C24" s="4">
        <f>角色基础!C26</f>
        <v>677.15</v>
      </c>
      <c r="D24" s="4">
        <f>角色基础!D26</f>
        <v>211.82</v>
      </c>
      <c r="E24" s="4">
        <f>角色基础!E26</f>
        <v>177.99</v>
      </c>
      <c r="G24" s="4">
        <v>6</v>
      </c>
      <c r="H24" s="4">
        <f t="shared" si="9"/>
        <v>0.085</v>
      </c>
      <c r="I24" s="4">
        <f t="shared" si="0"/>
        <v>2116</v>
      </c>
      <c r="J24" s="4">
        <f t="shared" si="1"/>
        <v>235</v>
      </c>
      <c r="K24" s="4">
        <f t="shared" si="2"/>
        <v>35</v>
      </c>
      <c r="L24" s="4">
        <f>I24*基础设定!$D$9+J24*基础设定!$D$11+K24*基础设定!$D$14</f>
        <v>6932</v>
      </c>
      <c r="N24" s="4">
        <f t="shared" si="3"/>
        <v>72</v>
      </c>
      <c r="O24" s="4">
        <f t="shared" si="4"/>
        <v>0.2975</v>
      </c>
      <c r="P24" s="4">
        <f t="shared" si="5"/>
        <v>35620</v>
      </c>
      <c r="Q24" s="4">
        <f t="shared" si="6"/>
        <v>379</v>
      </c>
      <c r="R24" s="4">
        <f t="shared" si="7"/>
        <v>177</v>
      </c>
      <c r="S24" s="4">
        <f>P24*基础设定!$D$9+Q24*基础设定!$D$11+R24*基础设定!$D$14</f>
        <v>76800</v>
      </c>
      <c r="T24" s="4">
        <f t="shared" si="8"/>
        <v>1.2401055408971</v>
      </c>
    </row>
    <row r="25" spans="2:20">
      <c r="B25" s="4">
        <v>23</v>
      </c>
      <c r="C25" s="4">
        <f>角色基础!C27</f>
        <v>714.05</v>
      </c>
      <c r="D25" s="4">
        <f>角色基础!D27</f>
        <v>220.1</v>
      </c>
      <c r="E25" s="4">
        <f>角色基础!E27</f>
        <v>183.79</v>
      </c>
      <c r="G25" s="4">
        <v>6</v>
      </c>
      <c r="H25" s="4">
        <f t="shared" si="9"/>
        <v>0.085</v>
      </c>
      <c r="I25" s="4">
        <f t="shared" si="0"/>
        <v>2196</v>
      </c>
      <c r="J25" s="4">
        <f t="shared" si="1"/>
        <v>244</v>
      </c>
      <c r="K25" s="4">
        <f t="shared" si="2"/>
        <v>36</v>
      </c>
      <c r="L25" s="4">
        <f>I25*基础设定!$D$9+J25*基础设定!$D$11+K25*基础设定!$D$14</f>
        <v>7192</v>
      </c>
      <c r="N25" s="4">
        <f t="shared" si="3"/>
        <v>72</v>
      </c>
      <c r="O25" s="4">
        <f t="shared" si="4"/>
        <v>0.2975</v>
      </c>
      <c r="P25" s="4">
        <f t="shared" si="5"/>
        <v>36946</v>
      </c>
      <c r="Q25" s="4">
        <f t="shared" si="6"/>
        <v>396</v>
      </c>
      <c r="R25" s="4">
        <f t="shared" si="7"/>
        <v>183</v>
      </c>
      <c r="S25" s="4">
        <f>P25*基础设定!$D$9+Q25*基础设定!$D$11+R25*基础设定!$D$14</f>
        <v>79682</v>
      </c>
      <c r="T25" s="4">
        <f t="shared" si="8"/>
        <v>1.23232323232323</v>
      </c>
    </row>
    <row r="26" spans="2:20">
      <c r="B26" s="4">
        <v>24</v>
      </c>
      <c r="C26" s="4">
        <f>角色基础!C28</f>
        <v>732.05</v>
      </c>
      <c r="D26" s="4">
        <f>角色基础!D28</f>
        <v>227.96</v>
      </c>
      <c r="E26" s="4">
        <f>角色基础!E28</f>
        <v>190.01</v>
      </c>
      <c r="G26" s="4">
        <v>6</v>
      </c>
      <c r="H26" s="4">
        <f t="shared" si="9"/>
        <v>0.085</v>
      </c>
      <c r="I26" s="4">
        <f t="shared" si="0"/>
        <v>2279</v>
      </c>
      <c r="J26" s="4">
        <f t="shared" si="1"/>
        <v>252</v>
      </c>
      <c r="K26" s="4">
        <f t="shared" si="2"/>
        <v>38</v>
      </c>
      <c r="L26" s="4">
        <f>I26*基础设定!$D$9+J26*基础设定!$D$11+K26*基础设定!$D$14</f>
        <v>7458</v>
      </c>
      <c r="N26" s="4">
        <f t="shared" si="3"/>
        <v>72</v>
      </c>
      <c r="O26" s="4">
        <f t="shared" si="4"/>
        <v>0.2975</v>
      </c>
      <c r="P26" s="4">
        <f t="shared" si="5"/>
        <v>38299</v>
      </c>
      <c r="Q26" s="4">
        <f t="shared" si="6"/>
        <v>407</v>
      </c>
      <c r="R26" s="4">
        <f t="shared" si="7"/>
        <v>190</v>
      </c>
      <c r="S26" s="4">
        <f>P26*基础设定!$D$9+Q26*基础设定!$D$11+R26*基础设定!$D$14</f>
        <v>82568</v>
      </c>
      <c r="T26" s="4">
        <f t="shared" si="8"/>
        <v>1.23832923832924</v>
      </c>
    </row>
    <row r="27" spans="2:20">
      <c r="B27" s="4">
        <v>25</v>
      </c>
      <c r="C27" s="4">
        <f>角色基础!C29</f>
        <v>768.95</v>
      </c>
      <c r="D27" s="4">
        <f>角色基础!D29</f>
        <v>234.56</v>
      </c>
      <c r="E27" s="4">
        <f>角色基础!E29</f>
        <v>196.86</v>
      </c>
      <c r="G27" s="4">
        <v>6</v>
      </c>
      <c r="H27" s="4">
        <f t="shared" si="9"/>
        <v>0.095</v>
      </c>
      <c r="I27" s="4">
        <f t="shared" si="0"/>
        <v>2345</v>
      </c>
      <c r="J27" s="4">
        <f t="shared" si="1"/>
        <v>269</v>
      </c>
      <c r="K27" s="4">
        <f t="shared" si="2"/>
        <v>39</v>
      </c>
      <c r="L27" s="4">
        <f>I27*基础设定!$D$9+J27*基础设定!$D$11+K27*基础设定!$D$14</f>
        <v>7770</v>
      </c>
      <c r="N27" s="4">
        <f t="shared" si="3"/>
        <v>72</v>
      </c>
      <c r="O27" s="4">
        <f t="shared" si="4"/>
        <v>0.3325</v>
      </c>
      <c r="P27" s="4">
        <f t="shared" si="5"/>
        <v>39444</v>
      </c>
      <c r="Q27" s="4">
        <f t="shared" si="6"/>
        <v>452</v>
      </c>
      <c r="R27" s="4">
        <f t="shared" si="7"/>
        <v>196</v>
      </c>
      <c r="S27" s="4">
        <f>P27*基础设定!$D$9+Q27*基础设定!$D$11+R27*基础设定!$D$14</f>
        <v>85368</v>
      </c>
      <c r="T27" s="4">
        <f t="shared" si="8"/>
        <v>1.19026548672566</v>
      </c>
    </row>
    <row r="28" spans="2:20">
      <c r="B28" s="4">
        <v>26</v>
      </c>
      <c r="C28" s="4">
        <f>角色基础!C30</f>
        <v>805.85</v>
      </c>
      <c r="D28" s="4">
        <f>角色基础!D30</f>
        <v>242.84</v>
      </c>
      <c r="E28" s="4">
        <f>角色基础!E30</f>
        <v>202.66</v>
      </c>
      <c r="G28" s="4">
        <v>7</v>
      </c>
      <c r="H28" s="4">
        <f t="shared" si="9"/>
        <v>0.095</v>
      </c>
      <c r="I28" s="4">
        <f t="shared" si="0"/>
        <v>2829</v>
      </c>
      <c r="J28" s="4">
        <f t="shared" si="1"/>
        <v>279</v>
      </c>
      <c r="K28" s="4">
        <f t="shared" si="2"/>
        <v>40</v>
      </c>
      <c r="L28" s="4">
        <f>I28*基础设定!$D$9+J28*基础设定!$D$11+K28*基础设定!$D$14</f>
        <v>8848</v>
      </c>
      <c r="N28" s="4">
        <f t="shared" si="3"/>
        <v>84</v>
      </c>
      <c r="O28" s="4">
        <f t="shared" si="4"/>
        <v>0.3325</v>
      </c>
      <c r="P28" s="4">
        <f t="shared" si="5"/>
        <v>47565</v>
      </c>
      <c r="Q28" s="4">
        <f t="shared" si="6"/>
        <v>470</v>
      </c>
      <c r="R28" s="4">
        <f t="shared" si="7"/>
        <v>202</v>
      </c>
      <c r="S28" s="4">
        <f>P28*基础设定!$D$9+Q28*基础设定!$D$11+R28*基础设定!$D$14</f>
        <v>101850</v>
      </c>
      <c r="T28" s="4">
        <f t="shared" si="8"/>
        <v>1.18723404255319</v>
      </c>
    </row>
    <row r="29" spans="2:20">
      <c r="B29" s="4">
        <v>27</v>
      </c>
      <c r="C29" s="4">
        <f>角色基础!C31</f>
        <v>823.85</v>
      </c>
      <c r="D29" s="4">
        <f>角色基础!D31</f>
        <v>250.7</v>
      </c>
      <c r="E29" s="4">
        <f>角色基础!E31</f>
        <v>209.51</v>
      </c>
      <c r="G29" s="4">
        <v>7</v>
      </c>
      <c r="H29" s="4">
        <f t="shared" si="9"/>
        <v>0.095</v>
      </c>
      <c r="I29" s="4">
        <f t="shared" si="0"/>
        <v>2919</v>
      </c>
      <c r="J29" s="4">
        <f t="shared" si="1"/>
        <v>287</v>
      </c>
      <c r="K29" s="4">
        <f t="shared" si="2"/>
        <v>41</v>
      </c>
      <c r="L29" s="4">
        <f>I29*基础设定!$D$9+J29*基础设定!$D$11+K29*基础设定!$D$14</f>
        <v>9118</v>
      </c>
      <c r="N29" s="4">
        <f t="shared" si="3"/>
        <v>84</v>
      </c>
      <c r="O29" s="4">
        <f t="shared" si="4"/>
        <v>0.3325</v>
      </c>
      <c r="P29" s="4">
        <f t="shared" si="5"/>
        <v>49144</v>
      </c>
      <c r="Q29" s="4">
        <f t="shared" si="6"/>
        <v>483</v>
      </c>
      <c r="R29" s="4">
        <f t="shared" si="7"/>
        <v>209</v>
      </c>
      <c r="S29" s="4">
        <f>P29*基础设定!$D$9+Q29*基础设定!$D$11+R29*基础设定!$D$14</f>
        <v>105208</v>
      </c>
      <c r="T29" s="4">
        <f t="shared" si="8"/>
        <v>1.18840579710145</v>
      </c>
    </row>
    <row r="30" spans="2:20">
      <c r="B30" s="4">
        <v>28</v>
      </c>
      <c r="C30" s="4">
        <f>角色基础!C32</f>
        <v>851.3</v>
      </c>
      <c r="D30" s="4">
        <f>角色基础!D32</f>
        <v>257.3</v>
      </c>
      <c r="E30" s="4">
        <f>角色基础!E32</f>
        <v>216.15</v>
      </c>
      <c r="G30" s="4">
        <v>7</v>
      </c>
      <c r="H30" s="4">
        <f t="shared" si="9"/>
        <v>0.105</v>
      </c>
      <c r="I30" s="4">
        <f t="shared" si="0"/>
        <v>3002</v>
      </c>
      <c r="J30" s="4">
        <f t="shared" si="1"/>
        <v>305</v>
      </c>
      <c r="K30" s="4">
        <f t="shared" si="2"/>
        <v>43</v>
      </c>
      <c r="L30" s="4">
        <f>I30*基础设定!$D$9+J30*基础设定!$D$11+K30*基础设定!$D$14</f>
        <v>9484</v>
      </c>
      <c r="N30" s="4">
        <f t="shared" si="3"/>
        <v>84</v>
      </c>
      <c r="O30" s="4">
        <f t="shared" si="4"/>
        <v>0.3675</v>
      </c>
      <c r="P30" s="4">
        <f t="shared" si="5"/>
        <v>50563</v>
      </c>
      <c r="Q30" s="4">
        <f t="shared" si="6"/>
        <v>529</v>
      </c>
      <c r="R30" s="4">
        <f t="shared" si="7"/>
        <v>216</v>
      </c>
      <c r="S30" s="4">
        <f>P30*基础设定!$D$9+Q30*基础设定!$D$11+R30*基础设定!$D$14</f>
        <v>108576</v>
      </c>
      <c r="T30" s="4">
        <f t="shared" si="8"/>
        <v>1.1531190926276</v>
      </c>
    </row>
    <row r="31" spans="2:20">
      <c r="B31" s="4">
        <v>29</v>
      </c>
      <c r="C31" s="4">
        <f>角色基础!C33</f>
        <v>869.3</v>
      </c>
      <c r="D31" s="4">
        <f>角色基础!D33</f>
        <v>263.9</v>
      </c>
      <c r="E31" s="4">
        <f>角色基础!E33</f>
        <v>221.95</v>
      </c>
      <c r="G31" s="4">
        <v>7</v>
      </c>
      <c r="H31" s="4">
        <f t="shared" si="9"/>
        <v>0.105</v>
      </c>
      <c r="I31" s="4">
        <f t="shared" si="0"/>
        <v>3078</v>
      </c>
      <c r="J31" s="4">
        <f t="shared" si="1"/>
        <v>313</v>
      </c>
      <c r="K31" s="4">
        <f t="shared" si="2"/>
        <v>44</v>
      </c>
      <c r="L31" s="4">
        <f>I31*基础设定!$D$9+J31*基础设定!$D$11+K31*基础设定!$D$14</f>
        <v>9726</v>
      </c>
      <c r="N31" s="4">
        <f t="shared" si="3"/>
        <v>84</v>
      </c>
      <c r="O31" s="4">
        <f t="shared" si="4"/>
        <v>0.3675</v>
      </c>
      <c r="P31" s="4">
        <f t="shared" si="5"/>
        <v>51815</v>
      </c>
      <c r="Q31" s="4">
        <f t="shared" si="6"/>
        <v>541</v>
      </c>
      <c r="R31" s="4">
        <f t="shared" si="7"/>
        <v>221</v>
      </c>
      <c r="S31" s="4">
        <f>P31*基础设定!$D$9+Q31*基础设定!$D$11+R31*基础设定!$D$14</f>
        <v>111250</v>
      </c>
      <c r="T31" s="4">
        <f t="shared" si="8"/>
        <v>1.15711645101664</v>
      </c>
    </row>
    <row r="32" spans="2:20">
      <c r="B32" s="4">
        <v>30</v>
      </c>
      <c r="C32" s="4">
        <f>角色基础!C34</f>
        <v>887.3</v>
      </c>
      <c r="D32" s="4">
        <f>角色基础!D34</f>
        <v>270.5</v>
      </c>
      <c r="E32" s="4">
        <f>角色基础!E34</f>
        <v>227.75</v>
      </c>
      <c r="G32" s="4">
        <v>7</v>
      </c>
      <c r="H32" s="4">
        <f t="shared" si="9"/>
        <v>0.105</v>
      </c>
      <c r="I32" s="4">
        <f t="shared" si="0"/>
        <v>3155</v>
      </c>
      <c r="J32" s="4">
        <f t="shared" si="1"/>
        <v>320</v>
      </c>
      <c r="K32" s="4">
        <f t="shared" si="2"/>
        <v>45</v>
      </c>
      <c r="L32" s="4">
        <f>I32*基础设定!$D$9+J32*基础设定!$D$11+K32*基础设定!$D$14</f>
        <v>9960</v>
      </c>
      <c r="N32" s="4">
        <f t="shared" si="3"/>
        <v>84</v>
      </c>
      <c r="O32" s="4">
        <f t="shared" si="4"/>
        <v>0.3675</v>
      </c>
      <c r="P32" s="4">
        <f t="shared" si="5"/>
        <v>53151</v>
      </c>
      <c r="Q32" s="4">
        <f t="shared" si="6"/>
        <v>553</v>
      </c>
      <c r="R32" s="4">
        <f t="shared" si="7"/>
        <v>227</v>
      </c>
      <c r="S32" s="4">
        <f>P32*基础设定!$D$9+Q32*基础设定!$D$11+R32*基础设定!$D$14</f>
        <v>114102</v>
      </c>
      <c r="T32" s="4">
        <f t="shared" si="8"/>
        <v>1.15732368896926</v>
      </c>
    </row>
    <row r="33" spans="2:20">
      <c r="B33" s="4">
        <v>31</v>
      </c>
      <c r="C33" s="4">
        <f>角色基础!C35</f>
        <v>911.3</v>
      </c>
      <c r="D33" s="4">
        <f>角色基础!D35</f>
        <v>289.74</v>
      </c>
      <c r="E33" s="4">
        <f>角色基础!E35</f>
        <v>242.75</v>
      </c>
      <c r="G33" s="4">
        <v>8</v>
      </c>
      <c r="H33" s="4">
        <f t="shared" si="9"/>
        <v>0.115</v>
      </c>
      <c r="I33" s="4">
        <f t="shared" si="0"/>
        <v>3860</v>
      </c>
      <c r="J33" s="4">
        <f t="shared" si="1"/>
        <v>347</v>
      </c>
      <c r="K33" s="4">
        <f t="shared" si="2"/>
        <v>48</v>
      </c>
      <c r="L33" s="4">
        <f>I33*基础设定!$D$9+J33*基础设定!$D$11+K33*基础设定!$D$14</f>
        <v>11670</v>
      </c>
      <c r="N33" s="4">
        <f t="shared" si="3"/>
        <v>96</v>
      </c>
      <c r="O33" s="4">
        <f t="shared" si="4"/>
        <v>0.4025</v>
      </c>
      <c r="P33" s="4">
        <f t="shared" si="5"/>
        <v>64954</v>
      </c>
      <c r="Q33" s="4">
        <f t="shared" si="6"/>
        <v>609</v>
      </c>
      <c r="R33" s="4">
        <f t="shared" si="7"/>
        <v>242</v>
      </c>
      <c r="S33" s="4">
        <f>P33*基础设定!$D$9+Q33*基础设定!$D$11+R33*基础设定!$D$14</f>
        <v>138418</v>
      </c>
      <c r="T33" s="4">
        <f t="shared" si="8"/>
        <v>1.13957307060755</v>
      </c>
    </row>
    <row r="34" spans="2:20">
      <c r="B34" s="4">
        <v>32</v>
      </c>
      <c r="C34" s="4">
        <f>角色基础!C36</f>
        <v>943.45</v>
      </c>
      <c r="D34" s="4">
        <f>角色基础!D36</f>
        <v>296.74</v>
      </c>
      <c r="E34" s="4">
        <f>角色基础!E36</f>
        <v>249.83</v>
      </c>
      <c r="G34" s="4">
        <v>8</v>
      </c>
      <c r="H34" s="4">
        <f t="shared" si="9"/>
        <v>0.115</v>
      </c>
      <c r="I34" s="4">
        <f t="shared" si="0"/>
        <v>3952</v>
      </c>
      <c r="J34" s="4">
        <f t="shared" si="1"/>
        <v>358</v>
      </c>
      <c r="K34" s="4">
        <f t="shared" si="2"/>
        <v>49</v>
      </c>
      <c r="L34" s="4">
        <f>I34*基础设定!$D$9+J34*基础设定!$D$11+K34*基础设定!$D$14</f>
        <v>11974</v>
      </c>
      <c r="N34" s="4">
        <f t="shared" si="3"/>
        <v>96</v>
      </c>
      <c r="O34" s="4">
        <f t="shared" si="4"/>
        <v>0.4025</v>
      </c>
      <c r="P34" s="4">
        <f t="shared" si="5"/>
        <v>66634</v>
      </c>
      <c r="Q34" s="4">
        <f t="shared" si="6"/>
        <v>629</v>
      </c>
      <c r="R34" s="4">
        <f t="shared" si="7"/>
        <v>249</v>
      </c>
      <c r="S34" s="4">
        <f>P34*基础设定!$D$9+Q34*基础设定!$D$11+R34*基础设定!$D$14</f>
        <v>142048</v>
      </c>
      <c r="T34" s="4">
        <f t="shared" si="8"/>
        <v>1.13831478537361</v>
      </c>
    </row>
    <row r="35" spans="2:20">
      <c r="B35" s="4">
        <v>33</v>
      </c>
      <c r="C35" s="4">
        <f>角色基础!C37</f>
        <v>977.75</v>
      </c>
      <c r="D35" s="4">
        <f>角色基础!D37</f>
        <v>300.9</v>
      </c>
      <c r="E35" s="4">
        <f>角色基础!E37</f>
        <v>250.83</v>
      </c>
      <c r="G35" s="4">
        <v>8</v>
      </c>
      <c r="H35" s="4">
        <f t="shared" si="9"/>
        <v>0.115</v>
      </c>
      <c r="I35" s="4">
        <f t="shared" si="0"/>
        <v>4010</v>
      </c>
      <c r="J35" s="4">
        <f t="shared" si="1"/>
        <v>363</v>
      </c>
      <c r="K35" s="4">
        <f t="shared" si="2"/>
        <v>50</v>
      </c>
      <c r="L35" s="4">
        <f>I35*基础设定!$D$9+J35*基础设定!$D$11+K35*基础设定!$D$14</f>
        <v>12150</v>
      </c>
      <c r="N35" s="4">
        <f t="shared" si="3"/>
        <v>96</v>
      </c>
      <c r="O35" s="4">
        <f t="shared" si="4"/>
        <v>0.4025</v>
      </c>
      <c r="P35" s="4">
        <f t="shared" si="5"/>
        <v>67329</v>
      </c>
      <c r="Q35" s="4">
        <f t="shared" si="6"/>
        <v>644</v>
      </c>
      <c r="R35" s="4">
        <f t="shared" si="7"/>
        <v>250</v>
      </c>
      <c r="S35" s="4">
        <f>P35*基础设定!$D$9+Q35*基础设定!$D$11+R35*基础设定!$D$14</f>
        <v>143598</v>
      </c>
      <c r="T35" s="4">
        <f t="shared" si="8"/>
        <v>1.12732919254658</v>
      </c>
    </row>
    <row r="36" spans="2:20">
      <c r="B36" s="4">
        <v>34</v>
      </c>
      <c r="C36" s="4">
        <f>角色基础!C38</f>
        <v>997.75</v>
      </c>
      <c r="D36" s="4">
        <f>角色基础!D38</f>
        <v>309.52</v>
      </c>
      <c r="E36" s="4">
        <f>角色基础!E38</f>
        <v>257.37</v>
      </c>
      <c r="G36" s="4">
        <v>8</v>
      </c>
      <c r="H36" s="4">
        <f t="shared" si="9"/>
        <v>0.125</v>
      </c>
      <c r="I36" s="4">
        <f t="shared" si="0"/>
        <v>4122</v>
      </c>
      <c r="J36" s="4">
        <f t="shared" si="1"/>
        <v>382</v>
      </c>
      <c r="K36" s="4">
        <f t="shared" si="2"/>
        <v>51</v>
      </c>
      <c r="L36" s="4">
        <f>I36*基础设定!$D$9+J36*基础设定!$D$11+K36*基础设定!$D$14</f>
        <v>12574</v>
      </c>
      <c r="N36" s="4">
        <f t="shared" si="3"/>
        <v>96</v>
      </c>
      <c r="O36" s="4">
        <f t="shared" si="4"/>
        <v>0.4375</v>
      </c>
      <c r="P36" s="4">
        <f t="shared" si="5"/>
        <v>69242</v>
      </c>
      <c r="Q36" s="4">
        <f t="shared" si="6"/>
        <v>693</v>
      </c>
      <c r="R36" s="4">
        <f t="shared" si="7"/>
        <v>257</v>
      </c>
      <c r="S36" s="4">
        <f>P36*基础设定!$D$9+Q36*基础设定!$D$11+R36*基础设定!$D$14</f>
        <v>147984</v>
      </c>
      <c r="T36" s="4">
        <f t="shared" si="8"/>
        <v>1.1024531024531</v>
      </c>
    </row>
    <row r="37" spans="2:20">
      <c r="B37" s="4">
        <v>35</v>
      </c>
      <c r="C37" s="4">
        <f>角色基础!C39</f>
        <v>1032.05</v>
      </c>
      <c r="D37" s="4">
        <f>角色基础!D39</f>
        <v>311.52</v>
      </c>
      <c r="E37" s="4">
        <f>角色基础!E39</f>
        <v>259.72</v>
      </c>
      <c r="G37" s="4">
        <v>8</v>
      </c>
      <c r="H37" s="4">
        <f t="shared" si="9"/>
        <v>0.125</v>
      </c>
      <c r="I37" s="4">
        <f t="shared" si="0"/>
        <v>4146</v>
      </c>
      <c r="J37" s="4">
        <f t="shared" si="1"/>
        <v>388</v>
      </c>
      <c r="K37" s="4">
        <f t="shared" si="2"/>
        <v>51</v>
      </c>
      <c r="L37" s="4">
        <f>I37*基础设定!$D$9+J37*基础设定!$D$11+K37*基础设定!$D$14</f>
        <v>12682</v>
      </c>
      <c r="N37" s="4">
        <f t="shared" si="3"/>
        <v>96</v>
      </c>
      <c r="O37" s="4">
        <f t="shared" si="4"/>
        <v>0.4375</v>
      </c>
      <c r="P37" s="4">
        <f t="shared" si="5"/>
        <v>69722</v>
      </c>
      <c r="Q37" s="4">
        <f t="shared" si="6"/>
        <v>711</v>
      </c>
      <c r="R37" s="4">
        <f t="shared" si="7"/>
        <v>259</v>
      </c>
      <c r="S37" s="4">
        <f>P37*基础设定!$D$9+Q37*基础设定!$D$11+R37*基础设定!$D$14</f>
        <v>149144</v>
      </c>
      <c r="T37" s="4">
        <f t="shared" si="8"/>
        <v>1.09142053445851</v>
      </c>
    </row>
    <row r="38" spans="2:20">
      <c r="B38" s="4">
        <v>36</v>
      </c>
      <c r="C38" s="4">
        <f>角色基础!C40</f>
        <v>1076.35</v>
      </c>
      <c r="D38" s="4">
        <f>角色基础!D40</f>
        <v>320.68</v>
      </c>
      <c r="E38" s="4">
        <f>角色基础!E40</f>
        <v>265.72</v>
      </c>
      <c r="G38" s="4">
        <v>9</v>
      </c>
      <c r="H38" s="4">
        <f t="shared" si="9"/>
        <v>0.125</v>
      </c>
      <c r="I38" s="4">
        <f t="shared" si="0"/>
        <v>4806</v>
      </c>
      <c r="J38" s="4">
        <f t="shared" si="1"/>
        <v>400</v>
      </c>
      <c r="K38" s="4">
        <f t="shared" si="2"/>
        <v>53</v>
      </c>
      <c r="L38" s="4">
        <f>I38*基础设定!$D$9+J38*基础设定!$D$11+K38*基础设定!$D$14</f>
        <v>14142</v>
      </c>
      <c r="N38" s="4">
        <f t="shared" si="3"/>
        <v>108</v>
      </c>
      <c r="O38" s="4">
        <f t="shared" si="4"/>
        <v>0.4375</v>
      </c>
      <c r="P38" s="4">
        <f t="shared" si="5"/>
        <v>80570</v>
      </c>
      <c r="Q38" s="4">
        <f t="shared" si="6"/>
        <v>736</v>
      </c>
      <c r="R38" s="4">
        <f t="shared" si="7"/>
        <v>265</v>
      </c>
      <c r="S38" s="4">
        <f>P38*基础设定!$D$9+Q38*基础设定!$D$11+R38*基础设定!$D$14</f>
        <v>171150</v>
      </c>
      <c r="T38" s="4">
        <f t="shared" si="8"/>
        <v>1.08695652173913</v>
      </c>
    </row>
    <row r="39" spans="2:20">
      <c r="B39" s="4">
        <v>37</v>
      </c>
      <c r="C39" s="4">
        <f>角色基础!C41</f>
        <v>1086.35</v>
      </c>
      <c r="D39" s="4">
        <f>角色基础!D41</f>
        <v>324.3</v>
      </c>
      <c r="E39" s="4">
        <f>角色基础!E41</f>
        <v>268.07</v>
      </c>
      <c r="G39" s="4">
        <v>9</v>
      </c>
      <c r="H39" s="4">
        <f t="shared" si="9"/>
        <v>0.135</v>
      </c>
      <c r="I39" s="4">
        <f t="shared" si="0"/>
        <v>4855</v>
      </c>
      <c r="J39" s="4">
        <f t="shared" si="1"/>
        <v>414</v>
      </c>
      <c r="K39" s="4">
        <f t="shared" si="2"/>
        <v>53</v>
      </c>
      <c r="L39" s="4">
        <f>I39*基础设定!$D$9+J39*基础设定!$D$11+K39*基础设定!$D$14</f>
        <v>14380</v>
      </c>
      <c r="N39" s="4">
        <f t="shared" si="3"/>
        <v>108</v>
      </c>
      <c r="O39" s="4">
        <f t="shared" si="4"/>
        <v>0.4725</v>
      </c>
      <c r="P39" s="4">
        <f t="shared" si="5"/>
        <v>81480</v>
      </c>
      <c r="Q39" s="4">
        <f t="shared" si="6"/>
        <v>781</v>
      </c>
      <c r="R39" s="4">
        <f t="shared" si="7"/>
        <v>268</v>
      </c>
      <c r="S39" s="4">
        <f>P39*基础设定!$D$9+Q39*基础设定!$D$11+R39*基础设定!$D$14</f>
        <v>173450</v>
      </c>
      <c r="T39" s="4">
        <f t="shared" si="8"/>
        <v>1.06017925736236</v>
      </c>
    </row>
    <row r="40" spans="2:20">
      <c r="B40" s="4">
        <v>38</v>
      </c>
      <c r="C40" s="4">
        <f>角色基础!C42</f>
        <v>1118.5</v>
      </c>
      <c r="D40" s="4">
        <f>角色基础!D42</f>
        <v>331.3</v>
      </c>
      <c r="E40" s="4">
        <f>角色基础!E42</f>
        <v>275.15</v>
      </c>
      <c r="G40" s="4">
        <v>9</v>
      </c>
      <c r="H40" s="4">
        <f t="shared" si="9"/>
        <v>0.135</v>
      </c>
      <c r="I40" s="4">
        <f t="shared" si="0"/>
        <v>4967</v>
      </c>
      <c r="J40" s="4">
        <f t="shared" si="1"/>
        <v>426</v>
      </c>
      <c r="K40" s="4">
        <f t="shared" si="2"/>
        <v>55</v>
      </c>
      <c r="L40" s="4">
        <f>I40*基础设定!$D$9+J40*基础设定!$D$11+K40*基础设定!$D$14</f>
        <v>14744</v>
      </c>
      <c r="N40" s="4">
        <f t="shared" si="3"/>
        <v>108</v>
      </c>
      <c r="O40" s="4">
        <f t="shared" si="4"/>
        <v>0.4725</v>
      </c>
      <c r="P40" s="4">
        <f t="shared" si="5"/>
        <v>83370</v>
      </c>
      <c r="Q40" s="4">
        <f t="shared" si="6"/>
        <v>803</v>
      </c>
      <c r="R40" s="4">
        <f t="shared" si="7"/>
        <v>275</v>
      </c>
      <c r="S40" s="4">
        <f>P40*基础设定!$D$9+Q40*基础设定!$D$11+R40*基础设定!$D$14</f>
        <v>177520</v>
      </c>
      <c r="T40" s="4">
        <f t="shared" si="8"/>
        <v>1.06102117061021</v>
      </c>
    </row>
    <row r="41" spans="2:20">
      <c r="B41" s="4">
        <v>39</v>
      </c>
      <c r="C41" s="4">
        <f>角色基础!C43</f>
        <v>1128.5</v>
      </c>
      <c r="D41" s="4">
        <f>角色基础!D43</f>
        <v>333.3</v>
      </c>
      <c r="E41" s="4">
        <f>角色基础!E43</f>
        <v>276.15</v>
      </c>
      <c r="G41" s="4">
        <v>9</v>
      </c>
      <c r="H41" s="4">
        <f t="shared" si="9"/>
        <v>0.135</v>
      </c>
      <c r="I41" s="4">
        <f t="shared" si="0"/>
        <v>4994</v>
      </c>
      <c r="J41" s="4">
        <f t="shared" si="1"/>
        <v>428</v>
      </c>
      <c r="K41" s="4">
        <f t="shared" si="2"/>
        <v>55</v>
      </c>
      <c r="L41" s="4">
        <f>I41*基础设定!$D$9+J41*基础设定!$D$11+K41*基础设定!$D$14</f>
        <v>14818</v>
      </c>
      <c r="N41" s="4">
        <f t="shared" si="3"/>
        <v>108</v>
      </c>
      <c r="O41" s="4">
        <f t="shared" si="4"/>
        <v>0.4725</v>
      </c>
      <c r="P41" s="4">
        <f t="shared" si="5"/>
        <v>83802</v>
      </c>
      <c r="Q41" s="4">
        <f t="shared" si="6"/>
        <v>809</v>
      </c>
      <c r="R41" s="4">
        <f t="shared" si="7"/>
        <v>276</v>
      </c>
      <c r="S41" s="4">
        <f>P41*基础设定!$D$9+Q41*基础设定!$D$11+R41*基础设定!$D$14</f>
        <v>178454</v>
      </c>
      <c r="T41" s="4">
        <f t="shared" si="8"/>
        <v>1.05809641532756</v>
      </c>
    </row>
    <row r="42" spans="2:20">
      <c r="B42" s="4">
        <v>40</v>
      </c>
      <c r="C42" s="4">
        <f>角色基础!C44</f>
        <v>1148.5</v>
      </c>
      <c r="D42" s="4">
        <f>角色基础!D44</f>
        <v>340.3</v>
      </c>
      <c r="E42" s="4">
        <f>角色基础!E44</f>
        <v>282.15</v>
      </c>
      <c r="G42" s="4">
        <v>9</v>
      </c>
      <c r="H42" s="4">
        <f t="shared" si="9"/>
        <v>0.145</v>
      </c>
      <c r="I42" s="4">
        <f t="shared" si="0"/>
        <v>5098</v>
      </c>
      <c r="J42" s="4">
        <f t="shared" si="1"/>
        <v>448</v>
      </c>
      <c r="K42" s="4">
        <f t="shared" si="2"/>
        <v>56</v>
      </c>
      <c r="L42" s="4">
        <f>I42*基础设定!$D$9+J42*基础设定!$D$11+K42*基础设定!$D$14</f>
        <v>15236</v>
      </c>
      <c r="N42" s="4">
        <f t="shared" si="3"/>
        <v>108</v>
      </c>
      <c r="O42" s="4">
        <f t="shared" si="4"/>
        <v>0.5075</v>
      </c>
      <c r="P42" s="4">
        <f t="shared" si="5"/>
        <v>85584</v>
      </c>
      <c r="Q42" s="4">
        <f t="shared" si="6"/>
        <v>865</v>
      </c>
      <c r="R42" s="4">
        <f t="shared" si="7"/>
        <v>282</v>
      </c>
      <c r="S42" s="4">
        <f>P42*基础设定!$D$9+Q42*基础设定!$D$11+R42*基础设定!$D$14</f>
        <v>182638</v>
      </c>
      <c r="T42" s="4">
        <f t="shared" si="8"/>
        <v>1.03583815028902</v>
      </c>
    </row>
    <row r="43" spans="2:20">
      <c r="B43" s="4">
        <v>41</v>
      </c>
      <c r="C43" s="4">
        <f>角色基础!C45</f>
        <v>1178</v>
      </c>
      <c r="D43" s="4">
        <f>角色基础!D45</f>
        <v>364.88</v>
      </c>
      <c r="E43" s="4">
        <f>角色基础!E45</f>
        <v>300.85</v>
      </c>
      <c r="G43" s="4">
        <f t="shared" si="10"/>
        <v>10</v>
      </c>
      <c r="H43" s="4">
        <f t="shared" si="9"/>
        <v>0.145</v>
      </c>
      <c r="I43" s="4">
        <f t="shared" si="0"/>
        <v>6073</v>
      </c>
      <c r="J43" s="4">
        <f t="shared" si="1"/>
        <v>471</v>
      </c>
      <c r="K43" s="4">
        <f t="shared" si="2"/>
        <v>60</v>
      </c>
      <c r="L43" s="4">
        <f>I43*基础设定!$D$9+J43*基础设定!$D$11+K43*基础设定!$D$14</f>
        <v>17456</v>
      </c>
      <c r="N43" s="4">
        <f t="shared" si="3"/>
        <v>120</v>
      </c>
      <c r="O43" s="4">
        <f t="shared" si="4"/>
        <v>0.5075</v>
      </c>
      <c r="P43" s="4">
        <f t="shared" si="5"/>
        <v>101678</v>
      </c>
      <c r="Q43" s="4">
        <f t="shared" si="6"/>
        <v>898</v>
      </c>
      <c r="R43" s="4">
        <f t="shared" si="7"/>
        <v>300</v>
      </c>
      <c r="S43" s="4">
        <f>P43*基础设定!$D$9+Q43*基础设定!$D$11+R43*基础设定!$D$14</f>
        <v>215336</v>
      </c>
      <c r="T43" s="4">
        <f t="shared" si="8"/>
        <v>1.04899777282851</v>
      </c>
    </row>
    <row r="44" spans="2:20">
      <c r="B44" s="4">
        <v>42</v>
      </c>
      <c r="C44" s="4">
        <f>角色基础!C46</f>
        <v>1217.55</v>
      </c>
      <c r="D44" s="4">
        <f>角色基础!D46</f>
        <v>372.28</v>
      </c>
      <c r="E44" s="4">
        <f>角色基础!E46</f>
        <v>308.61</v>
      </c>
      <c r="G44" s="4">
        <f t="shared" si="10"/>
        <v>10</v>
      </c>
      <c r="H44" s="4">
        <f t="shared" si="9"/>
        <v>0.145</v>
      </c>
      <c r="I44" s="4">
        <f t="shared" si="0"/>
        <v>6194</v>
      </c>
      <c r="J44" s="4">
        <f t="shared" si="1"/>
        <v>485</v>
      </c>
      <c r="K44" s="4">
        <f t="shared" si="2"/>
        <v>61</v>
      </c>
      <c r="L44" s="4">
        <f>I44*基础设定!$D$9+J44*基础设定!$D$11+K44*基础设定!$D$14</f>
        <v>17848</v>
      </c>
      <c r="N44" s="4">
        <f t="shared" si="3"/>
        <v>120</v>
      </c>
      <c r="O44" s="4">
        <f t="shared" si="4"/>
        <v>0.5075</v>
      </c>
      <c r="P44" s="4">
        <f t="shared" si="5"/>
        <v>103970</v>
      </c>
      <c r="Q44" s="4">
        <f t="shared" si="6"/>
        <v>926</v>
      </c>
      <c r="R44" s="4">
        <f t="shared" si="7"/>
        <v>308</v>
      </c>
      <c r="S44" s="4">
        <f>P44*基础设定!$D$9+Q44*基础设定!$D$11+R44*基础设定!$D$14</f>
        <v>220280</v>
      </c>
      <c r="T44" s="4">
        <f t="shared" si="8"/>
        <v>1.0475161987041</v>
      </c>
    </row>
    <row r="45" spans="2:20">
      <c r="B45" s="4">
        <v>43</v>
      </c>
      <c r="C45" s="4">
        <f>角色基础!C47</f>
        <v>1264.65</v>
      </c>
      <c r="D45" s="4">
        <f>角色基础!D47</f>
        <v>377.8</v>
      </c>
      <c r="E45" s="4">
        <f>角色基础!E47</f>
        <v>309.81</v>
      </c>
      <c r="G45" s="4">
        <f t="shared" si="10"/>
        <v>10</v>
      </c>
      <c r="H45" s="4">
        <f t="shared" si="9"/>
        <v>0.155</v>
      </c>
      <c r="I45" s="4">
        <f t="shared" si="0"/>
        <v>6277</v>
      </c>
      <c r="J45" s="4">
        <f t="shared" si="1"/>
        <v>505</v>
      </c>
      <c r="K45" s="4">
        <f t="shared" si="2"/>
        <v>61</v>
      </c>
      <c r="L45" s="4">
        <f>I45*基础设定!$D$9+J45*基础设定!$D$11+K45*基础设定!$D$14</f>
        <v>18214</v>
      </c>
      <c r="N45" s="4">
        <f t="shared" si="3"/>
        <v>120</v>
      </c>
      <c r="O45" s="4">
        <f t="shared" si="4"/>
        <v>0.5425</v>
      </c>
      <c r="P45" s="4">
        <f t="shared" si="5"/>
        <v>105084</v>
      </c>
      <c r="Q45" s="4">
        <f t="shared" si="6"/>
        <v>995</v>
      </c>
      <c r="R45" s="4">
        <f t="shared" si="7"/>
        <v>309</v>
      </c>
      <c r="S45" s="4">
        <f>P45*基础设定!$D$9+Q45*基础设定!$D$11+R45*基础设定!$D$14</f>
        <v>223208</v>
      </c>
      <c r="T45" s="4">
        <f t="shared" si="8"/>
        <v>1.01507537688442</v>
      </c>
    </row>
    <row r="46" spans="2:20">
      <c r="B46" s="4">
        <v>44</v>
      </c>
      <c r="C46" s="4">
        <f>角色基础!C48</f>
        <v>1286.65</v>
      </c>
      <c r="D46" s="4">
        <f>角色基础!D48</f>
        <v>387.54</v>
      </c>
      <c r="E46" s="4">
        <f>角色基础!E48</f>
        <v>316.79</v>
      </c>
      <c r="G46" s="4">
        <f t="shared" si="10"/>
        <v>10</v>
      </c>
      <c r="H46" s="4">
        <f t="shared" si="9"/>
        <v>0.155</v>
      </c>
      <c r="I46" s="4">
        <f t="shared" si="0"/>
        <v>6443</v>
      </c>
      <c r="J46" s="4">
        <f t="shared" si="1"/>
        <v>516</v>
      </c>
      <c r="K46" s="4">
        <f t="shared" si="2"/>
        <v>63</v>
      </c>
      <c r="L46" s="4">
        <f>I46*基础设定!$D$9+J46*基础设定!$D$11+K46*基础设定!$D$14</f>
        <v>18676</v>
      </c>
      <c r="N46" s="4">
        <f t="shared" si="3"/>
        <v>120</v>
      </c>
      <c r="O46" s="4">
        <f t="shared" si="4"/>
        <v>0.5425</v>
      </c>
      <c r="P46" s="4">
        <f t="shared" si="5"/>
        <v>107677</v>
      </c>
      <c r="Q46" s="4">
        <f t="shared" si="6"/>
        <v>1014</v>
      </c>
      <c r="R46" s="4">
        <f t="shared" si="7"/>
        <v>316</v>
      </c>
      <c r="S46" s="4">
        <f>P46*基础设定!$D$9+Q46*基础设定!$D$11+R46*基础设定!$D$14</f>
        <v>228654</v>
      </c>
      <c r="T46" s="4">
        <f t="shared" si="8"/>
        <v>1.01775147928994</v>
      </c>
    </row>
    <row r="47" spans="2:20">
      <c r="B47" s="4">
        <v>45</v>
      </c>
      <c r="C47" s="4">
        <f>角色基础!C49</f>
        <v>1333.75</v>
      </c>
      <c r="D47" s="4">
        <f>角色基础!D49</f>
        <v>389.94</v>
      </c>
      <c r="E47" s="4">
        <f>角色基础!E49</f>
        <v>319.94</v>
      </c>
      <c r="G47" s="4">
        <f t="shared" si="10"/>
        <v>10</v>
      </c>
      <c r="H47" s="4">
        <f t="shared" si="9"/>
        <v>0.155</v>
      </c>
      <c r="I47" s="4">
        <f t="shared" si="0"/>
        <v>6479</v>
      </c>
      <c r="J47" s="4">
        <f t="shared" si="1"/>
        <v>526</v>
      </c>
      <c r="K47" s="4">
        <f t="shared" si="2"/>
        <v>63</v>
      </c>
      <c r="L47" s="4">
        <f>I47*基础设定!$D$9+J47*基础设定!$D$11+K47*基础设定!$D$14</f>
        <v>18848</v>
      </c>
      <c r="N47" s="4">
        <f t="shared" si="3"/>
        <v>120</v>
      </c>
      <c r="O47" s="4">
        <f t="shared" si="4"/>
        <v>0.5425</v>
      </c>
      <c r="P47" s="4">
        <f t="shared" si="5"/>
        <v>108469</v>
      </c>
      <c r="Q47" s="4">
        <f t="shared" si="6"/>
        <v>1043</v>
      </c>
      <c r="R47" s="4">
        <f t="shared" si="7"/>
        <v>319</v>
      </c>
      <c r="S47" s="4">
        <f>P47*基础设定!$D$9+Q47*基础设定!$D$11+R47*基础设定!$D$14</f>
        <v>230558</v>
      </c>
      <c r="T47" s="4">
        <f t="shared" si="8"/>
        <v>1.00862895493768</v>
      </c>
    </row>
    <row r="48" spans="2:20">
      <c r="B48" s="4">
        <v>46</v>
      </c>
      <c r="C48" s="4">
        <f>角色基础!C50</f>
        <v>1390.85</v>
      </c>
      <c r="D48" s="4">
        <f>角色基础!D50</f>
        <v>400.46</v>
      </c>
      <c r="E48" s="4">
        <f>角色基础!E50</f>
        <v>326.14</v>
      </c>
      <c r="G48" s="4">
        <f t="shared" si="10"/>
        <v>11</v>
      </c>
      <c r="H48" s="4">
        <f t="shared" si="9"/>
        <v>0.165</v>
      </c>
      <c r="I48" s="4">
        <f t="shared" si="0"/>
        <v>7322</v>
      </c>
      <c r="J48" s="4">
        <f t="shared" si="1"/>
        <v>555</v>
      </c>
      <c r="K48" s="4">
        <f t="shared" si="2"/>
        <v>65</v>
      </c>
      <c r="L48" s="4">
        <f>I48*基础设定!$D$9+J48*基础设定!$D$11+K48*基础设定!$D$14</f>
        <v>20844</v>
      </c>
      <c r="N48" s="4">
        <f t="shared" si="3"/>
        <v>132</v>
      </c>
      <c r="O48" s="4">
        <f t="shared" si="4"/>
        <v>0.5775</v>
      </c>
      <c r="P48" s="4">
        <f t="shared" si="5"/>
        <v>122323</v>
      </c>
      <c r="Q48" s="4">
        <f t="shared" si="6"/>
        <v>1129</v>
      </c>
      <c r="R48" s="4">
        <f t="shared" si="7"/>
        <v>326</v>
      </c>
      <c r="S48" s="4">
        <f>P48*基础设定!$D$9+Q48*基础设定!$D$11+R48*基础设定!$D$14</f>
        <v>259196</v>
      </c>
      <c r="T48" s="4">
        <f t="shared" si="8"/>
        <v>0.983170947741364</v>
      </c>
    </row>
    <row r="49" spans="2:20">
      <c r="B49" s="4">
        <v>47</v>
      </c>
      <c r="C49" s="4">
        <f>角色基础!C51</f>
        <v>1402.85</v>
      </c>
      <c r="D49" s="4">
        <f>角色基础!D51</f>
        <v>405.2</v>
      </c>
      <c r="E49" s="4">
        <f>角色基础!E51</f>
        <v>329.29</v>
      </c>
      <c r="G49" s="4">
        <f t="shared" si="10"/>
        <v>11</v>
      </c>
      <c r="H49" s="4">
        <f t="shared" si="9"/>
        <v>0.165</v>
      </c>
      <c r="I49" s="4">
        <f t="shared" si="0"/>
        <v>7400</v>
      </c>
      <c r="J49" s="4">
        <f t="shared" si="1"/>
        <v>560</v>
      </c>
      <c r="K49" s="4">
        <f t="shared" si="2"/>
        <v>65</v>
      </c>
      <c r="L49" s="4">
        <f>I49*基础设定!$D$9+J49*基础设定!$D$11+K49*基础设定!$D$14</f>
        <v>21050</v>
      </c>
      <c r="N49" s="4">
        <f t="shared" si="3"/>
        <v>132</v>
      </c>
      <c r="O49" s="4">
        <f t="shared" si="4"/>
        <v>0.5775</v>
      </c>
      <c r="P49" s="4">
        <f t="shared" si="5"/>
        <v>123657</v>
      </c>
      <c r="Q49" s="4">
        <f t="shared" si="6"/>
        <v>1139</v>
      </c>
      <c r="R49" s="4">
        <f t="shared" si="7"/>
        <v>329</v>
      </c>
      <c r="S49" s="4">
        <f>P49*基础设定!$D$9+Q49*基础设定!$D$11+R49*基础设定!$D$14</f>
        <v>261994</v>
      </c>
      <c r="T49" s="4">
        <f t="shared" si="8"/>
        <v>0.983318700614574</v>
      </c>
    </row>
    <row r="50" spans="2:20">
      <c r="B50" s="4">
        <v>48</v>
      </c>
      <c r="C50" s="4">
        <f>角色基础!C52</f>
        <v>1442.4</v>
      </c>
      <c r="D50" s="4">
        <f>角色基础!D52</f>
        <v>412.6</v>
      </c>
      <c r="E50" s="4">
        <f>角色基础!E52</f>
        <v>337.05</v>
      </c>
      <c r="G50" s="4">
        <f t="shared" si="10"/>
        <v>11</v>
      </c>
      <c r="H50" s="4">
        <f t="shared" si="9"/>
        <v>0.165</v>
      </c>
      <c r="I50" s="4">
        <f t="shared" si="0"/>
        <v>7544</v>
      </c>
      <c r="J50" s="4">
        <f t="shared" si="1"/>
        <v>575</v>
      </c>
      <c r="K50" s="4">
        <f t="shared" si="2"/>
        <v>67</v>
      </c>
      <c r="L50" s="4">
        <f>I50*基础设定!$D$9+J50*基础设定!$D$11+K50*基础设定!$D$14</f>
        <v>21508</v>
      </c>
      <c r="N50" s="4">
        <f t="shared" si="3"/>
        <v>132</v>
      </c>
      <c r="O50" s="4">
        <f t="shared" si="4"/>
        <v>0.5775</v>
      </c>
      <c r="P50" s="4">
        <f t="shared" si="5"/>
        <v>126178</v>
      </c>
      <c r="Q50" s="4">
        <f t="shared" si="6"/>
        <v>1170</v>
      </c>
      <c r="R50" s="4">
        <f t="shared" si="7"/>
        <v>337</v>
      </c>
      <c r="S50" s="4">
        <f>P50*基础设定!$D$9+Q50*基础设定!$D$11+R50*基础设定!$D$14</f>
        <v>267426</v>
      </c>
      <c r="T50" s="4">
        <f t="shared" si="8"/>
        <v>0.982905982905983</v>
      </c>
    </row>
    <row r="51" spans="2:20">
      <c r="B51" s="4">
        <v>49</v>
      </c>
      <c r="C51" s="4">
        <f>角色基础!C53</f>
        <v>1454.4</v>
      </c>
      <c r="D51" s="4">
        <f>角色基础!D53</f>
        <v>415</v>
      </c>
      <c r="E51" s="4">
        <f>角色基础!E53</f>
        <v>338.25</v>
      </c>
      <c r="G51" s="4">
        <f t="shared" si="10"/>
        <v>11</v>
      </c>
      <c r="H51" s="4">
        <f t="shared" si="9"/>
        <v>0.175</v>
      </c>
      <c r="I51" s="4">
        <f t="shared" si="0"/>
        <v>7584</v>
      </c>
      <c r="J51" s="4">
        <f t="shared" si="1"/>
        <v>592</v>
      </c>
      <c r="K51" s="4">
        <f t="shared" si="2"/>
        <v>67</v>
      </c>
      <c r="L51" s="4">
        <f>I51*基础设定!$D$9+J51*基础设定!$D$11+K51*基础设定!$D$14</f>
        <v>21758</v>
      </c>
      <c r="N51" s="4">
        <f t="shared" si="3"/>
        <v>132</v>
      </c>
      <c r="O51" s="4">
        <f t="shared" si="4"/>
        <v>0.6125</v>
      </c>
      <c r="P51" s="4">
        <f t="shared" si="5"/>
        <v>126786</v>
      </c>
      <c r="Q51" s="4">
        <f t="shared" si="6"/>
        <v>1229</v>
      </c>
      <c r="R51" s="4">
        <f t="shared" si="7"/>
        <v>338</v>
      </c>
      <c r="S51" s="4">
        <f>P51*基础设定!$D$9+Q51*基础设定!$D$11+R51*基础设定!$D$14</f>
        <v>269242</v>
      </c>
      <c r="T51" s="4">
        <f t="shared" si="8"/>
        <v>0.963384865744508</v>
      </c>
    </row>
    <row r="52" spans="2:20">
      <c r="B52" s="4">
        <v>50</v>
      </c>
      <c r="C52" s="4">
        <f>角色基础!C54</f>
        <v>1476.4</v>
      </c>
      <c r="D52" s="4">
        <f>角色基础!D54</f>
        <v>422.4</v>
      </c>
      <c r="E52" s="4">
        <f>角色基础!E54</f>
        <v>344.45</v>
      </c>
      <c r="G52" s="4">
        <f t="shared" si="10"/>
        <v>11</v>
      </c>
      <c r="H52" s="4">
        <f t="shared" si="9"/>
        <v>0.175</v>
      </c>
      <c r="I52" s="4">
        <f t="shared" si="0"/>
        <v>7717</v>
      </c>
      <c r="J52" s="4">
        <f t="shared" si="1"/>
        <v>602</v>
      </c>
      <c r="K52" s="4">
        <f t="shared" si="2"/>
        <v>68</v>
      </c>
      <c r="L52" s="4">
        <f>I52*基础设定!$D$9+J52*基础设定!$D$11+K52*基础设定!$D$14</f>
        <v>22134</v>
      </c>
      <c r="N52" s="4">
        <f t="shared" si="3"/>
        <v>132</v>
      </c>
      <c r="O52" s="4">
        <f t="shared" si="4"/>
        <v>0.6125</v>
      </c>
      <c r="P52" s="4">
        <f t="shared" si="5"/>
        <v>129043</v>
      </c>
      <c r="Q52" s="4">
        <f t="shared" si="6"/>
        <v>1248</v>
      </c>
      <c r="R52" s="4">
        <f t="shared" si="7"/>
        <v>344</v>
      </c>
      <c r="S52" s="4">
        <f>P52*基础设定!$D$9+Q52*基础设定!$D$11+R52*基础设定!$D$14</f>
        <v>274006</v>
      </c>
      <c r="T52" s="4">
        <f t="shared" si="8"/>
        <v>0.96474358974359</v>
      </c>
    </row>
    <row r="53" spans="2:20">
      <c r="B53" s="4">
        <v>51</v>
      </c>
      <c r="C53" s="4">
        <f>角色基础!C55</f>
        <v>1515.9</v>
      </c>
      <c r="D53" s="4">
        <f>角色基础!D55</f>
        <v>456.38</v>
      </c>
      <c r="E53" s="4">
        <f>角色基础!E55</f>
        <v>370.45</v>
      </c>
      <c r="G53" s="4">
        <f t="shared" si="10"/>
        <v>12</v>
      </c>
      <c r="H53" s="4">
        <f t="shared" si="9"/>
        <v>0.175</v>
      </c>
      <c r="I53" s="4">
        <f t="shared" si="0"/>
        <v>9102</v>
      </c>
      <c r="J53" s="4">
        <f t="shared" si="1"/>
        <v>635</v>
      </c>
      <c r="K53" s="4">
        <f t="shared" si="2"/>
        <v>74</v>
      </c>
      <c r="L53" s="4">
        <f>I53*基础设定!$D$9+J53*基础设定!$D$11+K53*基础设定!$D$14</f>
        <v>25294</v>
      </c>
      <c r="N53" s="4">
        <f t="shared" si="3"/>
        <v>144</v>
      </c>
      <c r="O53" s="4">
        <f t="shared" si="4"/>
        <v>0.6125</v>
      </c>
      <c r="P53" s="4">
        <f t="shared" si="5"/>
        <v>151858</v>
      </c>
      <c r="Q53" s="4">
        <f t="shared" si="6"/>
        <v>1298</v>
      </c>
      <c r="R53" s="4">
        <f t="shared" si="7"/>
        <v>370</v>
      </c>
      <c r="S53" s="4">
        <f>P53*基础设定!$D$9+Q53*基础设定!$D$11+R53*基础设定!$D$14</f>
        <v>320396</v>
      </c>
      <c r="T53" s="4">
        <f t="shared" si="8"/>
        <v>0.978428351309707</v>
      </c>
    </row>
    <row r="54" spans="2:20">
      <c r="B54" s="4">
        <v>52</v>
      </c>
      <c r="C54" s="4">
        <f>角色基础!C56</f>
        <v>1565.2</v>
      </c>
      <c r="D54" s="4">
        <f>角色基础!D56</f>
        <v>464.38</v>
      </c>
      <c r="E54" s="4">
        <f>角色基础!E56</f>
        <v>379.11</v>
      </c>
      <c r="G54" s="4">
        <f t="shared" si="10"/>
        <v>12</v>
      </c>
      <c r="H54" s="4">
        <f t="shared" si="9"/>
        <v>0.185</v>
      </c>
      <c r="I54" s="4">
        <f t="shared" si="0"/>
        <v>9258</v>
      </c>
      <c r="J54" s="4">
        <f t="shared" si="1"/>
        <v>668</v>
      </c>
      <c r="K54" s="4">
        <f t="shared" si="2"/>
        <v>75</v>
      </c>
      <c r="L54" s="4">
        <f>I54*基础设定!$D$9+J54*基础设定!$D$11+K54*基础设定!$D$14</f>
        <v>25946</v>
      </c>
      <c r="N54" s="4">
        <f t="shared" si="3"/>
        <v>144</v>
      </c>
      <c r="O54" s="4">
        <f t="shared" si="4"/>
        <v>0.6475</v>
      </c>
      <c r="P54" s="4">
        <f t="shared" si="5"/>
        <v>154882</v>
      </c>
      <c r="Q54" s="4">
        <f t="shared" si="6"/>
        <v>1392</v>
      </c>
      <c r="R54" s="4">
        <f t="shared" si="7"/>
        <v>379</v>
      </c>
      <c r="S54" s="4">
        <f>P54*基础设定!$D$9+Q54*基础设定!$D$11+R54*基础设定!$D$14</f>
        <v>327474</v>
      </c>
      <c r="T54" s="4">
        <f t="shared" si="8"/>
        <v>0.959770114942529</v>
      </c>
    </row>
    <row r="55" spans="2:20">
      <c r="B55" s="4">
        <v>53</v>
      </c>
      <c r="C55" s="4">
        <f>角色基础!C57</f>
        <v>1628.8</v>
      </c>
      <c r="D55" s="4">
        <f>角色基础!D57</f>
        <v>471.7</v>
      </c>
      <c r="E55" s="4">
        <f>角色基础!E57</f>
        <v>380.61</v>
      </c>
      <c r="G55" s="4">
        <f t="shared" si="10"/>
        <v>12</v>
      </c>
      <c r="H55" s="4">
        <f t="shared" si="9"/>
        <v>0.185</v>
      </c>
      <c r="I55" s="4">
        <f t="shared" si="0"/>
        <v>9402</v>
      </c>
      <c r="J55" s="4">
        <f t="shared" si="1"/>
        <v>681</v>
      </c>
      <c r="K55" s="4">
        <f t="shared" si="2"/>
        <v>76</v>
      </c>
      <c r="L55" s="4">
        <f>I55*基础设定!$D$9+J55*基础设定!$D$11+K55*基础设定!$D$14</f>
        <v>26374</v>
      </c>
      <c r="N55" s="4">
        <f t="shared" si="3"/>
        <v>144</v>
      </c>
      <c r="O55" s="4">
        <f t="shared" si="4"/>
        <v>0.6475</v>
      </c>
      <c r="P55" s="4">
        <f t="shared" si="5"/>
        <v>156607</v>
      </c>
      <c r="Q55" s="4">
        <f t="shared" si="6"/>
        <v>1435</v>
      </c>
      <c r="R55" s="4">
        <f t="shared" si="7"/>
        <v>380</v>
      </c>
      <c r="S55" s="4">
        <f>P55*基础设定!$D$9+Q55*基础设定!$D$11+R55*基础设定!$D$14</f>
        <v>331364</v>
      </c>
      <c r="T55" s="4">
        <f t="shared" si="8"/>
        <v>0.949128919860627</v>
      </c>
    </row>
    <row r="56" spans="2:20">
      <c r="B56" s="4">
        <v>54</v>
      </c>
      <c r="C56" s="4">
        <f>角色基础!C58</f>
        <v>1653.8</v>
      </c>
      <c r="D56" s="4">
        <f>角色基础!D58</f>
        <v>482.94</v>
      </c>
      <c r="E56" s="4">
        <f>角色基础!E58</f>
        <v>388.19</v>
      </c>
      <c r="G56" s="4">
        <f t="shared" si="10"/>
        <v>12</v>
      </c>
      <c r="H56" s="4">
        <f t="shared" si="9"/>
        <v>0.185</v>
      </c>
      <c r="I56" s="4">
        <f t="shared" si="0"/>
        <v>9616</v>
      </c>
      <c r="J56" s="4">
        <f t="shared" si="1"/>
        <v>694</v>
      </c>
      <c r="K56" s="4">
        <f t="shared" si="2"/>
        <v>77</v>
      </c>
      <c r="L56" s="4">
        <f>I56*基础设定!$D$9+J56*基础设定!$D$11+K56*基础设定!$D$14</f>
        <v>26942</v>
      </c>
      <c r="N56" s="4">
        <f t="shared" si="3"/>
        <v>144</v>
      </c>
      <c r="O56" s="4">
        <f t="shared" si="4"/>
        <v>0.6475</v>
      </c>
      <c r="P56" s="4">
        <f t="shared" si="5"/>
        <v>160187</v>
      </c>
      <c r="Q56" s="4">
        <f t="shared" si="6"/>
        <v>1459</v>
      </c>
      <c r="R56" s="4">
        <f t="shared" si="7"/>
        <v>388</v>
      </c>
      <c r="S56" s="4">
        <f>P56*基础设定!$D$9+Q56*基础设定!$D$11+R56*基础设定!$D$14</f>
        <v>338844</v>
      </c>
      <c r="T56" s="4">
        <f t="shared" si="8"/>
        <v>0.951336531871145</v>
      </c>
    </row>
    <row r="57" spans="2:20">
      <c r="B57" s="4">
        <v>55</v>
      </c>
      <c r="C57" s="4">
        <f>角色基础!C59</f>
        <v>1717.4</v>
      </c>
      <c r="D57" s="4">
        <f>角色基础!D59</f>
        <v>485.94</v>
      </c>
      <c r="E57" s="4">
        <f>角色基础!E59</f>
        <v>392.39</v>
      </c>
      <c r="G57" s="4">
        <f t="shared" si="10"/>
        <v>12</v>
      </c>
      <c r="H57" s="4">
        <f t="shared" si="9"/>
        <v>0.195</v>
      </c>
      <c r="I57" s="4">
        <f t="shared" si="0"/>
        <v>9682</v>
      </c>
      <c r="J57" s="4">
        <f t="shared" si="1"/>
        <v>727</v>
      </c>
      <c r="K57" s="4">
        <f t="shared" si="2"/>
        <v>78</v>
      </c>
      <c r="L57" s="4">
        <f>I57*基础设定!$D$9+J57*基础设定!$D$11+K57*基础设定!$D$14</f>
        <v>27414</v>
      </c>
      <c r="N57" s="4">
        <f t="shared" si="3"/>
        <v>144</v>
      </c>
      <c r="O57" s="4">
        <f t="shared" si="4"/>
        <v>0.6825</v>
      </c>
      <c r="P57" s="4">
        <f t="shared" si="5"/>
        <v>161411</v>
      </c>
      <c r="Q57" s="4">
        <f t="shared" si="6"/>
        <v>1564</v>
      </c>
      <c r="R57" s="4">
        <f t="shared" si="7"/>
        <v>392</v>
      </c>
      <c r="S57" s="4">
        <f>P57*基础设定!$D$9+Q57*基础设定!$D$11+R57*基础设定!$D$14</f>
        <v>342382</v>
      </c>
      <c r="T57" s="4">
        <f t="shared" si="8"/>
        <v>0.929667519181586</v>
      </c>
    </row>
    <row r="58" spans="2:20">
      <c r="B58" s="4">
        <v>56</v>
      </c>
      <c r="C58" s="4">
        <f>角色基础!C60</f>
        <v>1791</v>
      </c>
      <c r="D58" s="4">
        <f>角色基础!D60</f>
        <v>498.26</v>
      </c>
      <c r="E58" s="4">
        <f>角色基础!E60</f>
        <v>398.89</v>
      </c>
      <c r="G58" s="4">
        <f t="shared" si="10"/>
        <v>13</v>
      </c>
      <c r="H58" s="4">
        <f t="shared" si="9"/>
        <v>0.195</v>
      </c>
      <c r="I58" s="4">
        <f t="shared" si="0"/>
        <v>10743</v>
      </c>
      <c r="J58" s="4">
        <f t="shared" si="1"/>
        <v>748</v>
      </c>
      <c r="K58" s="4">
        <f t="shared" si="2"/>
        <v>79</v>
      </c>
      <c r="L58" s="4">
        <f>I58*基础设定!$D$9+J58*基础设定!$D$11+K58*基础设定!$D$14</f>
        <v>29756</v>
      </c>
      <c r="N58" s="4">
        <f t="shared" si="3"/>
        <v>156</v>
      </c>
      <c r="O58" s="4">
        <f t="shared" si="4"/>
        <v>0.6825</v>
      </c>
      <c r="P58" s="4">
        <f t="shared" si="5"/>
        <v>178680</v>
      </c>
      <c r="Q58" s="4">
        <f t="shared" si="6"/>
        <v>1621</v>
      </c>
      <c r="R58" s="4">
        <f t="shared" si="7"/>
        <v>398</v>
      </c>
      <c r="S58" s="4">
        <f>P58*基础设定!$D$9+Q58*基础设定!$D$11+R58*基础设定!$D$14</f>
        <v>377550</v>
      </c>
      <c r="T58" s="4">
        <f t="shared" si="8"/>
        <v>0.922887106724244</v>
      </c>
    </row>
    <row r="59" spans="2:20">
      <c r="B59" s="4">
        <v>57</v>
      </c>
      <c r="C59" s="4">
        <f>角色基础!C61</f>
        <v>1806</v>
      </c>
      <c r="D59" s="4">
        <f>角色基础!D61</f>
        <v>504.5</v>
      </c>
      <c r="E59" s="4">
        <f>角色基础!E61</f>
        <v>403.09</v>
      </c>
      <c r="G59" s="4">
        <f t="shared" si="10"/>
        <v>13</v>
      </c>
      <c r="H59" s="4">
        <f t="shared" si="9"/>
        <v>0.195</v>
      </c>
      <c r="I59" s="4">
        <f t="shared" si="0"/>
        <v>10877</v>
      </c>
      <c r="J59" s="4">
        <f t="shared" si="1"/>
        <v>755</v>
      </c>
      <c r="K59" s="4">
        <f t="shared" si="2"/>
        <v>80</v>
      </c>
      <c r="L59" s="4">
        <f>I59*基础设定!$D$9+J59*基础设定!$D$11+K59*基础设定!$D$14</f>
        <v>30104</v>
      </c>
      <c r="N59" s="4">
        <f t="shared" si="3"/>
        <v>156</v>
      </c>
      <c r="O59" s="4">
        <f t="shared" si="4"/>
        <v>0.6825</v>
      </c>
      <c r="P59" s="4">
        <f t="shared" si="5"/>
        <v>180921</v>
      </c>
      <c r="Q59" s="4">
        <f t="shared" si="6"/>
        <v>1635</v>
      </c>
      <c r="R59" s="4">
        <f t="shared" si="7"/>
        <v>403</v>
      </c>
      <c r="S59" s="4">
        <f>P59*基础设定!$D$9+Q59*基础设定!$D$11+R59*基础设定!$D$14</f>
        <v>382222</v>
      </c>
      <c r="T59" s="4">
        <f t="shared" si="8"/>
        <v>0.923547400611621</v>
      </c>
    </row>
    <row r="60" spans="2:20">
      <c r="B60" s="4">
        <v>58</v>
      </c>
      <c r="C60" s="4">
        <f>角色基础!C62</f>
        <v>1855.3</v>
      </c>
      <c r="D60" s="4">
        <f>角色基础!D62</f>
        <v>512.5</v>
      </c>
      <c r="E60" s="4">
        <f>角色基础!E62</f>
        <v>411.75</v>
      </c>
      <c r="G60" s="4">
        <f t="shared" si="10"/>
        <v>13</v>
      </c>
      <c r="H60" s="4">
        <f t="shared" si="9"/>
        <v>0.205</v>
      </c>
      <c r="I60" s="4">
        <f t="shared" si="0"/>
        <v>11059</v>
      </c>
      <c r="J60" s="4">
        <f t="shared" si="1"/>
        <v>792</v>
      </c>
      <c r="K60" s="4">
        <f t="shared" si="2"/>
        <v>82</v>
      </c>
      <c r="L60" s="4">
        <f>I60*基础设定!$D$9+J60*基础设定!$D$11+K60*基础设定!$D$14</f>
        <v>30858</v>
      </c>
      <c r="N60" s="4">
        <f t="shared" si="3"/>
        <v>156</v>
      </c>
      <c r="O60" s="4">
        <f t="shared" si="4"/>
        <v>0.7175</v>
      </c>
      <c r="P60" s="4">
        <f t="shared" si="5"/>
        <v>184041</v>
      </c>
      <c r="Q60" s="4">
        <f t="shared" si="6"/>
        <v>1742</v>
      </c>
      <c r="R60" s="4">
        <f t="shared" si="7"/>
        <v>411</v>
      </c>
      <c r="S60" s="4">
        <f>P60*基础设定!$D$9+Q60*基础设定!$D$11+R60*基础设定!$D$14</f>
        <v>389612</v>
      </c>
      <c r="T60" s="4">
        <f t="shared" si="8"/>
        <v>0.909299655568312</v>
      </c>
    </row>
    <row r="61" spans="2:20">
      <c r="B61" s="4">
        <v>59</v>
      </c>
      <c r="C61" s="4">
        <f>角色基础!C63</f>
        <v>1870.3</v>
      </c>
      <c r="D61" s="4">
        <f>角色基础!D63</f>
        <v>515.5</v>
      </c>
      <c r="E61" s="4">
        <f>角色基础!E63</f>
        <v>413.25</v>
      </c>
      <c r="G61" s="4">
        <f t="shared" si="10"/>
        <v>13</v>
      </c>
      <c r="H61" s="4">
        <f t="shared" si="9"/>
        <v>0.205</v>
      </c>
      <c r="I61" s="4">
        <f t="shared" si="0"/>
        <v>11118</v>
      </c>
      <c r="J61" s="4">
        <f t="shared" si="1"/>
        <v>796</v>
      </c>
      <c r="K61" s="4">
        <f t="shared" si="2"/>
        <v>82</v>
      </c>
      <c r="L61" s="4">
        <f>I61*基础设定!$D$9+J61*基础设定!$D$11+K61*基础设定!$D$14</f>
        <v>31016</v>
      </c>
      <c r="N61" s="4">
        <f t="shared" si="3"/>
        <v>156</v>
      </c>
      <c r="O61" s="4">
        <f t="shared" si="4"/>
        <v>0.7175</v>
      </c>
      <c r="P61" s="4">
        <f t="shared" si="5"/>
        <v>185055</v>
      </c>
      <c r="Q61" s="4">
        <f t="shared" si="6"/>
        <v>1755</v>
      </c>
      <c r="R61" s="4">
        <f t="shared" si="7"/>
        <v>413</v>
      </c>
      <c r="S61" s="4">
        <f>P61*基础设定!$D$9+Q61*基础设定!$D$11+R61*基础设定!$D$14</f>
        <v>391790</v>
      </c>
      <c r="T61" s="4">
        <f t="shared" si="8"/>
        <v>0.907122507122507</v>
      </c>
    </row>
    <row r="62" spans="2:20">
      <c r="B62" s="4">
        <v>60</v>
      </c>
      <c r="C62" s="4">
        <f>角色基础!C64</f>
        <v>1895.3</v>
      </c>
      <c r="D62" s="4">
        <f>角色基础!D64</f>
        <v>523.5</v>
      </c>
      <c r="E62" s="4">
        <f>角色基础!E64</f>
        <v>419.75</v>
      </c>
      <c r="G62" s="4">
        <f t="shared" si="10"/>
        <v>13</v>
      </c>
      <c r="H62" s="4">
        <f t="shared" si="9"/>
        <v>0.205</v>
      </c>
      <c r="I62" s="4">
        <f t="shared" si="0"/>
        <v>11287</v>
      </c>
      <c r="J62" s="4">
        <f t="shared" si="1"/>
        <v>808</v>
      </c>
      <c r="K62" s="4">
        <f t="shared" si="2"/>
        <v>83</v>
      </c>
      <c r="L62" s="4">
        <f>I62*基础设定!$D$9+J62*基础设定!$D$11+K62*基础设定!$D$14</f>
        <v>31484</v>
      </c>
      <c r="N62" s="4">
        <f t="shared" si="3"/>
        <v>156</v>
      </c>
      <c r="O62" s="4">
        <f t="shared" si="4"/>
        <v>0.7175</v>
      </c>
      <c r="P62" s="4">
        <f t="shared" si="5"/>
        <v>187863</v>
      </c>
      <c r="Q62" s="4">
        <f t="shared" si="6"/>
        <v>1779</v>
      </c>
      <c r="R62" s="4">
        <f t="shared" si="7"/>
        <v>419</v>
      </c>
      <c r="S62" s="4">
        <f>P62*基础设定!$D$9+Q62*基础设定!$D$11+R62*基础设定!$D$14</f>
        <v>397706</v>
      </c>
      <c r="T62" s="4">
        <f t="shared" si="8"/>
        <v>0.908375491849354</v>
      </c>
    </row>
    <row r="63" spans="2:20">
      <c r="B63" s="4">
        <v>61</v>
      </c>
      <c r="C63" s="4">
        <f>角色基础!C65</f>
        <v>1948.3</v>
      </c>
      <c r="D63" s="4">
        <f>角色基础!D65</f>
        <v>570.74</v>
      </c>
      <c r="E63" s="4">
        <f>角色基础!E65</f>
        <v>456.55</v>
      </c>
      <c r="G63" s="4">
        <f t="shared" si="10"/>
        <v>14</v>
      </c>
      <c r="H63" s="4">
        <f t="shared" si="9"/>
        <v>0.215</v>
      </c>
      <c r="I63" s="4">
        <f t="shared" si="0"/>
        <v>13259</v>
      </c>
      <c r="J63" s="4">
        <f t="shared" si="1"/>
        <v>875</v>
      </c>
      <c r="K63" s="4">
        <f t="shared" si="2"/>
        <v>91</v>
      </c>
      <c r="L63" s="4">
        <f>I63*基础设定!$D$9+J63*基础设定!$D$11+K63*基础设定!$D$14</f>
        <v>36178</v>
      </c>
      <c r="N63" s="4">
        <f t="shared" si="3"/>
        <v>168</v>
      </c>
      <c r="O63" s="4">
        <f t="shared" si="4"/>
        <v>0.7525</v>
      </c>
      <c r="P63" s="4">
        <f t="shared" si="5"/>
        <v>220434</v>
      </c>
      <c r="Q63" s="4">
        <f t="shared" si="6"/>
        <v>1922</v>
      </c>
      <c r="R63" s="4">
        <f t="shared" si="7"/>
        <v>456</v>
      </c>
      <c r="S63" s="4">
        <f>P63*基础设定!$D$9+Q63*基础设定!$D$11+R63*基础设定!$D$14</f>
        <v>464648</v>
      </c>
      <c r="T63" s="4">
        <f t="shared" si="8"/>
        <v>0.9105098855359</v>
      </c>
    </row>
    <row r="64" spans="2:20">
      <c r="B64" s="4">
        <v>62</v>
      </c>
      <c r="C64" s="4">
        <f>角色基础!C66</f>
        <v>2008.7</v>
      </c>
      <c r="D64" s="4">
        <f>角色基础!D66</f>
        <v>579.34</v>
      </c>
      <c r="E64" s="4">
        <f>角色基础!E66</f>
        <v>466.23</v>
      </c>
      <c r="G64" s="4">
        <f t="shared" si="10"/>
        <v>14</v>
      </c>
      <c r="H64" s="4">
        <f t="shared" si="9"/>
        <v>0.215</v>
      </c>
      <c r="I64" s="4">
        <f t="shared" si="0"/>
        <v>13468</v>
      </c>
      <c r="J64" s="4">
        <f t="shared" si="1"/>
        <v>898</v>
      </c>
      <c r="K64" s="4">
        <f t="shared" si="2"/>
        <v>93</v>
      </c>
      <c r="L64" s="4">
        <f>I64*基础设定!$D$9+J64*基础设定!$D$11+K64*基础设定!$D$14</f>
        <v>36846</v>
      </c>
      <c r="N64" s="4">
        <f t="shared" si="3"/>
        <v>168</v>
      </c>
      <c r="O64" s="4">
        <f t="shared" si="4"/>
        <v>0.7525</v>
      </c>
      <c r="P64" s="4">
        <f t="shared" si="5"/>
        <v>224281</v>
      </c>
      <c r="Q64" s="4">
        <f t="shared" si="6"/>
        <v>1977</v>
      </c>
      <c r="R64" s="4">
        <f t="shared" si="7"/>
        <v>466</v>
      </c>
      <c r="S64" s="4">
        <f>P64*基础设定!$D$9+Q64*基础设定!$D$11+R64*基础设定!$D$14</f>
        <v>472992</v>
      </c>
      <c r="T64" s="4">
        <f t="shared" si="8"/>
        <v>0.908447142134547</v>
      </c>
    </row>
    <row r="65" spans="2:20">
      <c r="B65" s="4">
        <v>63</v>
      </c>
      <c r="C65" s="4">
        <f>角色基础!C67</f>
        <v>2091.5</v>
      </c>
      <c r="D65" s="4">
        <f>角色基础!D67</f>
        <v>588.7</v>
      </c>
      <c r="E65" s="4">
        <f>角色基础!E67</f>
        <v>468.03</v>
      </c>
      <c r="G65" s="4">
        <f t="shared" si="10"/>
        <v>14</v>
      </c>
      <c r="H65" s="4">
        <f t="shared" si="9"/>
        <v>0.215</v>
      </c>
      <c r="I65" s="4">
        <f t="shared" si="0"/>
        <v>13664</v>
      </c>
      <c r="J65" s="4">
        <f t="shared" si="1"/>
        <v>917</v>
      </c>
      <c r="K65" s="4">
        <f t="shared" si="2"/>
        <v>93</v>
      </c>
      <c r="L65" s="4">
        <f>I65*基础设定!$D$9+J65*基础设定!$D$11+K65*基础设定!$D$14</f>
        <v>37428</v>
      </c>
      <c r="N65" s="4">
        <f t="shared" si="3"/>
        <v>168</v>
      </c>
      <c r="O65" s="4">
        <f t="shared" si="4"/>
        <v>0.7525</v>
      </c>
      <c r="P65" s="4">
        <f t="shared" si="5"/>
        <v>226976</v>
      </c>
      <c r="Q65" s="4">
        <f t="shared" si="6"/>
        <v>2041</v>
      </c>
      <c r="R65" s="4">
        <f t="shared" si="7"/>
        <v>468</v>
      </c>
      <c r="S65" s="4">
        <f>P65*基础设定!$D$9+Q65*基础设定!$D$11+R65*基础设定!$D$14</f>
        <v>479042</v>
      </c>
      <c r="T65" s="4">
        <f t="shared" si="8"/>
        <v>0.898579127878491</v>
      </c>
    </row>
    <row r="66" spans="2:20">
      <c r="B66" s="4">
        <v>64</v>
      </c>
      <c r="C66" s="4">
        <f>角色基础!C68</f>
        <v>2119.5</v>
      </c>
      <c r="D66" s="4">
        <f>角色基础!D68</f>
        <v>601.62</v>
      </c>
      <c r="E66" s="4">
        <f>角色基础!E68</f>
        <v>476.27</v>
      </c>
      <c r="G66" s="4">
        <f t="shared" si="10"/>
        <v>14</v>
      </c>
      <c r="H66" s="4">
        <f t="shared" si="9"/>
        <v>0.225</v>
      </c>
      <c r="I66" s="4">
        <f t="shared" si="0"/>
        <v>13964</v>
      </c>
      <c r="J66" s="4">
        <f t="shared" si="1"/>
        <v>953</v>
      </c>
      <c r="K66" s="4">
        <f t="shared" si="2"/>
        <v>95</v>
      </c>
      <c r="L66" s="4">
        <f>I66*基础设定!$D$9+J66*基础设定!$D$11+K66*基础设定!$D$14</f>
        <v>38408</v>
      </c>
      <c r="N66" s="4">
        <f t="shared" si="3"/>
        <v>168</v>
      </c>
      <c r="O66" s="4">
        <f t="shared" si="4"/>
        <v>0.7875</v>
      </c>
      <c r="P66" s="4">
        <f t="shared" si="5"/>
        <v>231576</v>
      </c>
      <c r="Q66" s="4">
        <f t="shared" si="6"/>
        <v>2145</v>
      </c>
      <c r="R66" s="4">
        <f t="shared" si="7"/>
        <v>476</v>
      </c>
      <c r="S66" s="4">
        <f>P66*基础设定!$D$9+Q66*基础设定!$D$11+R66*基础设定!$D$14</f>
        <v>489362</v>
      </c>
      <c r="T66" s="4">
        <f t="shared" si="8"/>
        <v>0.888578088578089</v>
      </c>
    </row>
    <row r="67" spans="2:20">
      <c r="B67" s="4">
        <v>65</v>
      </c>
      <c r="C67" s="4">
        <f>角色基础!C69</f>
        <v>2202.3</v>
      </c>
      <c r="D67" s="4">
        <f>角色基础!D69</f>
        <v>605.22</v>
      </c>
      <c r="E67" s="4">
        <f>角色基础!E69</f>
        <v>481.67</v>
      </c>
      <c r="G67" s="4">
        <f t="shared" si="10"/>
        <v>14</v>
      </c>
      <c r="H67" s="4">
        <f t="shared" si="9"/>
        <v>0.225</v>
      </c>
      <c r="I67" s="4">
        <f t="shared" si="0"/>
        <v>14053</v>
      </c>
      <c r="J67" s="4">
        <f t="shared" si="1"/>
        <v>977</v>
      </c>
      <c r="K67" s="4">
        <f t="shared" si="2"/>
        <v>96</v>
      </c>
      <c r="L67" s="4">
        <f>I67*基础设定!$D$9+J67*基础设定!$D$11+K67*基础设定!$D$14</f>
        <v>38836</v>
      </c>
      <c r="N67" s="4">
        <f t="shared" si="3"/>
        <v>168</v>
      </c>
      <c r="O67" s="4">
        <f t="shared" si="4"/>
        <v>0.7875</v>
      </c>
      <c r="P67" s="4">
        <f t="shared" si="5"/>
        <v>233323</v>
      </c>
      <c r="Q67" s="4">
        <f t="shared" si="6"/>
        <v>2215</v>
      </c>
      <c r="R67" s="4">
        <f t="shared" si="7"/>
        <v>481</v>
      </c>
      <c r="S67" s="4">
        <f>P67*基础设定!$D$9+Q67*基础设定!$D$11+R67*基础设定!$D$14</f>
        <v>493606</v>
      </c>
      <c r="T67" s="4">
        <f t="shared" si="8"/>
        <v>0.882167042889391</v>
      </c>
    </row>
    <row r="68" spans="2:20">
      <c r="B68" s="4">
        <v>66</v>
      </c>
      <c r="C68" s="4">
        <f>角色基础!C70</f>
        <v>2295.1</v>
      </c>
      <c r="D68" s="4">
        <f>角色基础!D70</f>
        <v>619.58</v>
      </c>
      <c r="E68" s="4">
        <f>角色基础!E70</f>
        <v>488.47</v>
      </c>
      <c r="G68" s="4">
        <f t="shared" si="10"/>
        <v>15</v>
      </c>
      <c r="H68" s="4">
        <f t="shared" si="9"/>
        <v>0.225</v>
      </c>
      <c r="I68" s="4">
        <f t="shared" ref="I68:I82" si="15">INT((D68*1.5+K68)*G68)</f>
        <v>15395</v>
      </c>
      <c r="J68" s="4">
        <f t="shared" ref="J68:J82" si="16">INT(C68*H68+E68)</f>
        <v>1004</v>
      </c>
      <c r="K68" s="4">
        <f t="shared" ref="K68:K82" si="17">INT(E68*0.2)</f>
        <v>97</v>
      </c>
      <c r="L68" s="4">
        <f>I68*基础设定!$D$9+J68*基础设定!$D$11+K68*基础设定!$D$14</f>
        <v>41800</v>
      </c>
      <c r="N68" s="4">
        <f t="shared" ref="N68:N82" si="18">G68*12</f>
        <v>180</v>
      </c>
      <c r="O68" s="4">
        <f t="shared" ref="O68:O82" si="19">H68*3.5</f>
        <v>0.7875</v>
      </c>
      <c r="P68" s="4">
        <f t="shared" ref="P68:P82" si="20">INT((D68*1.5+R68)*N68)</f>
        <v>255126</v>
      </c>
      <c r="Q68" s="4">
        <f t="shared" ref="Q68:Q82" si="21">INT(C68*O68+E68)</f>
        <v>2295</v>
      </c>
      <c r="R68" s="4">
        <f t="shared" ref="R68:R82" si="22">INT(E68*1)</f>
        <v>488</v>
      </c>
      <c r="S68" s="4">
        <f>P68*基础设定!$D$9+Q68*基础设定!$D$11+R68*基础设定!$D$14</f>
        <v>538082</v>
      </c>
      <c r="T68" s="4">
        <f t="shared" ref="T68:T82" si="23">J68*2/Q68</f>
        <v>0.874945533769063</v>
      </c>
    </row>
    <row r="69" spans="2:20">
      <c r="B69" s="4">
        <v>67</v>
      </c>
      <c r="C69" s="4">
        <f>角色基础!C71</f>
        <v>2313.1</v>
      </c>
      <c r="D69" s="4">
        <f>角色基础!D71</f>
        <v>627.5</v>
      </c>
      <c r="E69" s="4">
        <f>角色基础!E71</f>
        <v>493.87</v>
      </c>
      <c r="G69" s="4">
        <f t="shared" si="10"/>
        <v>15</v>
      </c>
      <c r="H69" s="4">
        <f t="shared" si="9"/>
        <v>0.235</v>
      </c>
      <c r="I69" s="4">
        <f t="shared" si="15"/>
        <v>15588</v>
      </c>
      <c r="J69" s="4">
        <f t="shared" si="16"/>
        <v>1037</v>
      </c>
      <c r="K69" s="4">
        <f t="shared" si="17"/>
        <v>98</v>
      </c>
      <c r="L69" s="4">
        <f>I69*基础设定!$D$9+J69*基础设定!$D$11+K69*基础设定!$D$14</f>
        <v>42526</v>
      </c>
      <c r="N69" s="4">
        <f t="shared" si="18"/>
        <v>180</v>
      </c>
      <c r="O69" s="4">
        <f t="shared" si="19"/>
        <v>0.8225</v>
      </c>
      <c r="P69" s="4">
        <f t="shared" si="20"/>
        <v>258165</v>
      </c>
      <c r="Q69" s="4">
        <f t="shared" si="21"/>
        <v>2396</v>
      </c>
      <c r="R69" s="4">
        <f t="shared" si="22"/>
        <v>493</v>
      </c>
      <c r="S69" s="4">
        <f>P69*基础设定!$D$9+Q69*基础设定!$D$11+R69*基础设定!$D$14</f>
        <v>545220</v>
      </c>
      <c r="T69" s="4">
        <f t="shared" si="23"/>
        <v>0.865609348914858</v>
      </c>
    </row>
    <row r="70" spans="2:20">
      <c r="B70" s="4">
        <v>68</v>
      </c>
      <c r="C70" s="4">
        <f>角色基础!C72</f>
        <v>2373.5</v>
      </c>
      <c r="D70" s="4">
        <f>角色基础!D72</f>
        <v>636.1</v>
      </c>
      <c r="E70" s="4">
        <f>角色基础!E72</f>
        <v>503.55</v>
      </c>
      <c r="G70" s="4">
        <f t="shared" si="10"/>
        <v>15</v>
      </c>
      <c r="H70" s="4">
        <f t="shared" si="9"/>
        <v>0.235</v>
      </c>
      <c r="I70" s="4">
        <f t="shared" si="15"/>
        <v>15812</v>
      </c>
      <c r="J70" s="4">
        <f t="shared" si="16"/>
        <v>1061</v>
      </c>
      <c r="K70" s="4">
        <f t="shared" si="17"/>
        <v>100</v>
      </c>
      <c r="L70" s="4">
        <f>I70*基础设定!$D$9+J70*基础设定!$D$11+K70*基础设定!$D$14</f>
        <v>43234</v>
      </c>
      <c r="N70" s="4">
        <f t="shared" si="18"/>
        <v>180</v>
      </c>
      <c r="O70" s="4">
        <f t="shared" si="19"/>
        <v>0.8225</v>
      </c>
      <c r="P70" s="4">
        <f t="shared" si="20"/>
        <v>262287</v>
      </c>
      <c r="Q70" s="4">
        <f t="shared" si="21"/>
        <v>2455</v>
      </c>
      <c r="R70" s="4">
        <f t="shared" si="22"/>
        <v>503</v>
      </c>
      <c r="S70" s="4">
        <f>P70*基础设定!$D$9+Q70*基础设定!$D$11+R70*基础设定!$D$14</f>
        <v>554154</v>
      </c>
      <c r="T70" s="4">
        <f t="shared" si="23"/>
        <v>0.864358452138493</v>
      </c>
    </row>
    <row r="71" spans="2:20">
      <c r="B71" s="4">
        <v>69</v>
      </c>
      <c r="C71" s="4">
        <f>角色基础!C73</f>
        <v>2391.5</v>
      </c>
      <c r="D71" s="4">
        <f>角色基础!D73</f>
        <v>639.7</v>
      </c>
      <c r="E71" s="4">
        <f>角色基础!E73</f>
        <v>505.35</v>
      </c>
      <c r="G71" s="4">
        <f t="shared" si="10"/>
        <v>15</v>
      </c>
      <c r="H71" s="4">
        <f t="shared" ref="H71:H82" si="24">H68+0.01</f>
        <v>0.235</v>
      </c>
      <c r="I71" s="4">
        <f t="shared" si="15"/>
        <v>15908</v>
      </c>
      <c r="J71" s="4">
        <f t="shared" si="16"/>
        <v>1067</v>
      </c>
      <c r="K71" s="4">
        <f t="shared" si="17"/>
        <v>101</v>
      </c>
      <c r="L71" s="4">
        <f>I71*基础设定!$D$9+J71*基础设定!$D$11+K71*基础设定!$D$14</f>
        <v>43496</v>
      </c>
      <c r="N71" s="4">
        <f t="shared" si="18"/>
        <v>180</v>
      </c>
      <c r="O71" s="4">
        <f t="shared" si="19"/>
        <v>0.8225</v>
      </c>
      <c r="P71" s="4">
        <f t="shared" si="20"/>
        <v>263619</v>
      </c>
      <c r="Q71" s="4">
        <f t="shared" si="21"/>
        <v>2472</v>
      </c>
      <c r="R71" s="4">
        <f t="shared" si="22"/>
        <v>505</v>
      </c>
      <c r="S71" s="4">
        <f>P71*基础设定!$D$9+Q71*基础设定!$D$11+R71*基础设定!$D$14</f>
        <v>557008</v>
      </c>
      <c r="T71" s="4">
        <f t="shared" si="23"/>
        <v>0.863268608414239</v>
      </c>
    </row>
    <row r="72" spans="2:20">
      <c r="B72" s="4">
        <v>70</v>
      </c>
      <c r="C72" s="4">
        <f>角色基础!C74</f>
        <v>2419.5</v>
      </c>
      <c r="D72" s="4">
        <f>角色基础!D74</f>
        <v>648.3</v>
      </c>
      <c r="E72" s="4">
        <f>角色基础!E74</f>
        <v>512.15</v>
      </c>
      <c r="G72" s="4">
        <f t="shared" si="10"/>
        <v>15</v>
      </c>
      <c r="H72" s="4">
        <f t="shared" si="24"/>
        <v>0.245</v>
      </c>
      <c r="I72" s="4">
        <f t="shared" si="15"/>
        <v>16116</v>
      </c>
      <c r="J72" s="4">
        <f t="shared" si="16"/>
        <v>1104</v>
      </c>
      <c r="K72" s="4">
        <f t="shared" si="17"/>
        <v>102</v>
      </c>
      <c r="L72" s="4">
        <f>I72*基础设定!$D$9+J72*基础设定!$D$11+K72*基础设定!$D$14</f>
        <v>44292</v>
      </c>
      <c r="N72" s="4">
        <f t="shared" si="18"/>
        <v>180</v>
      </c>
      <c r="O72" s="4">
        <f t="shared" si="19"/>
        <v>0.8575</v>
      </c>
      <c r="P72" s="4">
        <f t="shared" si="20"/>
        <v>267201</v>
      </c>
      <c r="Q72" s="4">
        <f t="shared" si="21"/>
        <v>2586</v>
      </c>
      <c r="R72" s="4">
        <f t="shared" si="22"/>
        <v>512</v>
      </c>
      <c r="S72" s="4">
        <f>P72*基础设定!$D$9+Q72*基础设定!$D$11+R72*基础设定!$D$14</f>
        <v>565382</v>
      </c>
      <c r="T72" s="4">
        <f t="shared" si="23"/>
        <v>0.853828306264501</v>
      </c>
    </row>
    <row r="73" spans="2:20">
      <c r="B73" s="4">
        <v>71</v>
      </c>
      <c r="C73" s="4">
        <f>角色基础!C75</f>
        <v>2490.5</v>
      </c>
      <c r="D73" s="4">
        <f>角色基础!D75</f>
        <v>713.94</v>
      </c>
      <c r="E73" s="4">
        <f>角色基础!E75</f>
        <v>563.35</v>
      </c>
      <c r="G73" s="4">
        <f t="shared" ref="G73:G82" si="25">G68+1</f>
        <v>16</v>
      </c>
      <c r="H73" s="4">
        <f t="shared" si="24"/>
        <v>0.245</v>
      </c>
      <c r="I73" s="4">
        <f t="shared" si="15"/>
        <v>18926</v>
      </c>
      <c r="J73" s="4">
        <f t="shared" si="16"/>
        <v>1173</v>
      </c>
      <c r="K73" s="4">
        <f t="shared" si="17"/>
        <v>112</v>
      </c>
      <c r="L73" s="4">
        <f>I73*基础设定!$D$9+J73*基础设定!$D$11+K73*基础设定!$D$14</f>
        <v>50702</v>
      </c>
      <c r="N73" s="4">
        <f t="shared" si="18"/>
        <v>192</v>
      </c>
      <c r="O73" s="4">
        <f t="shared" si="19"/>
        <v>0.8575</v>
      </c>
      <c r="P73" s="4">
        <f t="shared" si="20"/>
        <v>313710</v>
      </c>
      <c r="Q73" s="4">
        <f t="shared" si="21"/>
        <v>2698</v>
      </c>
      <c r="R73" s="4">
        <f t="shared" si="22"/>
        <v>563</v>
      </c>
      <c r="S73" s="4">
        <f>P73*基础设定!$D$9+Q73*基础设定!$D$11+R73*基础设定!$D$14</f>
        <v>660030</v>
      </c>
      <c r="T73" s="4">
        <f t="shared" si="23"/>
        <v>0.869532987398073</v>
      </c>
    </row>
    <row r="74" spans="2:20">
      <c r="B74" s="4">
        <v>72</v>
      </c>
      <c r="C74" s="4">
        <f>角色基础!C76</f>
        <v>2568.4</v>
      </c>
      <c r="D74" s="4">
        <f>角色基础!D76</f>
        <v>723.34</v>
      </c>
      <c r="E74" s="4">
        <f>角色基础!E76</f>
        <v>574.63</v>
      </c>
      <c r="G74" s="4">
        <f t="shared" si="25"/>
        <v>16</v>
      </c>
      <c r="H74" s="4">
        <f t="shared" si="24"/>
        <v>0.245</v>
      </c>
      <c r="I74" s="4">
        <f t="shared" si="15"/>
        <v>19184</v>
      </c>
      <c r="J74" s="4">
        <f t="shared" si="16"/>
        <v>1203</v>
      </c>
      <c r="K74" s="4">
        <f t="shared" si="17"/>
        <v>114</v>
      </c>
      <c r="L74" s="4">
        <f>I74*基础设定!$D$9+J74*基础设定!$D$11+K74*基础设定!$D$14</f>
        <v>51538</v>
      </c>
      <c r="N74" s="4">
        <f t="shared" si="18"/>
        <v>192</v>
      </c>
      <c r="O74" s="4">
        <f t="shared" si="19"/>
        <v>0.8575</v>
      </c>
      <c r="P74" s="4">
        <f t="shared" si="20"/>
        <v>318529</v>
      </c>
      <c r="Q74" s="4">
        <f t="shared" si="21"/>
        <v>2777</v>
      </c>
      <c r="R74" s="4">
        <f t="shared" si="22"/>
        <v>574</v>
      </c>
      <c r="S74" s="4">
        <f>P74*基础设定!$D$9+Q74*基础设定!$D$11+R74*基础设定!$D$14</f>
        <v>670568</v>
      </c>
      <c r="T74" s="4">
        <f t="shared" si="23"/>
        <v>0.866402592725963</v>
      </c>
    </row>
    <row r="75" spans="2:20">
      <c r="B75" s="4">
        <v>73</v>
      </c>
      <c r="C75" s="4">
        <f>角色基础!C77</f>
        <v>2682.2</v>
      </c>
      <c r="D75" s="4">
        <f>角色基础!D77</f>
        <v>735.9</v>
      </c>
      <c r="E75" s="4">
        <f>角色基础!E77</f>
        <v>576.83</v>
      </c>
      <c r="G75" s="4">
        <f t="shared" si="25"/>
        <v>16</v>
      </c>
      <c r="H75" s="4">
        <f t="shared" si="24"/>
        <v>0.255</v>
      </c>
      <c r="I75" s="4">
        <f t="shared" si="15"/>
        <v>19501</v>
      </c>
      <c r="J75" s="4">
        <f t="shared" si="16"/>
        <v>1260</v>
      </c>
      <c r="K75" s="4">
        <f t="shared" si="17"/>
        <v>115</v>
      </c>
      <c r="L75" s="4">
        <f>I75*基础设定!$D$9+J75*基础设定!$D$11+K75*基础设定!$D$14</f>
        <v>52752</v>
      </c>
      <c r="N75" s="4">
        <f t="shared" si="18"/>
        <v>192</v>
      </c>
      <c r="O75" s="4">
        <f t="shared" si="19"/>
        <v>0.8925</v>
      </c>
      <c r="P75" s="4">
        <f t="shared" si="20"/>
        <v>322531</v>
      </c>
      <c r="Q75" s="4">
        <f t="shared" si="21"/>
        <v>2970</v>
      </c>
      <c r="R75" s="4">
        <f t="shared" si="22"/>
        <v>576</v>
      </c>
      <c r="S75" s="4">
        <f>P75*基础设定!$D$9+Q75*基础设定!$D$11+R75*基础设定!$D$14</f>
        <v>680522</v>
      </c>
      <c r="T75" s="4">
        <f t="shared" si="23"/>
        <v>0.848484848484849</v>
      </c>
    </row>
    <row r="76" spans="2:20">
      <c r="B76" s="4">
        <v>74</v>
      </c>
      <c r="C76" s="4">
        <f>角色基础!C78</f>
        <v>2714.2</v>
      </c>
      <c r="D76" s="4">
        <f>角色基础!D78</f>
        <v>751.42</v>
      </c>
      <c r="E76" s="4">
        <f>角色基础!E78</f>
        <v>586.07</v>
      </c>
      <c r="G76" s="4">
        <f t="shared" si="25"/>
        <v>16</v>
      </c>
      <c r="H76" s="4">
        <f t="shared" si="24"/>
        <v>0.255</v>
      </c>
      <c r="I76" s="4">
        <f t="shared" si="15"/>
        <v>19906</v>
      </c>
      <c r="J76" s="4">
        <f t="shared" si="16"/>
        <v>1278</v>
      </c>
      <c r="K76" s="4">
        <f t="shared" si="17"/>
        <v>117</v>
      </c>
      <c r="L76" s="4">
        <f>I76*基础设定!$D$9+J76*基础设定!$D$11+K76*基础设定!$D$14</f>
        <v>53762</v>
      </c>
      <c r="N76" s="4">
        <f t="shared" si="18"/>
        <v>192</v>
      </c>
      <c r="O76" s="4">
        <f t="shared" si="19"/>
        <v>0.8925</v>
      </c>
      <c r="P76" s="4">
        <f t="shared" si="20"/>
        <v>328920</v>
      </c>
      <c r="Q76" s="4">
        <f t="shared" si="21"/>
        <v>3008</v>
      </c>
      <c r="R76" s="4">
        <f t="shared" si="22"/>
        <v>586</v>
      </c>
      <c r="S76" s="4">
        <f>P76*基础设定!$D$9+Q76*基础设定!$D$11+R76*基础设定!$D$14</f>
        <v>693780</v>
      </c>
      <c r="T76" s="4">
        <f t="shared" si="23"/>
        <v>0.849734042553192</v>
      </c>
    </row>
    <row r="77" spans="2:20">
      <c r="B77" s="4">
        <v>75</v>
      </c>
      <c r="C77" s="4">
        <f>角色基础!C79</f>
        <v>2828</v>
      </c>
      <c r="D77" s="4">
        <f>角色基础!D79</f>
        <v>755.82</v>
      </c>
      <c r="E77" s="4">
        <f>角色基础!E79</f>
        <v>593.37</v>
      </c>
      <c r="G77" s="4">
        <f t="shared" si="25"/>
        <v>16</v>
      </c>
      <c r="H77" s="4">
        <f t="shared" si="24"/>
        <v>0.255</v>
      </c>
      <c r="I77" s="4">
        <f t="shared" si="15"/>
        <v>20027</v>
      </c>
      <c r="J77" s="4">
        <f t="shared" si="16"/>
        <v>1314</v>
      </c>
      <c r="K77" s="4">
        <f t="shared" si="17"/>
        <v>118</v>
      </c>
      <c r="L77" s="4">
        <f>I77*基础设定!$D$9+J77*基础设定!$D$11+K77*基础设定!$D$14</f>
        <v>54374</v>
      </c>
      <c r="N77" s="4">
        <f t="shared" si="18"/>
        <v>192</v>
      </c>
      <c r="O77" s="4">
        <f t="shared" si="19"/>
        <v>0.8925</v>
      </c>
      <c r="P77" s="4">
        <f t="shared" si="20"/>
        <v>331532</v>
      </c>
      <c r="Q77" s="4">
        <f t="shared" si="21"/>
        <v>3117</v>
      </c>
      <c r="R77" s="4">
        <f t="shared" si="22"/>
        <v>593</v>
      </c>
      <c r="S77" s="4">
        <f>P77*基础设定!$D$9+Q77*基础设定!$D$11+R77*基础设定!$D$14</f>
        <v>700164</v>
      </c>
      <c r="T77" s="4">
        <f t="shared" si="23"/>
        <v>0.843118383060635</v>
      </c>
    </row>
    <row r="78" spans="2:20">
      <c r="B78" s="4">
        <v>76</v>
      </c>
      <c r="C78" s="4">
        <f>角色基础!C80</f>
        <v>2951.8</v>
      </c>
      <c r="D78" s="4">
        <f>角色基础!D80</f>
        <v>773.38</v>
      </c>
      <c r="E78" s="4">
        <f>角色基础!E80</f>
        <v>600.57</v>
      </c>
      <c r="G78" s="4">
        <f t="shared" si="25"/>
        <v>17</v>
      </c>
      <c r="H78" s="4">
        <f t="shared" si="24"/>
        <v>0.265</v>
      </c>
      <c r="I78" s="4">
        <f t="shared" si="15"/>
        <v>21761</v>
      </c>
      <c r="J78" s="4">
        <f t="shared" si="16"/>
        <v>1382</v>
      </c>
      <c r="K78" s="4">
        <f t="shared" si="17"/>
        <v>120</v>
      </c>
      <c r="L78" s="4">
        <f>I78*基础设定!$D$9+J78*基础设定!$D$11+K78*基础设定!$D$14</f>
        <v>58542</v>
      </c>
      <c r="N78" s="4">
        <f t="shared" si="18"/>
        <v>204</v>
      </c>
      <c r="O78" s="4">
        <f t="shared" si="19"/>
        <v>0.9275</v>
      </c>
      <c r="P78" s="4">
        <f t="shared" si="20"/>
        <v>359054</v>
      </c>
      <c r="Q78" s="4">
        <f t="shared" si="21"/>
        <v>3338</v>
      </c>
      <c r="R78" s="4">
        <f t="shared" si="22"/>
        <v>600</v>
      </c>
      <c r="S78" s="4">
        <f>P78*基础设定!$D$9+Q78*基础设定!$D$11+R78*基础设定!$D$14</f>
        <v>757488</v>
      </c>
      <c r="T78" s="4">
        <f t="shared" si="23"/>
        <v>0.828040742959856</v>
      </c>
    </row>
    <row r="79" spans="2:20">
      <c r="B79" s="4">
        <v>77</v>
      </c>
      <c r="C79" s="4">
        <f>角色基础!C81</f>
        <v>2973.8</v>
      </c>
      <c r="D79" s="4">
        <f>角色基础!D81</f>
        <v>783.9</v>
      </c>
      <c r="E79" s="4">
        <f>角色基础!E81</f>
        <v>607.87</v>
      </c>
      <c r="G79" s="4">
        <f t="shared" si="25"/>
        <v>17</v>
      </c>
      <c r="H79" s="4">
        <f t="shared" si="24"/>
        <v>0.265</v>
      </c>
      <c r="I79" s="4">
        <f t="shared" si="15"/>
        <v>22046</v>
      </c>
      <c r="J79" s="4">
        <f t="shared" si="16"/>
        <v>1395</v>
      </c>
      <c r="K79" s="4">
        <f t="shared" si="17"/>
        <v>121</v>
      </c>
      <c r="L79" s="4">
        <f>I79*基础设定!$D$9+J79*基础设定!$D$11+K79*基础设定!$D$14</f>
        <v>59252</v>
      </c>
      <c r="N79" s="4">
        <f t="shared" si="18"/>
        <v>204</v>
      </c>
      <c r="O79" s="4">
        <f t="shared" si="19"/>
        <v>0.9275</v>
      </c>
      <c r="P79" s="4">
        <f t="shared" si="20"/>
        <v>363701</v>
      </c>
      <c r="Q79" s="4">
        <f t="shared" si="21"/>
        <v>3366</v>
      </c>
      <c r="R79" s="4">
        <f t="shared" si="22"/>
        <v>607</v>
      </c>
      <c r="S79" s="4">
        <f>P79*基础设定!$D$9+Q79*基础设定!$D$11+R79*基础设定!$D$14</f>
        <v>767132</v>
      </c>
      <c r="T79" s="4">
        <f t="shared" si="23"/>
        <v>0.828877005347594</v>
      </c>
    </row>
    <row r="80" spans="2:20">
      <c r="B80" s="4">
        <v>78</v>
      </c>
      <c r="C80" s="4">
        <f>角色基础!C82</f>
        <v>3051.7</v>
      </c>
      <c r="D80" s="4">
        <f>角色基础!D82</f>
        <v>793.3</v>
      </c>
      <c r="E80" s="4">
        <f>角色基础!E82</f>
        <v>619.15</v>
      </c>
      <c r="G80" s="4">
        <f t="shared" si="25"/>
        <v>17</v>
      </c>
      <c r="H80" s="4">
        <f t="shared" si="24"/>
        <v>0.265</v>
      </c>
      <c r="I80" s="4">
        <f t="shared" si="15"/>
        <v>22320</v>
      </c>
      <c r="J80" s="4">
        <f t="shared" si="16"/>
        <v>1427</v>
      </c>
      <c r="K80" s="4">
        <f t="shared" si="17"/>
        <v>123</v>
      </c>
      <c r="L80" s="4">
        <f>I80*基础设定!$D$9+J80*基础设定!$D$11+K80*基础设定!$D$14</f>
        <v>60140</v>
      </c>
      <c r="N80" s="4">
        <f t="shared" si="18"/>
        <v>204</v>
      </c>
      <c r="O80" s="4">
        <f t="shared" si="19"/>
        <v>0.9275</v>
      </c>
      <c r="P80" s="4">
        <f t="shared" si="20"/>
        <v>369025</v>
      </c>
      <c r="Q80" s="4">
        <f t="shared" si="21"/>
        <v>3449</v>
      </c>
      <c r="R80" s="4">
        <f t="shared" si="22"/>
        <v>619</v>
      </c>
      <c r="S80" s="4">
        <f>P80*基础设定!$D$9+Q80*基础设定!$D$11+R80*基础设定!$D$14</f>
        <v>778730</v>
      </c>
      <c r="T80" s="4">
        <f t="shared" si="23"/>
        <v>0.827486227892143</v>
      </c>
    </row>
    <row r="81" spans="2:20">
      <c r="B81" s="4">
        <v>79</v>
      </c>
      <c r="C81" s="4">
        <f>角色基础!C83</f>
        <v>3073.7</v>
      </c>
      <c r="D81" s="4">
        <f>角色基础!D83</f>
        <v>797.7</v>
      </c>
      <c r="E81" s="4">
        <f>角色基础!E83</f>
        <v>621.35</v>
      </c>
      <c r="G81" s="4">
        <f t="shared" si="25"/>
        <v>17</v>
      </c>
      <c r="H81" s="4">
        <f t="shared" si="24"/>
        <v>0.275</v>
      </c>
      <c r="I81" s="4">
        <f t="shared" si="15"/>
        <v>22449</v>
      </c>
      <c r="J81" s="4">
        <f t="shared" si="16"/>
        <v>1466</v>
      </c>
      <c r="K81" s="4">
        <f t="shared" si="17"/>
        <v>124</v>
      </c>
      <c r="L81" s="4">
        <f>I81*基础设定!$D$9+J81*基础设定!$D$11+K81*基础设定!$D$14</f>
        <v>60798</v>
      </c>
      <c r="N81" s="4">
        <f t="shared" si="18"/>
        <v>204</v>
      </c>
      <c r="O81" s="4">
        <f t="shared" si="19"/>
        <v>0.9625</v>
      </c>
      <c r="P81" s="4">
        <f t="shared" si="20"/>
        <v>370780</v>
      </c>
      <c r="Q81" s="4">
        <f t="shared" si="21"/>
        <v>3579</v>
      </c>
      <c r="R81" s="4">
        <f t="shared" si="22"/>
        <v>621</v>
      </c>
      <c r="S81" s="4">
        <f>P81*基础设定!$D$9+Q81*基础设定!$D$11+R81*基础设定!$D$14</f>
        <v>783560</v>
      </c>
      <c r="T81" s="4">
        <f t="shared" si="23"/>
        <v>0.81922324671696</v>
      </c>
    </row>
    <row r="82" spans="2:20">
      <c r="B82" s="4">
        <v>80</v>
      </c>
      <c r="C82" s="4">
        <f>角色基础!C84</f>
        <v>3105.7</v>
      </c>
      <c r="D82" s="4">
        <f>角色基础!D84</f>
        <v>807.1</v>
      </c>
      <c r="E82" s="4">
        <f>角色基础!E84</f>
        <v>628.55</v>
      </c>
      <c r="G82" s="4">
        <f t="shared" si="25"/>
        <v>17</v>
      </c>
      <c r="H82" s="4">
        <f t="shared" si="24"/>
        <v>0.275</v>
      </c>
      <c r="I82" s="4">
        <f t="shared" si="15"/>
        <v>22706</v>
      </c>
      <c r="J82" s="4">
        <f t="shared" si="16"/>
        <v>1482</v>
      </c>
      <c r="K82" s="4">
        <f t="shared" si="17"/>
        <v>125</v>
      </c>
      <c r="L82" s="4">
        <f>I82*基础设定!$D$9+J82*基础设定!$D$11+K82*基础设定!$D$14</f>
        <v>61482</v>
      </c>
      <c r="N82" s="4">
        <f t="shared" si="18"/>
        <v>204</v>
      </c>
      <c r="O82" s="4">
        <f t="shared" si="19"/>
        <v>0.9625</v>
      </c>
      <c r="P82" s="4">
        <f t="shared" si="20"/>
        <v>375084</v>
      </c>
      <c r="Q82" s="4">
        <f t="shared" si="21"/>
        <v>3617</v>
      </c>
      <c r="R82" s="4">
        <f t="shared" si="22"/>
        <v>628</v>
      </c>
      <c r="S82" s="4">
        <f>P82*基础设定!$D$9+Q82*基础设定!$D$11+R82*基础设定!$D$14</f>
        <v>792618</v>
      </c>
      <c r="T82" s="4">
        <f t="shared" si="23"/>
        <v>0.819463643903788</v>
      </c>
    </row>
  </sheetData>
  <pageMargins left="0.7" right="0.7" top="0.75" bottom="0.75" header="0.3" footer="0.3"/>
  <pageSetup paperSize="9" orientation="portrait" horizontalDpi="360" verticalDpi="36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40"/>
  <sheetViews>
    <sheetView workbookViewId="0">
      <selection activeCell="F29" sqref="F29"/>
    </sheetView>
  </sheetViews>
  <sheetFormatPr defaultColWidth="9" defaultRowHeight="14.25" outlineLevelCol="4"/>
  <cols>
    <col min="1" max="16384" width="9" style="4"/>
  </cols>
  <sheetData>
    <row r="2" spans="2:5">
      <c r="B2" s="4">
        <v>2001</v>
      </c>
      <c r="C2" s="4" t="s">
        <v>1165</v>
      </c>
      <c r="E2" s="4" t="s">
        <v>1166</v>
      </c>
    </row>
    <row r="3" spans="2:5">
      <c r="B3" s="4">
        <v>2002</v>
      </c>
      <c r="C3" s="4" t="s">
        <v>1167</v>
      </c>
      <c r="E3" s="4" t="s">
        <v>1168</v>
      </c>
    </row>
    <row r="4" spans="2:5">
      <c r="B4" s="4">
        <v>2003</v>
      </c>
      <c r="C4" s="4" t="s">
        <v>1169</v>
      </c>
      <c r="E4" s="4" t="s">
        <v>1170</v>
      </c>
    </row>
    <row r="5" spans="2:5">
      <c r="B5" s="4">
        <v>2004</v>
      </c>
      <c r="C5" s="4" t="s">
        <v>1171</v>
      </c>
      <c r="E5" s="4" t="s">
        <v>1172</v>
      </c>
    </row>
    <row r="6" spans="2:5">
      <c r="B6" s="4">
        <v>2005</v>
      </c>
      <c r="C6" s="4" t="s">
        <v>1173</v>
      </c>
      <c r="E6" s="4" t="s">
        <v>680</v>
      </c>
    </row>
    <row r="7" spans="2:3">
      <c r="B7" s="4">
        <v>2006</v>
      </c>
      <c r="C7" s="4" t="s">
        <v>1174</v>
      </c>
    </row>
    <row r="8" spans="2:3">
      <c r="B8" s="4">
        <v>2007</v>
      </c>
      <c r="C8" s="4" t="s">
        <v>1175</v>
      </c>
    </row>
    <row r="9" spans="2:3">
      <c r="B9" s="4">
        <v>2008</v>
      </c>
      <c r="C9" s="4" t="s">
        <v>1176</v>
      </c>
    </row>
    <row r="11" spans="2:3">
      <c r="B11" s="4">
        <v>2009</v>
      </c>
      <c r="C11" s="4" t="s">
        <v>1177</v>
      </c>
    </row>
    <row r="12" spans="2:3">
      <c r="B12" s="4">
        <v>2010</v>
      </c>
      <c r="C12" s="4" t="s">
        <v>1178</v>
      </c>
    </row>
    <row r="13" spans="2:3">
      <c r="B13" s="4">
        <v>2011</v>
      </c>
      <c r="C13" s="4" t="s">
        <v>1179</v>
      </c>
    </row>
    <row r="14" spans="2:3">
      <c r="B14" s="4">
        <v>2012</v>
      </c>
      <c r="C14" s="4" t="s">
        <v>1180</v>
      </c>
    </row>
    <row r="15" spans="2:3">
      <c r="B15" s="4">
        <v>2013</v>
      </c>
      <c r="C15" s="4" t="s">
        <v>1181</v>
      </c>
    </row>
    <row r="16" spans="1:3">
      <c r="A16" s="4" t="s">
        <v>697</v>
      </c>
      <c r="B16" s="4">
        <v>2014</v>
      </c>
      <c r="C16" s="4" t="s">
        <v>1182</v>
      </c>
    </row>
    <row r="17" spans="2:3">
      <c r="B17" s="4">
        <v>2015</v>
      </c>
      <c r="C17" s="4" t="s">
        <v>1183</v>
      </c>
    </row>
    <row r="18" spans="2:3">
      <c r="B18" s="4">
        <v>2016</v>
      </c>
      <c r="C18" s="4" t="s">
        <v>1184</v>
      </c>
    </row>
    <row r="19" spans="2:3">
      <c r="B19" s="4">
        <v>2017</v>
      </c>
      <c r="C19" s="4" t="s">
        <v>1185</v>
      </c>
    </row>
    <row r="21" spans="2:3">
      <c r="B21" s="4">
        <v>2018</v>
      </c>
      <c r="C21" s="4" t="s">
        <v>1186</v>
      </c>
    </row>
    <row r="22" spans="2:3">
      <c r="B22" s="4">
        <v>2019</v>
      </c>
      <c r="C22" s="4" t="s">
        <v>1187</v>
      </c>
    </row>
    <row r="23" spans="1:3">
      <c r="A23" s="4" t="s">
        <v>688</v>
      </c>
      <c r="B23" s="4">
        <v>2020</v>
      </c>
      <c r="C23" s="4" t="s">
        <v>1188</v>
      </c>
    </row>
    <row r="24" spans="2:3">
      <c r="B24" s="4">
        <v>2021</v>
      </c>
      <c r="C24" s="4" t="s">
        <v>1189</v>
      </c>
    </row>
    <row r="25" spans="2:3">
      <c r="B25" s="4">
        <v>2022</v>
      </c>
      <c r="C25" s="4" t="s">
        <v>1190</v>
      </c>
    </row>
    <row r="26" spans="2:3">
      <c r="B26" s="4">
        <v>2023</v>
      </c>
      <c r="C26" s="4" t="s">
        <v>1191</v>
      </c>
    </row>
    <row r="27" spans="2:3">
      <c r="B27" s="4">
        <v>2024</v>
      </c>
      <c r="C27" s="4" t="s">
        <v>1192</v>
      </c>
    </row>
    <row r="30" spans="2:3">
      <c r="B30" s="4">
        <v>2025</v>
      </c>
      <c r="C30" s="4" t="s">
        <v>1193</v>
      </c>
    </row>
    <row r="31" spans="2:3">
      <c r="B31" s="4">
        <v>2026</v>
      </c>
      <c r="C31" s="4" t="s">
        <v>1194</v>
      </c>
    </row>
    <row r="32" spans="1:3">
      <c r="A32" s="4" t="s">
        <v>684</v>
      </c>
      <c r="B32" s="4">
        <v>2027</v>
      </c>
      <c r="C32" s="4" t="s">
        <v>1195</v>
      </c>
    </row>
    <row r="33" spans="2:3">
      <c r="B33" s="4">
        <v>2028</v>
      </c>
      <c r="C33" s="4" t="s">
        <v>1196</v>
      </c>
    </row>
    <row r="34" spans="2:3">
      <c r="B34" s="4">
        <v>2029</v>
      </c>
      <c r="C34" s="4" t="s">
        <v>1197</v>
      </c>
    </row>
    <row r="36" spans="2:3">
      <c r="B36" s="4">
        <v>2030</v>
      </c>
      <c r="C36" s="4" t="s">
        <v>1198</v>
      </c>
    </row>
    <row r="37" spans="1:3">
      <c r="A37" s="4" t="s">
        <v>696</v>
      </c>
      <c r="B37" s="4">
        <v>2031</v>
      </c>
      <c r="C37" s="4" t="s">
        <v>1199</v>
      </c>
    </row>
    <row r="38" spans="2:3">
      <c r="B38" s="4">
        <v>2032</v>
      </c>
      <c r="C38" s="4" t="s">
        <v>1200</v>
      </c>
    </row>
    <row r="39" spans="2:3">
      <c r="B39" s="4">
        <v>2033</v>
      </c>
      <c r="C39" s="4" t="s">
        <v>1201</v>
      </c>
    </row>
    <row r="40" spans="2:3">
      <c r="B40" s="4">
        <v>2034</v>
      </c>
      <c r="C40" s="4" t="s">
        <v>1202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1"/>
  <sheetViews>
    <sheetView tabSelected="1" workbookViewId="0">
      <selection activeCell="B2" sqref="B2"/>
    </sheetView>
  </sheetViews>
  <sheetFormatPr defaultColWidth="9" defaultRowHeight="14.25"/>
  <cols>
    <col min="2" max="2" width="17" customWidth="1"/>
    <col min="5" max="5" width="20.25" customWidth="1"/>
    <col min="6" max="6" width="23.125" customWidth="1"/>
    <col min="7" max="7" width="27.125" customWidth="1"/>
    <col min="8" max="8" width="29.125" customWidth="1"/>
    <col min="9" max="9" width="23.375" customWidth="1"/>
  </cols>
  <sheetData>
    <row r="1" spans="1:9">
      <c r="A1" t="s">
        <v>1203</v>
      </c>
      <c r="B1" t="s">
        <v>1204</v>
      </c>
      <c r="E1" t="s">
        <v>1205</v>
      </c>
      <c r="F1" t="s">
        <v>1206</v>
      </c>
      <c r="G1" t="s">
        <v>1207</v>
      </c>
      <c r="H1" t="s">
        <v>1208</v>
      </c>
      <c r="I1" t="s">
        <v>1209</v>
      </c>
    </row>
    <row r="2" spans="1:7">
      <c r="A2">
        <v>1</v>
      </c>
      <c r="B2">
        <v>5</v>
      </c>
      <c r="E2">
        <v>1</v>
      </c>
      <c r="F2">
        <v>10</v>
      </c>
      <c r="G2">
        <v>3</v>
      </c>
    </row>
    <row r="3" spans="1:5">
      <c r="A3">
        <v>2</v>
      </c>
      <c r="B3" s="2">
        <f t="shared" ref="B3:B31" si="0">CEILING(A3/10,1)*5+B2</f>
        <v>10</v>
      </c>
      <c r="E3" s="2">
        <f t="shared" ref="E3:E31" si="1">CEILING(A3/10,1)+E2</f>
        <v>2</v>
      </c>
    </row>
    <row r="4" spans="1:5">
      <c r="A4">
        <v>3</v>
      </c>
      <c r="B4" s="2">
        <f t="shared" si="0"/>
        <v>15</v>
      </c>
      <c r="E4" s="2">
        <f t="shared" si="1"/>
        <v>3</v>
      </c>
    </row>
    <row r="5" spans="1:6">
      <c r="A5">
        <v>4</v>
      </c>
      <c r="B5" s="2">
        <f t="shared" si="0"/>
        <v>20</v>
      </c>
      <c r="E5" s="2">
        <f t="shared" si="1"/>
        <v>4</v>
      </c>
      <c r="F5" t="s">
        <v>1210</v>
      </c>
    </row>
    <row r="6" spans="1:5">
      <c r="A6">
        <v>5</v>
      </c>
      <c r="B6" s="2">
        <f t="shared" si="0"/>
        <v>25</v>
      </c>
      <c r="E6" s="2">
        <f t="shared" si="1"/>
        <v>5</v>
      </c>
    </row>
    <row r="7" spans="1:5">
      <c r="A7">
        <v>6</v>
      </c>
      <c r="B7" s="2">
        <f t="shared" si="0"/>
        <v>30</v>
      </c>
      <c r="E7" s="2">
        <f t="shared" si="1"/>
        <v>6</v>
      </c>
    </row>
    <row r="8" spans="1:5">
      <c r="A8">
        <v>7</v>
      </c>
      <c r="B8" s="2">
        <f t="shared" si="0"/>
        <v>35</v>
      </c>
      <c r="E8" s="2">
        <f t="shared" si="1"/>
        <v>7</v>
      </c>
    </row>
    <row r="9" spans="1:5">
      <c r="A9">
        <v>8</v>
      </c>
      <c r="B9" s="2">
        <f t="shared" si="0"/>
        <v>40</v>
      </c>
      <c r="E9" s="2">
        <f t="shared" si="1"/>
        <v>8</v>
      </c>
    </row>
    <row r="10" spans="1:5">
      <c r="A10">
        <v>9</v>
      </c>
      <c r="B10" s="2">
        <f t="shared" si="0"/>
        <v>45</v>
      </c>
      <c r="E10" s="2">
        <f t="shared" si="1"/>
        <v>9</v>
      </c>
    </row>
    <row r="11" spans="1:7">
      <c r="A11">
        <v>10</v>
      </c>
      <c r="B11" s="2">
        <f t="shared" si="0"/>
        <v>50</v>
      </c>
      <c r="E11" s="2">
        <f t="shared" si="1"/>
        <v>10</v>
      </c>
      <c r="F11">
        <f>E11*3</f>
        <v>30</v>
      </c>
      <c r="G11">
        <f>E11</f>
        <v>10</v>
      </c>
    </row>
    <row r="12" spans="1:5">
      <c r="A12">
        <v>11</v>
      </c>
      <c r="B12" s="2">
        <f t="shared" si="0"/>
        <v>60</v>
      </c>
      <c r="E12" s="2">
        <f t="shared" si="1"/>
        <v>12</v>
      </c>
    </row>
    <row r="13" spans="1:5">
      <c r="A13">
        <v>12</v>
      </c>
      <c r="B13" s="2">
        <f t="shared" si="0"/>
        <v>70</v>
      </c>
      <c r="E13" s="2">
        <f t="shared" si="1"/>
        <v>14</v>
      </c>
    </row>
    <row r="14" spans="1:5">
      <c r="A14">
        <v>13</v>
      </c>
      <c r="B14" s="2">
        <f t="shared" si="0"/>
        <v>80</v>
      </c>
      <c r="E14" s="2">
        <f t="shared" si="1"/>
        <v>16</v>
      </c>
    </row>
    <row r="15" spans="1:5">
      <c r="A15">
        <v>14</v>
      </c>
      <c r="B15" s="2">
        <f t="shared" si="0"/>
        <v>90</v>
      </c>
      <c r="E15" s="2">
        <f t="shared" si="1"/>
        <v>18</v>
      </c>
    </row>
    <row r="16" spans="1:5">
      <c r="A16">
        <v>15</v>
      </c>
      <c r="B16" s="2">
        <f t="shared" si="0"/>
        <v>100</v>
      </c>
      <c r="E16" s="2">
        <f t="shared" si="1"/>
        <v>20</v>
      </c>
    </row>
    <row r="17" spans="1:5">
      <c r="A17">
        <v>16</v>
      </c>
      <c r="B17" s="2">
        <f t="shared" si="0"/>
        <v>110</v>
      </c>
      <c r="E17" s="2">
        <f t="shared" si="1"/>
        <v>22</v>
      </c>
    </row>
    <row r="18" spans="1:5">
      <c r="A18">
        <v>17</v>
      </c>
      <c r="B18" s="2">
        <f t="shared" si="0"/>
        <v>120</v>
      </c>
      <c r="E18" s="2">
        <f t="shared" si="1"/>
        <v>24</v>
      </c>
    </row>
    <row r="19" spans="1:5">
      <c r="A19">
        <v>18</v>
      </c>
      <c r="B19" s="2">
        <f t="shared" si="0"/>
        <v>130</v>
      </c>
      <c r="E19" s="2">
        <f t="shared" si="1"/>
        <v>26</v>
      </c>
    </row>
    <row r="20" spans="1:5">
      <c r="A20">
        <v>19</v>
      </c>
      <c r="B20" s="2">
        <f t="shared" si="0"/>
        <v>140</v>
      </c>
      <c r="E20" s="2">
        <f t="shared" si="1"/>
        <v>28</v>
      </c>
    </row>
    <row r="21" spans="1:7">
      <c r="A21">
        <v>20</v>
      </c>
      <c r="B21" s="2">
        <f t="shared" si="0"/>
        <v>150</v>
      </c>
      <c r="E21" s="2">
        <f t="shared" si="1"/>
        <v>30</v>
      </c>
      <c r="F21">
        <f>E21*3</f>
        <v>90</v>
      </c>
      <c r="G21">
        <f>E21</f>
        <v>30</v>
      </c>
    </row>
    <row r="22" spans="1:5">
      <c r="A22">
        <v>21</v>
      </c>
      <c r="B22" s="2">
        <f t="shared" si="0"/>
        <v>165</v>
      </c>
      <c r="E22" s="2">
        <f t="shared" si="1"/>
        <v>33</v>
      </c>
    </row>
    <row r="23" spans="1:5">
      <c r="A23">
        <v>22</v>
      </c>
      <c r="B23" s="2">
        <f t="shared" si="0"/>
        <v>180</v>
      </c>
      <c r="E23" s="2">
        <f t="shared" si="1"/>
        <v>36</v>
      </c>
    </row>
    <row r="24" spans="1:5">
      <c r="A24">
        <v>23</v>
      </c>
      <c r="B24" s="2">
        <f t="shared" si="0"/>
        <v>195</v>
      </c>
      <c r="E24" s="2">
        <f t="shared" si="1"/>
        <v>39</v>
      </c>
    </row>
    <row r="25" spans="1:5">
      <c r="A25">
        <v>24</v>
      </c>
      <c r="B25" s="2">
        <f t="shared" si="0"/>
        <v>210</v>
      </c>
      <c r="E25" s="2">
        <f t="shared" si="1"/>
        <v>42</v>
      </c>
    </row>
    <row r="26" spans="1:5">
      <c r="A26">
        <v>25</v>
      </c>
      <c r="B26" s="2">
        <f t="shared" si="0"/>
        <v>225</v>
      </c>
      <c r="E26" s="2">
        <f t="shared" si="1"/>
        <v>45</v>
      </c>
    </row>
    <row r="27" spans="1:5">
      <c r="A27">
        <v>26</v>
      </c>
      <c r="B27" s="2">
        <f t="shared" si="0"/>
        <v>240</v>
      </c>
      <c r="E27" s="2">
        <f t="shared" si="1"/>
        <v>48</v>
      </c>
    </row>
    <row r="28" spans="1:5">
      <c r="A28">
        <v>27</v>
      </c>
      <c r="B28" s="2">
        <f t="shared" si="0"/>
        <v>255</v>
      </c>
      <c r="E28" s="2">
        <f t="shared" si="1"/>
        <v>51</v>
      </c>
    </row>
    <row r="29" spans="1:5">
      <c r="A29">
        <v>28</v>
      </c>
      <c r="B29" s="2">
        <f t="shared" si="0"/>
        <v>270</v>
      </c>
      <c r="E29" s="2">
        <f t="shared" si="1"/>
        <v>54</v>
      </c>
    </row>
    <row r="30" spans="1:5">
      <c r="A30">
        <v>29</v>
      </c>
      <c r="B30" s="2">
        <f t="shared" si="0"/>
        <v>285</v>
      </c>
      <c r="E30" s="2">
        <f t="shared" si="1"/>
        <v>57</v>
      </c>
    </row>
    <row r="31" s="1" customFormat="1" spans="1:7">
      <c r="A31" s="1">
        <v>30</v>
      </c>
      <c r="B31" s="3">
        <f t="shared" si="0"/>
        <v>300</v>
      </c>
      <c r="E31" s="3">
        <f t="shared" si="1"/>
        <v>60</v>
      </c>
      <c r="F31">
        <f>E31*3</f>
        <v>180</v>
      </c>
      <c r="G31">
        <f>E31</f>
        <v>60</v>
      </c>
    </row>
    <row r="32" spans="1:5">
      <c r="A32">
        <v>31</v>
      </c>
      <c r="B32" s="2">
        <f t="shared" ref="B32:B41" si="2">B31+30</f>
        <v>330</v>
      </c>
      <c r="E32" s="2">
        <f t="shared" ref="E32:E41" si="3">E31+6</f>
        <v>66</v>
      </c>
    </row>
    <row r="33" spans="1:5">
      <c r="A33">
        <v>32</v>
      </c>
      <c r="B33" s="2">
        <f t="shared" si="2"/>
        <v>360</v>
      </c>
      <c r="E33" s="2">
        <f t="shared" si="3"/>
        <v>72</v>
      </c>
    </row>
    <row r="34" spans="1:5">
      <c r="A34">
        <v>33</v>
      </c>
      <c r="B34" s="2">
        <f t="shared" si="2"/>
        <v>390</v>
      </c>
      <c r="E34" s="2">
        <f t="shared" si="3"/>
        <v>78</v>
      </c>
    </row>
    <row r="35" spans="1:5">
      <c r="A35">
        <v>34</v>
      </c>
      <c r="B35" s="2">
        <f t="shared" si="2"/>
        <v>420</v>
      </c>
      <c r="E35" s="2">
        <f t="shared" si="3"/>
        <v>84</v>
      </c>
    </row>
    <row r="36" spans="1:5">
      <c r="A36">
        <v>35</v>
      </c>
      <c r="B36" s="2">
        <f t="shared" si="2"/>
        <v>450</v>
      </c>
      <c r="E36" s="2">
        <f t="shared" si="3"/>
        <v>90</v>
      </c>
    </row>
    <row r="37" spans="1:5">
      <c r="A37">
        <v>36</v>
      </c>
      <c r="B37" s="2">
        <f t="shared" si="2"/>
        <v>480</v>
      </c>
      <c r="E37" s="2">
        <f t="shared" si="3"/>
        <v>96</v>
      </c>
    </row>
    <row r="38" spans="1:5">
      <c r="A38">
        <v>37</v>
      </c>
      <c r="B38" s="2">
        <f t="shared" si="2"/>
        <v>510</v>
      </c>
      <c r="E38" s="2">
        <f t="shared" si="3"/>
        <v>102</v>
      </c>
    </row>
    <row r="39" spans="1:5">
      <c r="A39">
        <v>38</v>
      </c>
      <c r="B39" s="2">
        <f t="shared" si="2"/>
        <v>540</v>
      </c>
      <c r="E39" s="2">
        <f t="shared" si="3"/>
        <v>108</v>
      </c>
    </row>
    <row r="40" spans="1:5">
      <c r="A40">
        <v>39</v>
      </c>
      <c r="B40" s="2">
        <f t="shared" si="2"/>
        <v>570</v>
      </c>
      <c r="E40" s="2">
        <f t="shared" si="3"/>
        <v>114</v>
      </c>
    </row>
    <row r="41" s="1" customFormat="1" spans="1:7">
      <c r="A41" s="1">
        <v>40</v>
      </c>
      <c r="B41" s="3">
        <f t="shared" si="2"/>
        <v>600</v>
      </c>
      <c r="E41" s="3">
        <f t="shared" si="3"/>
        <v>120</v>
      </c>
      <c r="F41">
        <f>E41*3</f>
        <v>360</v>
      </c>
      <c r="G41">
        <f>E41</f>
        <v>120</v>
      </c>
    </row>
    <row r="42" spans="1:5">
      <c r="A42">
        <v>41</v>
      </c>
      <c r="B42" s="2">
        <f t="shared" ref="B42:B52" si="4">B41+40</f>
        <v>640</v>
      </c>
      <c r="E42" s="2">
        <f t="shared" ref="E42:E61" si="5">E41+8</f>
        <v>128</v>
      </c>
    </row>
    <row r="43" spans="1:5">
      <c r="A43">
        <v>42</v>
      </c>
      <c r="B43" s="2">
        <f t="shared" si="4"/>
        <v>680</v>
      </c>
      <c r="E43" s="2">
        <f t="shared" si="5"/>
        <v>136</v>
      </c>
    </row>
    <row r="44" spans="1:5">
      <c r="A44">
        <v>43</v>
      </c>
      <c r="B44" s="2">
        <f t="shared" si="4"/>
        <v>720</v>
      </c>
      <c r="E44" s="2">
        <f t="shared" si="5"/>
        <v>144</v>
      </c>
    </row>
    <row r="45" spans="1:5">
      <c r="A45">
        <v>44</v>
      </c>
      <c r="B45" s="2">
        <f t="shared" si="4"/>
        <v>760</v>
      </c>
      <c r="E45" s="2">
        <f t="shared" si="5"/>
        <v>152</v>
      </c>
    </row>
    <row r="46" spans="1:5">
      <c r="A46">
        <v>45</v>
      </c>
      <c r="B46" s="2">
        <f t="shared" si="4"/>
        <v>800</v>
      </c>
      <c r="E46" s="2">
        <f t="shared" si="5"/>
        <v>160</v>
      </c>
    </row>
    <row r="47" spans="1:5">
      <c r="A47">
        <v>46</v>
      </c>
      <c r="B47" s="2">
        <f t="shared" si="4"/>
        <v>840</v>
      </c>
      <c r="E47" s="2">
        <f t="shared" si="5"/>
        <v>168</v>
      </c>
    </row>
    <row r="48" spans="1:5">
      <c r="A48">
        <v>47</v>
      </c>
      <c r="B48" s="2">
        <f t="shared" si="4"/>
        <v>880</v>
      </c>
      <c r="E48" s="2">
        <f t="shared" si="5"/>
        <v>176</v>
      </c>
    </row>
    <row r="49" spans="1:5">
      <c r="A49">
        <v>48</v>
      </c>
      <c r="B49" s="2">
        <f t="shared" si="4"/>
        <v>920</v>
      </c>
      <c r="E49" s="2">
        <f t="shared" si="5"/>
        <v>184</v>
      </c>
    </row>
    <row r="50" spans="1:5">
      <c r="A50">
        <v>49</v>
      </c>
      <c r="B50" s="2">
        <f t="shared" si="4"/>
        <v>960</v>
      </c>
      <c r="E50" s="2">
        <f t="shared" si="5"/>
        <v>192</v>
      </c>
    </row>
    <row r="51" s="1" customFormat="1" spans="1:7">
      <c r="A51" s="1">
        <v>50</v>
      </c>
      <c r="B51" s="3">
        <f t="shared" si="4"/>
        <v>1000</v>
      </c>
      <c r="E51" s="3">
        <f t="shared" si="5"/>
        <v>200</v>
      </c>
      <c r="F51">
        <f>E51*3</f>
        <v>600</v>
      </c>
      <c r="G51">
        <f>E51</f>
        <v>200</v>
      </c>
    </row>
    <row r="52" spans="1:5">
      <c r="A52">
        <v>51</v>
      </c>
      <c r="B52" s="2">
        <f t="shared" ref="B52:B62" si="6">B51+100</f>
        <v>1100</v>
      </c>
      <c r="E52" s="2">
        <f t="shared" si="5"/>
        <v>208</v>
      </c>
    </row>
    <row r="53" spans="1:5">
      <c r="A53">
        <v>52</v>
      </c>
      <c r="B53" s="2">
        <f t="shared" si="6"/>
        <v>1200</v>
      </c>
      <c r="E53" s="2">
        <f t="shared" si="5"/>
        <v>216</v>
      </c>
    </row>
    <row r="54" spans="1:5">
      <c r="A54">
        <v>53</v>
      </c>
      <c r="B54" s="2">
        <f t="shared" si="6"/>
        <v>1300</v>
      </c>
      <c r="E54" s="2">
        <f t="shared" si="5"/>
        <v>224</v>
      </c>
    </row>
    <row r="55" spans="1:5">
      <c r="A55">
        <v>54</v>
      </c>
      <c r="B55" s="2">
        <f t="shared" si="6"/>
        <v>1400</v>
      </c>
      <c r="E55" s="2">
        <f t="shared" si="5"/>
        <v>232</v>
      </c>
    </row>
    <row r="56" spans="1:5">
      <c r="A56">
        <v>55</v>
      </c>
      <c r="B56" s="2">
        <f t="shared" si="6"/>
        <v>1500</v>
      </c>
      <c r="E56" s="2">
        <f t="shared" si="5"/>
        <v>240</v>
      </c>
    </row>
    <row r="57" spans="1:5">
      <c r="A57">
        <v>56</v>
      </c>
      <c r="B57" s="2">
        <f t="shared" si="6"/>
        <v>1600</v>
      </c>
      <c r="E57" s="2">
        <f t="shared" si="5"/>
        <v>248</v>
      </c>
    </row>
    <row r="58" spans="1:5">
      <c r="A58">
        <v>57</v>
      </c>
      <c r="B58" s="2">
        <f t="shared" si="6"/>
        <v>1700</v>
      </c>
      <c r="E58" s="2">
        <f t="shared" si="5"/>
        <v>256</v>
      </c>
    </row>
    <row r="59" spans="1:5">
      <c r="A59">
        <v>58</v>
      </c>
      <c r="B59" s="2">
        <f t="shared" si="6"/>
        <v>1800</v>
      </c>
      <c r="E59" s="2">
        <f t="shared" si="5"/>
        <v>264</v>
      </c>
    </row>
    <row r="60" spans="1:5">
      <c r="A60">
        <v>59</v>
      </c>
      <c r="B60" s="2">
        <f t="shared" si="6"/>
        <v>1900</v>
      </c>
      <c r="E60" s="2">
        <f t="shared" si="5"/>
        <v>272</v>
      </c>
    </row>
    <row r="61" s="1" customFormat="1" spans="1:7">
      <c r="A61" s="1">
        <v>60</v>
      </c>
      <c r="B61" s="3">
        <f t="shared" si="6"/>
        <v>2000</v>
      </c>
      <c r="E61" s="3">
        <f t="shared" si="5"/>
        <v>280</v>
      </c>
      <c r="F61">
        <f>E61*3</f>
        <v>840</v>
      </c>
      <c r="G61">
        <f>E61</f>
        <v>280</v>
      </c>
    </row>
    <row r="62" spans="1:5">
      <c r="A62">
        <v>61</v>
      </c>
      <c r="B62" s="2">
        <f t="shared" ref="B62:B82" si="7">B61+150</f>
        <v>2150</v>
      </c>
      <c r="E62" s="2">
        <f t="shared" ref="E62:E81" si="8">E61+16</f>
        <v>296</v>
      </c>
    </row>
    <row r="63" spans="1:5">
      <c r="A63">
        <v>62</v>
      </c>
      <c r="B63" s="2">
        <f t="shared" si="7"/>
        <v>2300</v>
      </c>
      <c r="E63" s="2">
        <f t="shared" si="8"/>
        <v>312</v>
      </c>
    </row>
    <row r="64" spans="1:5">
      <c r="A64">
        <v>63</v>
      </c>
      <c r="B64" s="2">
        <f t="shared" si="7"/>
        <v>2450</v>
      </c>
      <c r="E64" s="2">
        <f t="shared" si="8"/>
        <v>328</v>
      </c>
    </row>
    <row r="65" spans="1:5">
      <c r="A65">
        <v>64</v>
      </c>
      <c r="B65" s="2">
        <f t="shared" si="7"/>
        <v>2600</v>
      </c>
      <c r="E65" s="2">
        <f t="shared" si="8"/>
        <v>344</v>
      </c>
    </row>
    <row r="66" spans="1:5">
      <c r="A66">
        <v>65</v>
      </c>
      <c r="B66" s="2">
        <f t="shared" si="7"/>
        <v>2750</v>
      </c>
      <c r="E66" s="2">
        <f t="shared" si="8"/>
        <v>360</v>
      </c>
    </row>
    <row r="67" spans="1:5">
      <c r="A67">
        <v>66</v>
      </c>
      <c r="B67" s="2">
        <f t="shared" si="7"/>
        <v>2900</v>
      </c>
      <c r="E67" s="2">
        <f t="shared" si="8"/>
        <v>376</v>
      </c>
    </row>
    <row r="68" spans="1:5">
      <c r="A68">
        <v>67</v>
      </c>
      <c r="B68" s="2">
        <f t="shared" si="7"/>
        <v>3050</v>
      </c>
      <c r="E68" s="2">
        <f t="shared" si="8"/>
        <v>392</v>
      </c>
    </row>
    <row r="69" spans="1:5">
      <c r="A69">
        <v>68</v>
      </c>
      <c r="B69" s="2">
        <f t="shared" si="7"/>
        <v>3200</v>
      </c>
      <c r="E69" s="2">
        <f t="shared" si="8"/>
        <v>408</v>
      </c>
    </row>
    <row r="70" spans="1:5">
      <c r="A70">
        <v>69</v>
      </c>
      <c r="B70" s="2">
        <f t="shared" si="7"/>
        <v>3350</v>
      </c>
      <c r="E70" s="2">
        <f t="shared" si="8"/>
        <v>424</v>
      </c>
    </row>
    <row r="71" spans="1:7">
      <c r="A71">
        <v>70</v>
      </c>
      <c r="B71" s="2">
        <f t="shared" si="7"/>
        <v>3500</v>
      </c>
      <c r="E71" s="2">
        <f t="shared" si="8"/>
        <v>440</v>
      </c>
      <c r="F71">
        <f>E71*3</f>
        <v>1320</v>
      </c>
      <c r="G71">
        <f>E71</f>
        <v>440</v>
      </c>
    </row>
    <row r="72" spans="1:5">
      <c r="A72">
        <v>71</v>
      </c>
      <c r="B72" s="2">
        <f t="shared" si="7"/>
        <v>3650</v>
      </c>
      <c r="E72" s="2">
        <f t="shared" si="8"/>
        <v>456</v>
      </c>
    </row>
    <row r="73" spans="1:5">
      <c r="A73">
        <v>72</v>
      </c>
      <c r="B73" s="2">
        <f t="shared" si="7"/>
        <v>3800</v>
      </c>
      <c r="E73" s="2">
        <f t="shared" si="8"/>
        <v>472</v>
      </c>
    </row>
    <row r="74" spans="1:5">
      <c r="A74">
        <v>73</v>
      </c>
      <c r="B74" s="2">
        <f t="shared" si="7"/>
        <v>3950</v>
      </c>
      <c r="E74" s="2">
        <f t="shared" si="8"/>
        <v>488</v>
      </c>
    </row>
    <row r="75" spans="1:5">
      <c r="A75">
        <v>74</v>
      </c>
      <c r="B75" s="2">
        <f t="shared" si="7"/>
        <v>4100</v>
      </c>
      <c r="E75" s="2">
        <f t="shared" si="8"/>
        <v>504</v>
      </c>
    </row>
    <row r="76" spans="1:5">
      <c r="A76">
        <v>75</v>
      </c>
      <c r="B76" s="2">
        <f t="shared" si="7"/>
        <v>4250</v>
      </c>
      <c r="E76" s="2">
        <f t="shared" si="8"/>
        <v>520</v>
      </c>
    </row>
    <row r="77" spans="1:5">
      <c r="A77">
        <v>76</v>
      </c>
      <c r="B77" s="2">
        <f t="shared" si="7"/>
        <v>4400</v>
      </c>
      <c r="E77" s="2">
        <f t="shared" si="8"/>
        <v>536</v>
      </c>
    </row>
    <row r="78" spans="1:5">
      <c r="A78">
        <v>77</v>
      </c>
      <c r="B78" s="2">
        <f t="shared" si="7"/>
        <v>4550</v>
      </c>
      <c r="E78" s="2">
        <f t="shared" si="8"/>
        <v>552</v>
      </c>
    </row>
    <row r="79" spans="1:5">
      <c r="A79">
        <v>78</v>
      </c>
      <c r="B79" s="2">
        <f t="shared" si="7"/>
        <v>4700</v>
      </c>
      <c r="E79" s="2">
        <f t="shared" si="8"/>
        <v>568</v>
      </c>
    </row>
    <row r="80" spans="1:5">
      <c r="A80">
        <v>79</v>
      </c>
      <c r="B80" s="2">
        <f t="shared" si="7"/>
        <v>4850</v>
      </c>
      <c r="E80" s="2">
        <f t="shared" si="8"/>
        <v>584</v>
      </c>
    </row>
    <row r="81" s="1" customFormat="1" spans="1:7">
      <c r="A81" s="1">
        <v>80</v>
      </c>
      <c r="B81" s="3">
        <f t="shared" si="7"/>
        <v>5000</v>
      </c>
      <c r="E81" s="3">
        <f t="shared" si="8"/>
        <v>600</v>
      </c>
      <c r="F81">
        <f>E81*3</f>
        <v>1800</v>
      </c>
      <c r="G81">
        <f>E81</f>
        <v>600</v>
      </c>
    </row>
    <row r="82" spans="1:5">
      <c r="A82">
        <v>81</v>
      </c>
      <c r="B82" s="2">
        <f t="shared" ref="B82:B102" si="9">B81+250</f>
        <v>5250</v>
      </c>
      <c r="E82" s="2">
        <f t="shared" ref="E82:E101" si="10">E81+30</f>
        <v>630</v>
      </c>
    </row>
    <row r="83" spans="1:5">
      <c r="A83">
        <v>82</v>
      </c>
      <c r="B83" s="2">
        <f t="shared" si="9"/>
        <v>5500</v>
      </c>
      <c r="E83" s="2">
        <f t="shared" si="10"/>
        <v>660</v>
      </c>
    </row>
    <row r="84" spans="1:5">
      <c r="A84">
        <v>83</v>
      </c>
      <c r="B84" s="2">
        <f t="shared" si="9"/>
        <v>5750</v>
      </c>
      <c r="E84" s="2">
        <f t="shared" si="10"/>
        <v>690</v>
      </c>
    </row>
    <row r="85" spans="1:5">
      <c r="A85">
        <v>84</v>
      </c>
      <c r="B85" s="2">
        <f t="shared" si="9"/>
        <v>6000</v>
      </c>
      <c r="E85" s="2">
        <f t="shared" si="10"/>
        <v>720</v>
      </c>
    </row>
    <row r="86" spans="1:5">
      <c r="A86">
        <v>85</v>
      </c>
      <c r="B86" s="2">
        <f t="shared" si="9"/>
        <v>6250</v>
      </c>
      <c r="E86" s="2">
        <f t="shared" si="10"/>
        <v>750</v>
      </c>
    </row>
    <row r="87" spans="1:5">
      <c r="A87">
        <v>86</v>
      </c>
      <c r="B87" s="2">
        <f t="shared" si="9"/>
        <v>6500</v>
      </c>
      <c r="E87" s="2">
        <f t="shared" si="10"/>
        <v>780</v>
      </c>
    </row>
    <row r="88" spans="1:5">
      <c r="A88">
        <v>87</v>
      </c>
      <c r="B88" s="2">
        <f t="shared" si="9"/>
        <v>6750</v>
      </c>
      <c r="E88" s="2">
        <f t="shared" si="10"/>
        <v>810</v>
      </c>
    </row>
    <row r="89" spans="1:5">
      <c r="A89">
        <v>88</v>
      </c>
      <c r="B89" s="2">
        <f t="shared" si="9"/>
        <v>7000</v>
      </c>
      <c r="E89" s="2">
        <f t="shared" si="10"/>
        <v>840</v>
      </c>
    </row>
    <row r="90" spans="1:5">
      <c r="A90">
        <v>89</v>
      </c>
      <c r="B90" s="2">
        <f t="shared" si="9"/>
        <v>7250</v>
      </c>
      <c r="E90" s="2">
        <f t="shared" si="10"/>
        <v>870</v>
      </c>
    </row>
    <row r="91" spans="1:7">
      <c r="A91">
        <v>90</v>
      </c>
      <c r="B91" s="2">
        <f t="shared" si="9"/>
        <v>7500</v>
      </c>
      <c r="E91" s="2">
        <f t="shared" si="10"/>
        <v>900</v>
      </c>
      <c r="F91">
        <f>E91*3</f>
        <v>2700</v>
      </c>
      <c r="G91">
        <f>E91</f>
        <v>900</v>
      </c>
    </row>
    <row r="92" spans="1:5">
      <c r="A92">
        <v>91</v>
      </c>
      <c r="B92" s="2">
        <f t="shared" si="9"/>
        <v>7750</v>
      </c>
      <c r="E92" s="2">
        <f t="shared" si="10"/>
        <v>930</v>
      </c>
    </row>
    <row r="93" spans="1:5">
      <c r="A93">
        <v>92</v>
      </c>
      <c r="B93" s="2">
        <f t="shared" si="9"/>
        <v>8000</v>
      </c>
      <c r="E93" s="2">
        <f t="shared" si="10"/>
        <v>960</v>
      </c>
    </row>
    <row r="94" spans="1:5">
      <c r="A94">
        <v>93</v>
      </c>
      <c r="B94" s="2">
        <f t="shared" si="9"/>
        <v>8250</v>
      </c>
      <c r="E94" s="2">
        <f t="shared" si="10"/>
        <v>990</v>
      </c>
    </row>
    <row r="95" spans="1:5">
      <c r="A95">
        <v>94</v>
      </c>
      <c r="B95" s="2">
        <f t="shared" si="9"/>
        <v>8500</v>
      </c>
      <c r="E95" s="2">
        <f t="shared" si="10"/>
        <v>1020</v>
      </c>
    </row>
    <row r="96" spans="1:5">
      <c r="A96">
        <v>95</v>
      </c>
      <c r="B96" s="2">
        <f t="shared" si="9"/>
        <v>8750</v>
      </c>
      <c r="E96" s="2">
        <f t="shared" si="10"/>
        <v>1050</v>
      </c>
    </row>
    <row r="97" spans="1:5">
      <c r="A97">
        <v>96</v>
      </c>
      <c r="B97" s="2">
        <f t="shared" si="9"/>
        <v>9000</v>
      </c>
      <c r="E97" s="2">
        <f t="shared" si="10"/>
        <v>1080</v>
      </c>
    </row>
    <row r="98" spans="1:5">
      <c r="A98">
        <v>97</v>
      </c>
      <c r="B98" s="2">
        <f t="shared" si="9"/>
        <v>9250</v>
      </c>
      <c r="E98" s="2">
        <f t="shared" si="10"/>
        <v>1110</v>
      </c>
    </row>
    <row r="99" spans="1:5">
      <c r="A99">
        <v>98</v>
      </c>
      <c r="B99" s="2">
        <f t="shared" si="9"/>
        <v>9500</v>
      </c>
      <c r="E99" s="2">
        <f t="shared" si="10"/>
        <v>1140</v>
      </c>
    </row>
    <row r="100" spans="1:5">
      <c r="A100">
        <v>99</v>
      </c>
      <c r="B100" s="2">
        <f t="shared" si="9"/>
        <v>9750</v>
      </c>
      <c r="E100" s="2">
        <f t="shared" si="10"/>
        <v>1170</v>
      </c>
    </row>
    <row r="101" s="1" customFormat="1" spans="1:7">
      <c r="A101" s="1">
        <v>100</v>
      </c>
      <c r="B101" s="3">
        <f t="shared" si="9"/>
        <v>10000</v>
      </c>
      <c r="E101" s="3">
        <f t="shared" si="10"/>
        <v>1200</v>
      </c>
      <c r="F101">
        <f>E101*3</f>
        <v>3600</v>
      </c>
      <c r="G101">
        <f>E101</f>
        <v>1200</v>
      </c>
    </row>
    <row r="102" spans="1:5">
      <c r="A102">
        <v>101</v>
      </c>
      <c r="B102" s="2">
        <f t="shared" ref="B102:B122" si="11">B101+500</f>
        <v>10500</v>
      </c>
      <c r="E102" s="2">
        <f t="shared" ref="E102:E121" si="12">E101+60</f>
        <v>1260</v>
      </c>
    </row>
    <row r="103" spans="1:5">
      <c r="A103">
        <v>102</v>
      </c>
      <c r="B103" s="2">
        <f t="shared" si="11"/>
        <v>11000</v>
      </c>
      <c r="E103" s="2">
        <f t="shared" si="12"/>
        <v>1320</v>
      </c>
    </row>
    <row r="104" spans="1:5">
      <c r="A104">
        <v>103</v>
      </c>
      <c r="B104" s="2">
        <f t="shared" si="11"/>
        <v>11500</v>
      </c>
      <c r="E104" s="2">
        <f t="shared" si="12"/>
        <v>1380</v>
      </c>
    </row>
    <row r="105" spans="1:5">
      <c r="A105">
        <v>104</v>
      </c>
      <c r="B105" s="2">
        <f t="shared" si="11"/>
        <v>12000</v>
      </c>
      <c r="E105" s="2">
        <f t="shared" si="12"/>
        <v>1440</v>
      </c>
    </row>
    <row r="106" spans="1:5">
      <c r="A106">
        <v>105</v>
      </c>
      <c r="B106" s="2">
        <f t="shared" si="11"/>
        <v>12500</v>
      </c>
      <c r="E106" s="2">
        <f t="shared" si="12"/>
        <v>1500</v>
      </c>
    </row>
    <row r="107" spans="1:5">
      <c r="A107">
        <v>106</v>
      </c>
      <c r="B107" s="2">
        <f t="shared" si="11"/>
        <v>13000</v>
      </c>
      <c r="E107" s="2">
        <f t="shared" si="12"/>
        <v>1560</v>
      </c>
    </row>
    <row r="108" spans="1:5">
      <c r="A108">
        <v>107</v>
      </c>
      <c r="B108" s="2">
        <f t="shared" si="11"/>
        <v>13500</v>
      </c>
      <c r="E108" s="2">
        <f t="shared" si="12"/>
        <v>1620</v>
      </c>
    </row>
    <row r="109" spans="1:5">
      <c r="A109">
        <v>108</v>
      </c>
      <c r="B109" s="2">
        <f t="shared" si="11"/>
        <v>14000</v>
      </c>
      <c r="E109" s="2">
        <f t="shared" si="12"/>
        <v>1680</v>
      </c>
    </row>
    <row r="110" spans="1:5">
      <c r="A110">
        <v>109</v>
      </c>
      <c r="B110" s="2">
        <f t="shared" si="11"/>
        <v>14500</v>
      </c>
      <c r="E110" s="2">
        <f t="shared" si="12"/>
        <v>1740</v>
      </c>
    </row>
    <row r="111" spans="1:7">
      <c r="A111">
        <v>110</v>
      </c>
      <c r="B111" s="2">
        <f t="shared" si="11"/>
        <v>15000</v>
      </c>
      <c r="E111" s="2">
        <f t="shared" si="12"/>
        <v>1800</v>
      </c>
      <c r="F111">
        <f>E111*3</f>
        <v>5400</v>
      </c>
      <c r="G111">
        <f>E111</f>
        <v>1800</v>
      </c>
    </row>
    <row r="112" spans="1:5">
      <c r="A112">
        <v>111</v>
      </c>
      <c r="B112" s="2">
        <f t="shared" si="11"/>
        <v>15500</v>
      </c>
      <c r="E112" s="2">
        <f t="shared" si="12"/>
        <v>1860</v>
      </c>
    </row>
    <row r="113" spans="1:5">
      <c r="A113">
        <v>112</v>
      </c>
      <c r="B113" s="2">
        <f t="shared" si="11"/>
        <v>16000</v>
      </c>
      <c r="E113" s="2">
        <f t="shared" si="12"/>
        <v>1920</v>
      </c>
    </row>
    <row r="114" spans="1:5">
      <c r="A114">
        <v>113</v>
      </c>
      <c r="B114" s="2">
        <f t="shared" si="11"/>
        <v>16500</v>
      </c>
      <c r="E114" s="2">
        <f t="shared" si="12"/>
        <v>1980</v>
      </c>
    </row>
    <row r="115" spans="1:5">
      <c r="A115">
        <v>114</v>
      </c>
      <c r="B115" s="2">
        <f t="shared" si="11"/>
        <v>17000</v>
      </c>
      <c r="E115" s="2">
        <f t="shared" si="12"/>
        <v>2040</v>
      </c>
    </row>
    <row r="116" spans="1:5">
      <c r="A116">
        <v>115</v>
      </c>
      <c r="B116" s="2">
        <f t="shared" si="11"/>
        <v>17500</v>
      </c>
      <c r="E116" s="2">
        <f t="shared" si="12"/>
        <v>2100</v>
      </c>
    </row>
    <row r="117" spans="1:5">
      <c r="A117">
        <v>116</v>
      </c>
      <c r="B117" s="2">
        <f t="shared" si="11"/>
        <v>18000</v>
      </c>
      <c r="E117" s="2">
        <f t="shared" si="12"/>
        <v>2160</v>
      </c>
    </row>
    <row r="118" spans="1:5">
      <c r="A118">
        <v>117</v>
      </c>
      <c r="B118" s="2">
        <f t="shared" si="11"/>
        <v>18500</v>
      </c>
      <c r="E118" s="2">
        <f t="shared" si="12"/>
        <v>2220</v>
      </c>
    </row>
    <row r="119" spans="1:5">
      <c r="A119">
        <v>118</v>
      </c>
      <c r="B119" s="2">
        <f t="shared" si="11"/>
        <v>19000</v>
      </c>
      <c r="E119" s="2">
        <f t="shared" si="12"/>
        <v>2280</v>
      </c>
    </row>
    <row r="120" spans="1:5">
      <c r="A120">
        <v>119</v>
      </c>
      <c r="B120" s="2">
        <f t="shared" si="11"/>
        <v>19500</v>
      </c>
      <c r="E120" s="2">
        <f t="shared" si="12"/>
        <v>2340</v>
      </c>
    </row>
    <row r="121" s="1" customFormat="1" spans="1:7">
      <c r="A121" s="1">
        <v>120</v>
      </c>
      <c r="B121" s="3">
        <f t="shared" si="11"/>
        <v>20000</v>
      </c>
      <c r="E121" s="3">
        <f t="shared" si="12"/>
        <v>2400</v>
      </c>
      <c r="F121">
        <f>E121*3</f>
        <v>7200</v>
      </c>
      <c r="G121">
        <f>E121</f>
        <v>2400</v>
      </c>
    </row>
    <row r="122" spans="1:5">
      <c r="A122">
        <v>121</v>
      </c>
      <c r="B122" s="2">
        <f t="shared" ref="B122:B162" si="13">B121+750</f>
        <v>20750</v>
      </c>
      <c r="E122" s="2">
        <f t="shared" ref="E122:E161" si="14">E121+100</f>
        <v>2500</v>
      </c>
    </row>
    <row r="123" spans="1:5">
      <c r="A123">
        <v>122</v>
      </c>
      <c r="B123" s="2">
        <f t="shared" si="13"/>
        <v>21500</v>
      </c>
      <c r="E123" s="2">
        <f t="shared" si="14"/>
        <v>2600</v>
      </c>
    </row>
    <row r="124" spans="1:5">
      <c r="A124">
        <v>123</v>
      </c>
      <c r="B124" s="2">
        <f t="shared" si="13"/>
        <v>22250</v>
      </c>
      <c r="E124" s="2">
        <f t="shared" si="14"/>
        <v>2700</v>
      </c>
    </row>
    <row r="125" spans="1:5">
      <c r="A125">
        <v>124</v>
      </c>
      <c r="B125" s="2">
        <f t="shared" si="13"/>
        <v>23000</v>
      </c>
      <c r="E125" s="2">
        <f t="shared" si="14"/>
        <v>2800</v>
      </c>
    </row>
    <row r="126" spans="1:5">
      <c r="A126">
        <v>125</v>
      </c>
      <c r="B126" s="2">
        <f t="shared" si="13"/>
        <v>23750</v>
      </c>
      <c r="E126" s="2">
        <f t="shared" si="14"/>
        <v>2900</v>
      </c>
    </row>
    <row r="127" spans="1:5">
      <c r="A127">
        <v>126</v>
      </c>
      <c r="B127" s="2">
        <f t="shared" si="13"/>
        <v>24500</v>
      </c>
      <c r="E127" s="2">
        <f t="shared" si="14"/>
        <v>3000</v>
      </c>
    </row>
    <row r="128" spans="1:5">
      <c r="A128">
        <v>127</v>
      </c>
      <c r="B128" s="2">
        <f t="shared" si="13"/>
        <v>25250</v>
      </c>
      <c r="E128" s="2">
        <f t="shared" si="14"/>
        <v>3100</v>
      </c>
    </row>
    <row r="129" spans="1:5">
      <c r="A129">
        <v>128</v>
      </c>
      <c r="B129" s="2">
        <f t="shared" si="13"/>
        <v>26000</v>
      </c>
      <c r="E129" s="2">
        <f t="shared" si="14"/>
        <v>3200</v>
      </c>
    </row>
    <row r="130" spans="1:5">
      <c r="A130">
        <v>129</v>
      </c>
      <c r="B130" s="2">
        <f t="shared" si="13"/>
        <v>26750</v>
      </c>
      <c r="E130" s="2">
        <f t="shared" si="14"/>
        <v>3300</v>
      </c>
    </row>
    <row r="131" spans="1:7">
      <c r="A131">
        <v>130</v>
      </c>
      <c r="B131" s="2">
        <f t="shared" si="13"/>
        <v>27500</v>
      </c>
      <c r="E131" s="2">
        <f t="shared" si="14"/>
        <v>3400</v>
      </c>
      <c r="F131">
        <f>E131*3</f>
        <v>10200</v>
      </c>
      <c r="G131">
        <f>E131</f>
        <v>3400</v>
      </c>
    </row>
    <row r="132" spans="1:5">
      <c r="A132">
        <v>131</v>
      </c>
      <c r="B132" s="2">
        <f t="shared" si="13"/>
        <v>28250</v>
      </c>
      <c r="E132" s="2">
        <f t="shared" si="14"/>
        <v>3500</v>
      </c>
    </row>
    <row r="133" spans="1:5">
      <c r="A133">
        <v>132</v>
      </c>
      <c r="B133" s="2">
        <f t="shared" si="13"/>
        <v>29000</v>
      </c>
      <c r="E133" s="2">
        <f t="shared" si="14"/>
        <v>3600</v>
      </c>
    </row>
    <row r="134" spans="1:5">
      <c r="A134">
        <v>133</v>
      </c>
      <c r="B134" s="2">
        <f t="shared" si="13"/>
        <v>29750</v>
      </c>
      <c r="E134" s="2">
        <f t="shared" si="14"/>
        <v>3700</v>
      </c>
    </row>
    <row r="135" spans="1:5">
      <c r="A135">
        <v>134</v>
      </c>
      <c r="B135" s="2">
        <f t="shared" si="13"/>
        <v>30500</v>
      </c>
      <c r="E135" s="2">
        <f t="shared" si="14"/>
        <v>3800</v>
      </c>
    </row>
    <row r="136" spans="1:5">
      <c r="A136">
        <v>135</v>
      </c>
      <c r="B136" s="2">
        <f t="shared" si="13"/>
        <v>31250</v>
      </c>
      <c r="E136" s="2">
        <f t="shared" si="14"/>
        <v>3900</v>
      </c>
    </row>
    <row r="137" spans="1:5">
      <c r="A137">
        <v>136</v>
      </c>
      <c r="B137" s="2">
        <f t="shared" si="13"/>
        <v>32000</v>
      </c>
      <c r="E137" s="2">
        <f t="shared" si="14"/>
        <v>4000</v>
      </c>
    </row>
    <row r="138" spans="1:5">
      <c r="A138">
        <v>137</v>
      </c>
      <c r="B138" s="2">
        <f t="shared" si="13"/>
        <v>32750</v>
      </c>
      <c r="E138" s="2">
        <f t="shared" si="14"/>
        <v>4100</v>
      </c>
    </row>
    <row r="139" spans="1:5">
      <c r="A139">
        <v>138</v>
      </c>
      <c r="B139" s="2">
        <f t="shared" si="13"/>
        <v>33500</v>
      </c>
      <c r="E139" s="2">
        <f t="shared" si="14"/>
        <v>4200</v>
      </c>
    </row>
    <row r="140" spans="1:5">
      <c r="A140">
        <v>139</v>
      </c>
      <c r="B140" s="2">
        <f t="shared" si="13"/>
        <v>34250</v>
      </c>
      <c r="E140" s="2">
        <f t="shared" si="14"/>
        <v>4300</v>
      </c>
    </row>
    <row r="141" spans="1:7">
      <c r="A141">
        <v>140</v>
      </c>
      <c r="B141" s="2">
        <f t="shared" si="13"/>
        <v>35000</v>
      </c>
      <c r="E141" s="2">
        <f t="shared" si="14"/>
        <v>4400</v>
      </c>
      <c r="F141">
        <f>E141*3</f>
        <v>13200</v>
      </c>
      <c r="G141">
        <f>E141</f>
        <v>4400</v>
      </c>
    </row>
    <row r="142" spans="1:5">
      <c r="A142">
        <v>141</v>
      </c>
      <c r="B142" s="2">
        <f t="shared" si="13"/>
        <v>35750</v>
      </c>
      <c r="E142" s="2">
        <f t="shared" si="14"/>
        <v>4500</v>
      </c>
    </row>
    <row r="143" spans="1:5">
      <c r="A143">
        <v>142</v>
      </c>
      <c r="B143" s="2">
        <f t="shared" si="13"/>
        <v>36500</v>
      </c>
      <c r="E143" s="2">
        <f t="shared" si="14"/>
        <v>4600</v>
      </c>
    </row>
    <row r="144" spans="1:5">
      <c r="A144">
        <v>143</v>
      </c>
      <c r="B144" s="2">
        <f t="shared" si="13"/>
        <v>37250</v>
      </c>
      <c r="E144" s="2">
        <f t="shared" si="14"/>
        <v>4700</v>
      </c>
    </row>
    <row r="145" spans="1:5">
      <c r="A145">
        <v>144</v>
      </c>
      <c r="B145" s="2">
        <f t="shared" si="13"/>
        <v>38000</v>
      </c>
      <c r="E145" s="2">
        <f t="shared" si="14"/>
        <v>4800</v>
      </c>
    </row>
    <row r="146" spans="1:5">
      <c r="A146">
        <v>145</v>
      </c>
      <c r="B146" s="2">
        <f t="shared" si="13"/>
        <v>38750</v>
      </c>
      <c r="E146" s="2">
        <f t="shared" si="14"/>
        <v>4900</v>
      </c>
    </row>
    <row r="147" spans="1:5">
      <c r="A147">
        <v>146</v>
      </c>
      <c r="B147" s="2">
        <f t="shared" si="13"/>
        <v>39500</v>
      </c>
      <c r="E147" s="2">
        <f t="shared" si="14"/>
        <v>5000</v>
      </c>
    </row>
    <row r="148" spans="1:5">
      <c r="A148">
        <v>147</v>
      </c>
      <c r="B148" s="2">
        <f t="shared" si="13"/>
        <v>40250</v>
      </c>
      <c r="E148" s="2">
        <f t="shared" si="14"/>
        <v>5100</v>
      </c>
    </row>
    <row r="149" spans="1:5">
      <c r="A149">
        <v>148</v>
      </c>
      <c r="B149" s="2">
        <f t="shared" si="13"/>
        <v>41000</v>
      </c>
      <c r="E149" s="2">
        <f t="shared" si="14"/>
        <v>5200</v>
      </c>
    </row>
    <row r="150" spans="1:5">
      <c r="A150">
        <v>149</v>
      </c>
      <c r="B150" s="2">
        <f t="shared" si="13"/>
        <v>41750</v>
      </c>
      <c r="E150" s="2">
        <f t="shared" si="14"/>
        <v>5300</v>
      </c>
    </row>
    <row r="151" spans="1:7">
      <c r="A151">
        <v>150</v>
      </c>
      <c r="B151" s="2">
        <f t="shared" si="13"/>
        <v>42500</v>
      </c>
      <c r="E151" s="2">
        <f t="shared" si="14"/>
        <v>5400</v>
      </c>
      <c r="F151">
        <f>E151*3</f>
        <v>16200</v>
      </c>
      <c r="G151">
        <f>E151</f>
        <v>5400</v>
      </c>
    </row>
    <row r="152" spans="1:5">
      <c r="A152">
        <v>151</v>
      </c>
      <c r="B152" s="2">
        <f t="shared" si="13"/>
        <v>43250</v>
      </c>
      <c r="E152" s="2">
        <f t="shared" si="14"/>
        <v>5500</v>
      </c>
    </row>
    <row r="153" spans="1:5">
      <c r="A153">
        <v>152</v>
      </c>
      <c r="B153" s="2">
        <f t="shared" si="13"/>
        <v>44000</v>
      </c>
      <c r="E153" s="2">
        <f t="shared" si="14"/>
        <v>5600</v>
      </c>
    </row>
    <row r="154" spans="1:5">
      <c r="A154">
        <v>153</v>
      </c>
      <c r="B154" s="2">
        <f t="shared" si="13"/>
        <v>44750</v>
      </c>
      <c r="E154" s="2">
        <f t="shared" si="14"/>
        <v>5700</v>
      </c>
    </row>
    <row r="155" spans="1:5">
      <c r="A155">
        <v>154</v>
      </c>
      <c r="B155" s="2">
        <f t="shared" si="13"/>
        <v>45500</v>
      </c>
      <c r="E155" s="2">
        <f t="shared" si="14"/>
        <v>5800</v>
      </c>
    </row>
    <row r="156" spans="1:5">
      <c r="A156">
        <v>155</v>
      </c>
      <c r="B156" s="2">
        <f t="shared" si="13"/>
        <v>46250</v>
      </c>
      <c r="E156" s="2">
        <f t="shared" si="14"/>
        <v>5900</v>
      </c>
    </row>
    <row r="157" spans="1:5">
      <c r="A157">
        <v>156</v>
      </c>
      <c r="B157" s="2">
        <f t="shared" si="13"/>
        <v>47000</v>
      </c>
      <c r="E157" s="2">
        <f t="shared" si="14"/>
        <v>6000</v>
      </c>
    </row>
    <row r="158" spans="1:5">
      <c r="A158">
        <v>157</v>
      </c>
      <c r="B158" s="2">
        <f t="shared" si="13"/>
        <v>47750</v>
      </c>
      <c r="E158" s="2">
        <f t="shared" si="14"/>
        <v>6100</v>
      </c>
    </row>
    <row r="159" spans="1:5">
      <c r="A159">
        <v>158</v>
      </c>
      <c r="B159" s="2">
        <f t="shared" si="13"/>
        <v>48500</v>
      </c>
      <c r="E159" s="2">
        <f t="shared" si="14"/>
        <v>6200</v>
      </c>
    </row>
    <row r="160" spans="1:5">
      <c r="A160">
        <v>159</v>
      </c>
      <c r="B160" s="2">
        <f t="shared" si="13"/>
        <v>49250</v>
      </c>
      <c r="E160" s="2">
        <f t="shared" si="14"/>
        <v>6300</v>
      </c>
    </row>
    <row r="161" s="1" customFormat="1" spans="1:7">
      <c r="A161" s="1">
        <v>160</v>
      </c>
      <c r="B161" s="3">
        <f t="shared" si="13"/>
        <v>50000</v>
      </c>
      <c r="E161" s="3">
        <f t="shared" si="14"/>
        <v>6400</v>
      </c>
      <c r="F161">
        <f>E161*3</f>
        <v>19200</v>
      </c>
      <c r="G161">
        <f>E161</f>
        <v>6400</v>
      </c>
    </row>
    <row r="162" spans="1:5">
      <c r="A162">
        <v>161</v>
      </c>
      <c r="B162" s="2">
        <f t="shared" ref="B162:B202" si="15">B161+1250</f>
        <v>51250</v>
      </c>
      <c r="E162" s="2">
        <f t="shared" ref="E162:E201" si="16">E161+150</f>
        <v>6550</v>
      </c>
    </row>
    <row r="163" spans="1:5">
      <c r="A163">
        <v>162</v>
      </c>
      <c r="B163" s="2">
        <f t="shared" si="15"/>
        <v>52500</v>
      </c>
      <c r="E163" s="2">
        <f t="shared" si="16"/>
        <v>6700</v>
      </c>
    </row>
    <row r="164" spans="1:5">
      <c r="A164">
        <v>163</v>
      </c>
      <c r="B164" s="2">
        <f t="shared" si="15"/>
        <v>53750</v>
      </c>
      <c r="E164" s="2">
        <f t="shared" si="16"/>
        <v>6850</v>
      </c>
    </row>
    <row r="165" spans="1:5">
      <c r="A165">
        <v>164</v>
      </c>
      <c r="B165" s="2">
        <f t="shared" si="15"/>
        <v>55000</v>
      </c>
      <c r="E165" s="2">
        <f t="shared" si="16"/>
        <v>7000</v>
      </c>
    </row>
    <row r="166" spans="1:5">
      <c r="A166">
        <v>165</v>
      </c>
      <c r="B166" s="2">
        <f t="shared" si="15"/>
        <v>56250</v>
      </c>
      <c r="E166" s="2">
        <f t="shared" si="16"/>
        <v>7150</v>
      </c>
    </row>
    <row r="167" spans="1:5">
      <c r="A167">
        <v>166</v>
      </c>
      <c r="B167" s="2">
        <f t="shared" si="15"/>
        <v>57500</v>
      </c>
      <c r="E167" s="2">
        <f t="shared" si="16"/>
        <v>7300</v>
      </c>
    </row>
    <row r="168" spans="1:5">
      <c r="A168">
        <v>167</v>
      </c>
      <c r="B168" s="2">
        <f t="shared" si="15"/>
        <v>58750</v>
      </c>
      <c r="E168" s="2">
        <f t="shared" si="16"/>
        <v>7450</v>
      </c>
    </row>
    <row r="169" spans="1:5">
      <c r="A169">
        <v>168</v>
      </c>
      <c r="B169" s="2">
        <f t="shared" si="15"/>
        <v>60000</v>
      </c>
      <c r="E169" s="2">
        <f t="shared" si="16"/>
        <v>7600</v>
      </c>
    </row>
    <row r="170" spans="1:5">
      <c r="A170">
        <v>169</v>
      </c>
      <c r="B170" s="2">
        <f t="shared" si="15"/>
        <v>61250</v>
      </c>
      <c r="E170" s="2">
        <f t="shared" si="16"/>
        <v>7750</v>
      </c>
    </row>
    <row r="171" spans="1:7">
      <c r="A171">
        <v>170</v>
      </c>
      <c r="B171" s="2">
        <f t="shared" si="15"/>
        <v>62500</v>
      </c>
      <c r="E171" s="2">
        <f t="shared" si="16"/>
        <v>7900</v>
      </c>
      <c r="F171">
        <f>E171*3</f>
        <v>23700</v>
      </c>
      <c r="G171">
        <f>E171</f>
        <v>7900</v>
      </c>
    </row>
    <row r="172" spans="1:5">
      <c r="A172">
        <v>171</v>
      </c>
      <c r="B172" s="2">
        <f t="shared" si="15"/>
        <v>63750</v>
      </c>
      <c r="E172" s="2">
        <f t="shared" si="16"/>
        <v>8050</v>
      </c>
    </row>
    <row r="173" spans="1:5">
      <c r="A173">
        <v>172</v>
      </c>
      <c r="B173" s="2">
        <f t="shared" si="15"/>
        <v>65000</v>
      </c>
      <c r="E173" s="2">
        <f t="shared" si="16"/>
        <v>8200</v>
      </c>
    </row>
    <row r="174" spans="1:5">
      <c r="A174">
        <v>173</v>
      </c>
      <c r="B174" s="2">
        <f t="shared" si="15"/>
        <v>66250</v>
      </c>
      <c r="E174" s="2">
        <f t="shared" si="16"/>
        <v>8350</v>
      </c>
    </row>
    <row r="175" spans="1:5">
      <c r="A175">
        <v>174</v>
      </c>
      <c r="B175" s="2">
        <f t="shared" si="15"/>
        <v>67500</v>
      </c>
      <c r="E175" s="2">
        <f t="shared" si="16"/>
        <v>8500</v>
      </c>
    </row>
    <row r="176" spans="1:5">
      <c r="A176">
        <v>175</v>
      </c>
      <c r="B176" s="2">
        <f t="shared" si="15"/>
        <v>68750</v>
      </c>
      <c r="E176" s="2">
        <f t="shared" si="16"/>
        <v>8650</v>
      </c>
    </row>
    <row r="177" spans="1:5">
      <c r="A177">
        <v>176</v>
      </c>
      <c r="B177" s="2">
        <f t="shared" si="15"/>
        <v>70000</v>
      </c>
      <c r="E177" s="2">
        <f t="shared" si="16"/>
        <v>8800</v>
      </c>
    </row>
    <row r="178" spans="1:5">
      <c r="A178">
        <v>177</v>
      </c>
      <c r="B178" s="2">
        <f t="shared" si="15"/>
        <v>71250</v>
      </c>
      <c r="E178" s="2">
        <f t="shared" si="16"/>
        <v>8950</v>
      </c>
    </row>
    <row r="179" spans="1:5">
      <c r="A179">
        <v>178</v>
      </c>
      <c r="B179" s="2">
        <f t="shared" si="15"/>
        <v>72500</v>
      </c>
      <c r="E179" s="2">
        <f t="shared" si="16"/>
        <v>9100</v>
      </c>
    </row>
    <row r="180" spans="1:5">
      <c r="A180">
        <v>179</v>
      </c>
      <c r="B180" s="2">
        <f t="shared" si="15"/>
        <v>73750</v>
      </c>
      <c r="E180" s="2">
        <f t="shared" si="16"/>
        <v>9250</v>
      </c>
    </row>
    <row r="181" spans="1:7">
      <c r="A181">
        <v>180</v>
      </c>
      <c r="B181" s="2">
        <f t="shared" si="15"/>
        <v>75000</v>
      </c>
      <c r="E181" s="2">
        <f t="shared" si="16"/>
        <v>9400</v>
      </c>
      <c r="F181">
        <f>E181*3</f>
        <v>28200</v>
      </c>
      <c r="G181">
        <f>E181</f>
        <v>9400</v>
      </c>
    </row>
    <row r="182" spans="1:5">
      <c r="A182">
        <v>181</v>
      </c>
      <c r="B182" s="2">
        <f t="shared" si="15"/>
        <v>76250</v>
      </c>
      <c r="E182" s="2">
        <f t="shared" si="16"/>
        <v>9550</v>
      </c>
    </row>
    <row r="183" spans="1:5">
      <c r="A183">
        <v>182</v>
      </c>
      <c r="B183" s="2">
        <f t="shared" si="15"/>
        <v>77500</v>
      </c>
      <c r="E183" s="2">
        <f t="shared" si="16"/>
        <v>9700</v>
      </c>
    </row>
    <row r="184" spans="1:5">
      <c r="A184">
        <v>183</v>
      </c>
      <c r="B184" s="2">
        <f t="shared" si="15"/>
        <v>78750</v>
      </c>
      <c r="E184" s="2">
        <f t="shared" si="16"/>
        <v>9850</v>
      </c>
    </row>
    <row r="185" spans="1:5">
      <c r="A185">
        <v>184</v>
      </c>
      <c r="B185" s="2">
        <f t="shared" si="15"/>
        <v>80000</v>
      </c>
      <c r="E185" s="2">
        <f t="shared" si="16"/>
        <v>10000</v>
      </c>
    </row>
    <row r="186" spans="1:5">
      <c r="A186">
        <v>185</v>
      </c>
      <c r="B186" s="2">
        <f t="shared" si="15"/>
        <v>81250</v>
      </c>
      <c r="E186" s="2">
        <f t="shared" si="16"/>
        <v>10150</v>
      </c>
    </row>
    <row r="187" spans="1:5">
      <c r="A187">
        <v>186</v>
      </c>
      <c r="B187" s="2">
        <f t="shared" si="15"/>
        <v>82500</v>
      </c>
      <c r="E187" s="2">
        <f t="shared" si="16"/>
        <v>10300</v>
      </c>
    </row>
    <row r="188" spans="1:5">
      <c r="A188">
        <v>187</v>
      </c>
      <c r="B188" s="2">
        <f t="shared" si="15"/>
        <v>83750</v>
      </c>
      <c r="E188" s="2">
        <f t="shared" si="16"/>
        <v>10450</v>
      </c>
    </row>
    <row r="189" spans="1:5">
      <c r="A189">
        <v>188</v>
      </c>
      <c r="B189" s="2">
        <f t="shared" si="15"/>
        <v>85000</v>
      </c>
      <c r="E189" s="2">
        <f t="shared" si="16"/>
        <v>10600</v>
      </c>
    </row>
    <row r="190" spans="1:5">
      <c r="A190">
        <v>189</v>
      </c>
      <c r="B190" s="2">
        <f t="shared" si="15"/>
        <v>86250</v>
      </c>
      <c r="E190" s="2">
        <f t="shared" si="16"/>
        <v>10750</v>
      </c>
    </row>
    <row r="191" spans="1:7">
      <c r="A191">
        <v>190</v>
      </c>
      <c r="B191" s="2">
        <f t="shared" si="15"/>
        <v>87500</v>
      </c>
      <c r="E191" s="2">
        <f t="shared" si="16"/>
        <v>10900</v>
      </c>
      <c r="F191">
        <f>E191*3</f>
        <v>32700</v>
      </c>
      <c r="G191">
        <f>E191</f>
        <v>10900</v>
      </c>
    </row>
    <row r="192" spans="1:5">
      <c r="A192">
        <v>191</v>
      </c>
      <c r="B192" s="2">
        <f t="shared" si="15"/>
        <v>88750</v>
      </c>
      <c r="E192" s="2">
        <f t="shared" si="16"/>
        <v>11050</v>
      </c>
    </row>
    <row r="193" spans="1:5">
      <c r="A193">
        <v>192</v>
      </c>
      <c r="B193" s="2">
        <f t="shared" si="15"/>
        <v>90000</v>
      </c>
      <c r="E193" s="2">
        <f t="shared" si="16"/>
        <v>11200</v>
      </c>
    </row>
    <row r="194" spans="1:5">
      <c r="A194">
        <v>193</v>
      </c>
      <c r="B194" s="2">
        <f t="shared" si="15"/>
        <v>91250</v>
      </c>
      <c r="E194" s="2">
        <f t="shared" si="16"/>
        <v>11350</v>
      </c>
    </row>
    <row r="195" spans="1:5">
      <c r="A195">
        <v>194</v>
      </c>
      <c r="B195" s="2">
        <f t="shared" si="15"/>
        <v>92500</v>
      </c>
      <c r="E195" s="2">
        <f t="shared" si="16"/>
        <v>11500</v>
      </c>
    </row>
    <row r="196" spans="1:5">
      <c r="A196">
        <v>195</v>
      </c>
      <c r="B196" s="2">
        <f t="shared" si="15"/>
        <v>93750</v>
      </c>
      <c r="E196" s="2">
        <f t="shared" si="16"/>
        <v>11650</v>
      </c>
    </row>
    <row r="197" spans="1:5">
      <c r="A197">
        <v>196</v>
      </c>
      <c r="B197" s="2">
        <f t="shared" si="15"/>
        <v>95000</v>
      </c>
      <c r="E197" s="2">
        <f t="shared" si="16"/>
        <v>11800</v>
      </c>
    </row>
    <row r="198" spans="1:5">
      <c r="A198">
        <v>197</v>
      </c>
      <c r="B198" s="2">
        <f t="shared" si="15"/>
        <v>96250</v>
      </c>
      <c r="E198" s="2">
        <f t="shared" si="16"/>
        <v>11950</v>
      </c>
    </row>
    <row r="199" spans="1:5">
      <c r="A199">
        <v>198</v>
      </c>
      <c r="B199" s="2">
        <f t="shared" si="15"/>
        <v>97500</v>
      </c>
      <c r="E199" s="2">
        <f t="shared" si="16"/>
        <v>12100</v>
      </c>
    </row>
    <row r="200" spans="1:5">
      <c r="A200">
        <v>199</v>
      </c>
      <c r="B200" s="2">
        <f t="shared" si="15"/>
        <v>98750</v>
      </c>
      <c r="E200" s="2">
        <f t="shared" si="16"/>
        <v>12250</v>
      </c>
    </row>
    <row r="201" s="1" customFormat="1" spans="1:7">
      <c r="A201" s="1">
        <v>200</v>
      </c>
      <c r="B201" s="3">
        <f t="shared" si="15"/>
        <v>100000</v>
      </c>
      <c r="E201" s="2">
        <f t="shared" si="16"/>
        <v>12400</v>
      </c>
      <c r="F201">
        <f>E201*3</f>
        <v>37200</v>
      </c>
      <c r="G201">
        <f>E201</f>
        <v>12400</v>
      </c>
    </row>
    <row r="202" spans="1:5">
      <c r="A202">
        <v>201</v>
      </c>
      <c r="B202" s="2">
        <f t="shared" ref="B202:B252" si="17">B201+4000</f>
        <v>104000</v>
      </c>
      <c r="E202" s="2">
        <f t="shared" ref="E202:E251" si="18">E201+300</f>
        <v>12700</v>
      </c>
    </row>
    <row r="203" spans="1:5">
      <c r="A203">
        <v>202</v>
      </c>
      <c r="B203" s="2">
        <f t="shared" si="17"/>
        <v>108000</v>
      </c>
      <c r="E203" s="2">
        <f t="shared" si="18"/>
        <v>13000</v>
      </c>
    </row>
    <row r="204" spans="1:5">
      <c r="A204">
        <v>203</v>
      </c>
      <c r="B204" s="2">
        <f t="shared" si="17"/>
        <v>112000</v>
      </c>
      <c r="E204" s="2">
        <f t="shared" si="18"/>
        <v>13300</v>
      </c>
    </row>
    <row r="205" spans="1:5">
      <c r="A205">
        <v>204</v>
      </c>
      <c r="B205" s="2">
        <f t="shared" si="17"/>
        <v>116000</v>
      </c>
      <c r="E205" s="2">
        <f t="shared" si="18"/>
        <v>13600</v>
      </c>
    </row>
    <row r="206" spans="1:5">
      <c r="A206">
        <v>205</v>
      </c>
      <c r="B206" s="2">
        <f t="shared" si="17"/>
        <v>120000</v>
      </c>
      <c r="E206" s="2">
        <f t="shared" si="18"/>
        <v>13900</v>
      </c>
    </row>
    <row r="207" spans="1:5">
      <c r="A207">
        <v>206</v>
      </c>
      <c r="B207" s="2">
        <f t="shared" si="17"/>
        <v>124000</v>
      </c>
      <c r="E207" s="2">
        <f t="shared" si="18"/>
        <v>14200</v>
      </c>
    </row>
    <row r="208" spans="1:5">
      <c r="A208">
        <v>207</v>
      </c>
      <c r="B208" s="2">
        <f t="shared" si="17"/>
        <v>128000</v>
      </c>
      <c r="E208" s="2">
        <f t="shared" si="18"/>
        <v>14500</v>
      </c>
    </row>
    <row r="209" spans="1:5">
      <c r="A209">
        <v>208</v>
      </c>
      <c r="B209" s="2">
        <f t="shared" si="17"/>
        <v>132000</v>
      </c>
      <c r="E209" s="2">
        <f t="shared" si="18"/>
        <v>14800</v>
      </c>
    </row>
    <row r="210" spans="1:5">
      <c r="A210">
        <v>209</v>
      </c>
      <c r="B210" s="2">
        <f t="shared" si="17"/>
        <v>136000</v>
      </c>
      <c r="E210" s="2">
        <f t="shared" si="18"/>
        <v>15100</v>
      </c>
    </row>
    <row r="211" spans="1:7">
      <c r="A211">
        <v>210</v>
      </c>
      <c r="B211" s="2">
        <f t="shared" si="17"/>
        <v>140000</v>
      </c>
      <c r="E211" s="2">
        <f t="shared" si="18"/>
        <v>15400</v>
      </c>
      <c r="F211">
        <f>E211*3</f>
        <v>46200</v>
      </c>
      <c r="G211">
        <f>E211</f>
        <v>15400</v>
      </c>
    </row>
    <row r="212" spans="1:5">
      <c r="A212">
        <v>211</v>
      </c>
      <c r="B212" s="2">
        <f t="shared" si="17"/>
        <v>144000</v>
      </c>
      <c r="E212" s="2">
        <f t="shared" si="18"/>
        <v>15700</v>
      </c>
    </row>
    <row r="213" spans="1:5">
      <c r="A213">
        <v>212</v>
      </c>
      <c r="B213" s="2">
        <f t="shared" si="17"/>
        <v>148000</v>
      </c>
      <c r="E213" s="2">
        <f t="shared" si="18"/>
        <v>16000</v>
      </c>
    </row>
    <row r="214" spans="1:5">
      <c r="A214">
        <v>213</v>
      </c>
      <c r="B214" s="2">
        <f t="shared" si="17"/>
        <v>152000</v>
      </c>
      <c r="E214" s="2">
        <f t="shared" si="18"/>
        <v>16300</v>
      </c>
    </row>
    <row r="215" spans="1:5">
      <c r="A215">
        <v>214</v>
      </c>
      <c r="B215" s="2">
        <f t="shared" si="17"/>
        <v>156000</v>
      </c>
      <c r="E215" s="2">
        <f t="shared" si="18"/>
        <v>16600</v>
      </c>
    </row>
    <row r="216" spans="1:5">
      <c r="A216">
        <v>215</v>
      </c>
      <c r="B216" s="2">
        <f t="shared" si="17"/>
        <v>160000</v>
      </c>
      <c r="E216" s="2">
        <f t="shared" si="18"/>
        <v>16900</v>
      </c>
    </row>
    <row r="217" spans="1:5">
      <c r="A217">
        <v>216</v>
      </c>
      <c r="B217" s="2">
        <f t="shared" si="17"/>
        <v>164000</v>
      </c>
      <c r="E217" s="2">
        <f t="shared" si="18"/>
        <v>17200</v>
      </c>
    </row>
    <row r="218" spans="1:5">
      <c r="A218">
        <v>217</v>
      </c>
      <c r="B218" s="2">
        <f t="shared" si="17"/>
        <v>168000</v>
      </c>
      <c r="E218" s="2">
        <f t="shared" si="18"/>
        <v>17500</v>
      </c>
    </row>
    <row r="219" spans="1:5">
      <c r="A219">
        <v>218</v>
      </c>
      <c r="B219" s="2">
        <f t="shared" si="17"/>
        <v>172000</v>
      </c>
      <c r="E219" s="2">
        <f t="shared" si="18"/>
        <v>17800</v>
      </c>
    </row>
    <row r="220" spans="1:5">
      <c r="A220">
        <v>219</v>
      </c>
      <c r="B220" s="2">
        <f t="shared" si="17"/>
        <v>176000</v>
      </c>
      <c r="E220" s="2">
        <f t="shared" si="18"/>
        <v>18100</v>
      </c>
    </row>
    <row r="221" spans="1:7">
      <c r="A221">
        <v>220</v>
      </c>
      <c r="B221" s="2">
        <f t="shared" si="17"/>
        <v>180000</v>
      </c>
      <c r="E221" s="2">
        <f t="shared" si="18"/>
        <v>18400</v>
      </c>
      <c r="F221">
        <f>E221*3</f>
        <v>55200</v>
      </c>
      <c r="G221">
        <f>E221</f>
        <v>18400</v>
      </c>
    </row>
    <row r="222" spans="1:5">
      <c r="A222">
        <v>221</v>
      </c>
      <c r="B222" s="2">
        <f t="shared" si="17"/>
        <v>184000</v>
      </c>
      <c r="E222" s="2">
        <f t="shared" si="18"/>
        <v>18700</v>
      </c>
    </row>
    <row r="223" spans="1:5">
      <c r="A223">
        <v>222</v>
      </c>
      <c r="B223" s="2">
        <f t="shared" si="17"/>
        <v>188000</v>
      </c>
      <c r="E223" s="2">
        <f t="shared" si="18"/>
        <v>19000</v>
      </c>
    </row>
    <row r="224" spans="1:5">
      <c r="A224">
        <v>223</v>
      </c>
      <c r="B224" s="2">
        <f t="shared" si="17"/>
        <v>192000</v>
      </c>
      <c r="E224" s="2">
        <f t="shared" si="18"/>
        <v>19300</v>
      </c>
    </row>
    <row r="225" spans="1:5">
      <c r="A225">
        <v>224</v>
      </c>
      <c r="B225" s="2">
        <f t="shared" si="17"/>
        <v>196000</v>
      </c>
      <c r="E225" s="2">
        <f t="shared" si="18"/>
        <v>19600</v>
      </c>
    </row>
    <row r="226" spans="1:5">
      <c r="A226">
        <v>225</v>
      </c>
      <c r="B226" s="2">
        <f t="shared" si="17"/>
        <v>200000</v>
      </c>
      <c r="E226" s="2">
        <f t="shared" si="18"/>
        <v>19900</v>
      </c>
    </row>
    <row r="227" spans="1:5">
      <c r="A227">
        <v>226</v>
      </c>
      <c r="B227" s="2">
        <f t="shared" si="17"/>
        <v>204000</v>
      </c>
      <c r="E227" s="2">
        <f t="shared" si="18"/>
        <v>20200</v>
      </c>
    </row>
    <row r="228" spans="1:5">
      <c r="A228">
        <v>227</v>
      </c>
      <c r="B228" s="2">
        <f t="shared" si="17"/>
        <v>208000</v>
      </c>
      <c r="E228" s="2">
        <f t="shared" si="18"/>
        <v>20500</v>
      </c>
    </row>
    <row r="229" spans="1:5">
      <c r="A229">
        <v>228</v>
      </c>
      <c r="B229" s="2">
        <f t="shared" si="17"/>
        <v>212000</v>
      </c>
      <c r="E229" s="2">
        <f t="shared" si="18"/>
        <v>20800</v>
      </c>
    </row>
    <row r="230" spans="1:5">
      <c r="A230">
        <v>229</v>
      </c>
      <c r="B230" s="2">
        <f t="shared" si="17"/>
        <v>216000</v>
      </c>
      <c r="E230" s="2">
        <f t="shared" si="18"/>
        <v>21100</v>
      </c>
    </row>
    <row r="231" spans="1:7">
      <c r="A231">
        <v>230</v>
      </c>
      <c r="B231" s="2">
        <f t="shared" si="17"/>
        <v>220000</v>
      </c>
      <c r="E231" s="2">
        <f t="shared" si="18"/>
        <v>21400</v>
      </c>
      <c r="F231">
        <f>E231*3</f>
        <v>64200</v>
      </c>
      <c r="G231">
        <f>E231</f>
        <v>21400</v>
      </c>
    </row>
    <row r="232" spans="1:5">
      <c r="A232">
        <v>231</v>
      </c>
      <c r="B232" s="2">
        <f t="shared" si="17"/>
        <v>224000</v>
      </c>
      <c r="E232" s="2">
        <f t="shared" si="18"/>
        <v>21700</v>
      </c>
    </row>
    <row r="233" spans="1:5">
      <c r="A233">
        <v>232</v>
      </c>
      <c r="B233" s="2">
        <f t="shared" si="17"/>
        <v>228000</v>
      </c>
      <c r="E233" s="2">
        <f t="shared" si="18"/>
        <v>22000</v>
      </c>
    </row>
    <row r="234" spans="1:5">
      <c r="A234">
        <v>233</v>
      </c>
      <c r="B234" s="2">
        <f t="shared" si="17"/>
        <v>232000</v>
      </c>
      <c r="E234" s="2">
        <f t="shared" si="18"/>
        <v>22300</v>
      </c>
    </row>
    <row r="235" spans="1:5">
      <c r="A235">
        <v>234</v>
      </c>
      <c r="B235" s="2">
        <f t="shared" si="17"/>
        <v>236000</v>
      </c>
      <c r="E235" s="2">
        <f t="shared" si="18"/>
        <v>22600</v>
      </c>
    </row>
    <row r="236" spans="1:5">
      <c r="A236">
        <v>235</v>
      </c>
      <c r="B236" s="2">
        <f t="shared" si="17"/>
        <v>240000</v>
      </c>
      <c r="E236" s="2">
        <f t="shared" si="18"/>
        <v>22900</v>
      </c>
    </row>
    <row r="237" spans="1:5">
      <c r="A237">
        <v>236</v>
      </c>
      <c r="B237" s="2">
        <f t="shared" si="17"/>
        <v>244000</v>
      </c>
      <c r="E237" s="2">
        <f t="shared" si="18"/>
        <v>23200</v>
      </c>
    </row>
    <row r="238" spans="1:5">
      <c r="A238">
        <v>237</v>
      </c>
      <c r="B238" s="2">
        <f t="shared" si="17"/>
        <v>248000</v>
      </c>
      <c r="E238" s="2">
        <f t="shared" si="18"/>
        <v>23500</v>
      </c>
    </row>
    <row r="239" spans="1:5">
      <c r="A239">
        <v>238</v>
      </c>
      <c r="B239" s="2">
        <f t="shared" si="17"/>
        <v>252000</v>
      </c>
      <c r="E239" s="2">
        <f t="shared" si="18"/>
        <v>23800</v>
      </c>
    </row>
    <row r="240" spans="1:5">
      <c r="A240">
        <v>239</v>
      </c>
      <c r="B240" s="2">
        <f t="shared" si="17"/>
        <v>256000</v>
      </c>
      <c r="E240" s="2">
        <f t="shared" si="18"/>
        <v>24100</v>
      </c>
    </row>
    <row r="241" spans="1:7">
      <c r="A241">
        <v>240</v>
      </c>
      <c r="B241" s="2">
        <f t="shared" si="17"/>
        <v>260000</v>
      </c>
      <c r="E241" s="2">
        <f t="shared" si="18"/>
        <v>24400</v>
      </c>
      <c r="F241">
        <f>E241*3</f>
        <v>73200</v>
      </c>
      <c r="G241">
        <f>E241</f>
        <v>24400</v>
      </c>
    </row>
    <row r="242" spans="1:5">
      <c r="A242">
        <v>241</v>
      </c>
      <c r="B242" s="2">
        <f t="shared" si="17"/>
        <v>264000</v>
      </c>
      <c r="E242" s="2">
        <f t="shared" si="18"/>
        <v>24700</v>
      </c>
    </row>
    <row r="243" spans="1:5">
      <c r="A243">
        <v>242</v>
      </c>
      <c r="B243" s="2">
        <f t="shared" si="17"/>
        <v>268000</v>
      </c>
      <c r="E243" s="2">
        <f t="shared" si="18"/>
        <v>25000</v>
      </c>
    </row>
    <row r="244" spans="1:5">
      <c r="A244">
        <v>243</v>
      </c>
      <c r="B244" s="2">
        <f t="shared" si="17"/>
        <v>272000</v>
      </c>
      <c r="E244" s="2">
        <f t="shared" si="18"/>
        <v>25300</v>
      </c>
    </row>
    <row r="245" spans="1:5">
      <c r="A245">
        <v>244</v>
      </c>
      <c r="B245" s="2">
        <f t="shared" si="17"/>
        <v>276000</v>
      </c>
      <c r="E245" s="2">
        <f t="shared" si="18"/>
        <v>25600</v>
      </c>
    </row>
    <row r="246" spans="1:5">
      <c r="A246">
        <v>245</v>
      </c>
      <c r="B246" s="2">
        <f t="shared" si="17"/>
        <v>280000</v>
      </c>
      <c r="E246" s="2">
        <f t="shared" si="18"/>
        <v>25900</v>
      </c>
    </row>
    <row r="247" spans="1:5">
      <c r="A247">
        <v>246</v>
      </c>
      <c r="B247" s="2">
        <f t="shared" si="17"/>
        <v>284000</v>
      </c>
      <c r="E247" s="2">
        <f t="shared" si="18"/>
        <v>26200</v>
      </c>
    </row>
    <row r="248" spans="1:5">
      <c r="A248">
        <v>247</v>
      </c>
      <c r="B248" s="2">
        <f t="shared" si="17"/>
        <v>288000</v>
      </c>
      <c r="E248" s="2">
        <f t="shared" si="18"/>
        <v>26500</v>
      </c>
    </row>
    <row r="249" spans="1:5">
      <c r="A249">
        <v>248</v>
      </c>
      <c r="B249" s="2">
        <f t="shared" si="17"/>
        <v>292000</v>
      </c>
      <c r="E249" s="2">
        <f t="shared" si="18"/>
        <v>26800</v>
      </c>
    </row>
    <row r="250" spans="1:5">
      <c r="A250">
        <v>249</v>
      </c>
      <c r="B250" s="2">
        <f t="shared" si="17"/>
        <v>296000</v>
      </c>
      <c r="E250" s="2">
        <f t="shared" si="18"/>
        <v>27100</v>
      </c>
    </row>
    <row r="251" s="1" customFormat="1" spans="1:7">
      <c r="A251" s="1">
        <v>250</v>
      </c>
      <c r="B251" s="3">
        <f t="shared" si="17"/>
        <v>300000</v>
      </c>
      <c r="E251" s="3">
        <f t="shared" si="18"/>
        <v>27400</v>
      </c>
      <c r="F251">
        <f>E251*3</f>
        <v>82200</v>
      </c>
      <c r="G251">
        <f>E251</f>
        <v>27400</v>
      </c>
    </row>
    <row r="252" spans="1:5">
      <c r="A252">
        <v>251</v>
      </c>
      <c r="B252" s="2">
        <f t="shared" ref="B252:B302" si="19">B251+6000</f>
        <v>306000</v>
      </c>
      <c r="E252" s="2">
        <f t="shared" ref="E252:E301" si="20">E251+600</f>
        <v>28000</v>
      </c>
    </row>
    <row r="253" spans="1:5">
      <c r="A253">
        <v>252</v>
      </c>
      <c r="B253" s="2">
        <f t="shared" si="19"/>
        <v>312000</v>
      </c>
      <c r="E253" s="2">
        <f t="shared" si="20"/>
        <v>28600</v>
      </c>
    </row>
    <row r="254" spans="1:5">
      <c r="A254">
        <v>253</v>
      </c>
      <c r="B254" s="2">
        <f t="shared" si="19"/>
        <v>318000</v>
      </c>
      <c r="E254" s="2">
        <f t="shared" si="20"/>
        <v>29200</v>
      </c>
    </row>
    <row r="255" spans="1:5">
      <c r="A255">
        <v>254</v>
      </c>
      <c r="B255" s="2">
        <f t="shared" si="19"/>
        <v>324000</v>
      </c>
      <c r="E255" s="2">
        <f t="shared" si="20"/>
        <v>29800</v>
      </c>
    </row>
    <row r="256" spans="1:5">
      <c r="A256">
        <v>255</v>
      </c>
      <c r="B256" s="2">
        <f t="shared" si="19"/>
        <v>330000</v>
      </c>
      <c r="E256" s="2">
        <f t="shared" si="20"/>
        <v>30400</v>
      </c>
    </row>
    <row r="257" spans="1:5">
      <c r="A257">
        <v>256</v>
      </c>
      <c r="B257" s="2">
        <f t="shared" si="19"/>
        <v>336000</v>
      </c>
      <c r="E257" s="2">
        <f t="shared" si="20"/>
        <v>31000</v>
      </c>
    </row>
    <row r="258" spans="1:5">
      <c r="A258">
        <v>257</v>
      </c>
      <c r="B258" s="2">
        <f t="shared" si="19"/>
        <v>342000</v>
      </c>
      <c r="E258" s="2">
        <f t="shared" si="20"/>
        <v>31600</v>
      </c>
    </row>
    <row r="259" spans="1:5">
      <c r="A259">
        <v>258</v>
      </c>
      <c r="B259" s="2">
        <f t="shared" si="19"/>
        <v>348000</v>
      </c>
      <c r="E259" s="2">
        <f t="shared" si="20"/>
        <v>32200</v>
      </c>
    </row>
    <row r="260" spans="1:5">
      <c r="A260">
        <v>259</v>
      </c>
      <c r="B260" s="2">
        <f t="shared" si="19"/>
        <v>354000</v>
      </c>
      <c r="E260" s="2">
        <f t="shared" si="20"/>
        <v>32800</v>
      </c>
    </row>
    <row r="261" spans="1:7">
      <c r="A261">
        <v>260</v>
      </c>
      <c r="B261" s="2">
        <f t="shared" si="19"/>
        <v>360000</v>
      </c>
      <c r="E261" s="2">
        <f t="shared" si="20"/>
        <v>33400</v>
      </c>
      <c r="F261">
        <f>E261*3</f>
        <v>100200</v>
      </c>
      <c r="G261">
        <f>E261</f>
        <v>33400</v>
      </c>
    </row>
    <row r="262" spans="1:5">
      <c r="A262">
        <v>261</v>
      </c>
      <c r="B262" s="2">
        <f t="shared" si="19"/>
        <v>366000</v>
      </c>
      <c r="E262" s="2">
        <f t="shared" si="20"/>
        <v>34000</v>
      </c>
    </row>
    <row r="263" spans="1:5">
      <c r="A263">
        <v>262</v>
      </c>
      <c r="B263" s="2">
        <f t="shared" si="19"/>
        <v>372000</v>
      </c>
      <c r="E263" s="2">
        <f t="shared" si="20"/>
        <v>34600</v>
      </c>
    </row>
    <row r="264" spans="1:5">
      <c r="A264">
        <v>263</v>
      </c>
      <c r="B264" s="2">
        <f t="shared" si="19"/>
        <v>378000</v>
      </c>
      <c r="E264" s="2">
        <f t="shared" si="20"/>
        <v>35200</v>
      </c>
    </row>
    <row r="265" spans="1:5">
      <c r="A265">
        <v>264</v>
      </c>
      <c r="B265" s="2">
        <f t="shared" si="19"/>
        <v>384000</v>
      </c>
      <c r="E265" s="2">
        <f t="shared" si="20"/>
        <v>35800</v>
      </c>
    </row>
    <row r="266" spans="1:5">
      <c r="A266">
        <v>265</v>
      </c>
      <c r="B266" s="2">
        <f t="shared" si="19"/>
        <v>390000</v>
      </c>
      <c r="E266" s="2">
        <f t="shared" si="20"/>
        <v>36400</v>
      </c>
    </row>
    <row r="267" spans="1:5">
      <c r="A267">
        <v>266</v>
      </c>
      <c r="B267" s="2">
        <f t="shared" si="19"/>
        <v>396000</v>
      </c>
      <c r="E267" s="2">
        <f t="shared" si="20"/>
        <v>37000</v>
      </c>
    </row>
    <row r="268" spans="1:5">
      <c r="A268">
        <v>267</v>
      </c>
      <c r="B268" s="2">
        <f t="shared" si="19"/>
        <v>402000</v>
      </c>
      <c r="E268" s="2">
        <f t="shared" si="20"/>
        <v>37600</v>
      </c>
    </row>
    <row r="269" spans="1:5">
      <c r="A269">
        <v>268</v>
      </c>
      <c r="B269" s="2">
        <f t="shared" si="19"/>
        <v>408000</v>
      </c>
      <c r="E269" s="2">
        <f t="shared" si="20"/>
        <v>38200</v>
      </c>
    </row>
    <row r="270" spans="1:5">
      <c r="A270">
        <v>269</v>
      </c>
      <c r="B270" s="2">
        <f t="shared" si="19"/>
        <v>414000</v>
      </c>
      <c r="E270" s="2">
        <f t="shared" si="20"/>
        <v>38800</v>
      </c>
    </row>
    <row r="271" spans="1:7">
      <c r="A271">
        <v>270</v>
      </c>
      <c r="B271" s="2">
        <f t="shared" si="19"/>
        <v>420000</v>
      </c>
      <c r="E271" s="2">
        <f t="shared" si="20"/>
        <v>39400</v>
      </c>
      <c r="F271">
        <f>E271*3</f>
        <v>118200</v>
      </c>
      <c r="G271">
        <f>E271</f>
        <v>39400</v>
      </c>
    </row>
    <row r="272" spans="1:5">
      <c r="A272">
        <v>271</v>
      </c>
      <c r="B272" s="2">
        <f t="shared" si="19"/>
        <v>426000</v>
      </c>
      <c r="E272" s="2">
        <f t="shared" si="20"/>
        <v>40000</v>
      </c>
    </row>
    <row r="273" spans="1:5">
      <c r="A273">
        <v>272</v>
      </c>
      <c r="B273" s="2">
        <f t="shared" si="19"/>
        <v>432000</v>
      </c>
      <c r="E273" s="2">
        <f t="shared" si="20"/>
        <v>40600</v>
      </c>
    </row>
    <row r="274" spans="1:5">
      <c r="A274">
        <v>273</v>
      </c>
      <c r="B274" s="2">
        <f t="shared" si="19"/>
        <v>438000</v>
      </c>
      <c r="E274" s="2">
        <f t="shared" si="20"/>
        <v>41200</v>
      </c>
    </row>
    <row r="275" spans="1:5">
      <c r="A275">
        <v>274</v>
      </c>
      <c r="B275" s="2">
        <f t="shared" si="19"/>
        <v>444000</v>
      </c>
      <c r="E275" s="2">
        <f t="shared" si="20"/>
        <v>41800</v>
      </c>
    </row>
    <row r="276" spans="1:5">
      <c r="A276">
        <v>275</v>
      </c>
      <c r="B276" s="2">
        <f t="shared" si="19"/>
        <v>450000</v>
      </c>
      <c r="E276" s="2">
        <f t="shared" si="20"/>
        <v>42400</v>
      </c>
    </row>
    <row r="277" spans="1:5">
      <c r="A277">
        <v>276</v>
      </c>
      <c r="B277" s="2">
        <f t="shared" si="19"/>
        <v>456000</v>
      </c>
      <c r="E277" s="2">
        <f t="shared" si="20"/>
        <v>43000</v>
      </c>
    </row>
    <row r="278" spans="1:5">
      <c r="A278">
        <v>277</v>
      </c>
      <c r="B278" s="2">
        <f t="shared" si="19"/>
        <v>462000</v>
      </c>
      <c r="E278" s="2">
        <f t="shared" si="20"/>
        <v>43600</v>
      </c>
    </row>
    <row r="279" spans="1:5">
      <c r="A279">
        <v>278</v>
      </c>
      <c r="B279" s="2">
        <f t="shared" si="19"/>
        <v>468000</v>
      </c>
      <c r="E279" s="2">
        <f t="shared" si="20"/>
        <v>44200</v>
      </c>
    </row>
    <row r="280" spans="1:5">
      <c r="A280">
        <v>279</v>
      </c>
      <c r="B280" s="2">
        <f t="shared" si="19"/>
        <v>474000</v>
      </c>
      <c r="E280" s="2">
        <f t="shared" si="20"/>
        <v>44800</v>
      </c>
    </row>
    <row r="281" spans="1:7">
      <c r="A281">
        <v>280</v>
      </c>
      <c r="B281" s="2">
        <f t="shared" si="19"/>
        <v>480000</v>
      </c>
      <c r="E281" s="2">
        <f t="shared" si="20"/>
        <v>45400</v>
      </c>
      <c r="F281">
        <f>E281*3</f>
        <v>136200</v>
      </c>
      <c r="G281">
        <f>E281</f>
        <v>45400</v>
      </c>
    </row>
    <row r="282" spans="1:5">
      <c r="A282">
        <v>281</v>
      </c>
      <c r="B282" s="2">
        <f t="shared" si="19"/>
        <v>486000</v>
      </c>
      <c r="E282" s="2">
        <f t="shared" si="20"/>
        <v>46000</v>
      </c>
    </row>
    <row r="283" spans="1:5">
      <c r="A283">
        <v>282</v>
      </c>
      <c r="B283" s="2">
        <f t="shared" si="19"/>
        <v>492000</v>
      </c>
      <c r="E283" s="2">
        <f t="shared" si="20"/>
        <v>46600</v>
      </c>
    </row>
    <row r="284" spans="1:5">
      <c r="A284">
        <v>283</v>
      </c>
      <c r="B284" s="2">
        <f t="shared" si="19"/>
        <v>498000</v>
      </c>
      <c r="E284" s="2">
        <f t="shared" si="20"/>
        <v>47200</v>
      </c>
    </row>
    <row r="285" spans="1:5">
      <c r="A285">
        <v>284</v>
      </c>
      <c r="B285" s="2">
        <f t="shared" si="19"/>
        <v>504000</v>
      </c>
      <c r="E285" s="2">
        <f t="shared" si="20"/>
        <v>47800</v>
      </c>
    </row>
    <row r="286" spans="1:5">
      <c r="A286">
        <v>285</v>
      </c>
      <c r="B286" s="2">
        <f t="shared" si="19"/>
        <v>510000</v>
      </c>
      <c r="E286" s="2">
        <f t="shared" si="20"/>
        <v>48400</v>
      </c>
    </row>
    <row r="287" spans="1:5">
      <c r="A287">
        <v>286</v>
      </c>
      <c r="B287" s="2">
        <f t="shared" si="19"/>
        <v>516000</v>
      </c>
      <c r="E287" s="2">
        <f t="shared" si="20"/>
        <v>49000</v>
      </c>
    </row>
    <row r="288" spans="1:5">
      <c r="A288">
        <v>287</v>
      </c>
      <c r="B288" s="2">
        <f t="shared" si="19"/>
        <v>522000</v>
      </c>
      <c r="E288" s="2">
        <f t="shared" si="20"/>
        <v>49600</v>
      </c>
    </row>
    <row r="289" spans="1:5">
      <c r="A289">
        <v>288</v>
      </c>
      <c r="B289" s="2">
        <f t="shared" si="19"/>
        <v>528000</v>
      </c>
      <c r="E289" s="2">
        <f t="shared" si="20"/>
        <v>50200</v>
      </c>
    </row>
    <row r="290" spans="1:5">
      <c r="A290">
        <v>289</v>
      </c>
      <c r="B290" s="2">
        <f t="shared" si="19"/>
        <v>534000</v>
      </c>
      <c r="E290" s="2">
        <f t="shared" si="20"/>
        <v>50800</v>
      </c>
    </row>
    <row r="291" spans="1:7">
      <c r="A291">
        <v>290</v>
      </c>
      <c r="B291" s="2">
        <f t="shared" si="19"/>
        <v>540000</v>
      </c>
      <c r="E291" s="2">
        <f t="shared" si="20"/>
        <v>51400</v>
      </c>
      <c r="F291">
        <f>E291*3</f>
        <v>154200</v>
      </c>
      <c r="G291">
        <f>E291</f>
        <v>51400</v>
      </c>
    </row>
    <row r="292" spans="1:5">
      <c r="A292">
        <v>291</v>
      </c>
      <c r="B292" s="2">
        <f t="shared" si="19"/>
        <v>546000</v>
      </c>
      <c r="E292" s="2">
        <f t="shared" si="20"/>
        <v>52000</v>
      </c>
    </row>
    <row r="293" spans="1:5">
      <c r="A293">
        <v>292</v>
      </c>
      <c r="B293" s="2">
        <f t="shared" si="19"/>
        <v>552000</v>
      </c>
      <c r="E293" s="2">
        <f t="shared" si="20"/>
        <v>52600</v>
      </c>
    </row>
    <row r="294" spans="1:5">
      <c r="A294">
        <v>293</v>
      </c>
      <c r="B294" s="2">
        <f t="shared" si="19"/>
        <v>558000</v>
      </c>
      <c r="E294" s="2">
        <f t="shared" si="20"/>
        <v>53200</v>
      </c>
    </row>
    <row r="295" spans="1:5">
      <c r="A295">
        <v>294</v>
      </c>
      <c r="B295" s="2">
        <f t="shared" si="19"/>
        <v>564000</v>
      </c>
      <c r="E295" s="2">
        <f t="shared" si="20"/>
        <v>53800</v>
      </c>
    </row>
    <row r="296" spans="1:5">
      <c r="A296">
        <v>295</v>
      </c>
      <c r="B296" s="2">
        <f t="shared" si="19"/>
        <v>570000</v>
      </c>
      <c r="E296" s="2">
        <f t="shared" si="20"/>
        <v>54400</v>
      </c>
    </row>
    <row r="297" spans="1:5">
      <c r="A297">
        <v>296</v>
      </c>
      <c r="B297" s="2">
        <f t="shared" si="19"/>
        <v>576000</v>
      </c>
      <c r="E297" s="2">
        <f t="shared" si="20"/>
        <v>55000</v>
      </c>
    </row>
    <row r="298" spans="1:5">
      <c r="A298">
        <v>297</v>
      </c>
      <c r="B298" s="2">
        <f t="shared" si="19"/>
        <v>582000</v>
      </c>
      <c r="E298" s="2">
        <f t="shared" si="20"/>
        <v>55600</v>
      </c>
    </row>
    <row r="299" spans="1:5">
      <c r="A299">
        <v>298</v>
      </c>
      <c r="B299" s="2">
        <f t="shared" si="19"/>
        <v>588000</v>
      </c>
      <c r="E299" s="2">
        <f t="shared" si="20"/>
        <v>56200</v>
      </c>
    </row>
    <row r="300" s="1" customFormat="1" spans="1:5">
      <c r="A300">
        <v>299</v>
      </c>
      <c r="B300" s="2">
        <f t="shared" si="19"/>
        <v>594000</v>
      </c>
      <c r="E300" s="2">
        <f t="shared" si="20"/>
        <v>56800</v>
      </c>
    </row>
    <row r="301" s="1" customFormat="1" spans="1:7">
      <c r="A301" s="1">
        <v>300</v>
      </c>
      <c r="B301" s="3">
        <f t="shared" si="19"/>
        <v>600000</v>
      </c>
      <c r="E301" s="3">
        <f t="shared" si="20"/>
        <v>57400</v>
      </c>
      <c r="F301">
        <f>E301*3</f>
        <v>172200</v>
      </c>
      <c r="G301">
        <f>E301</f>
        <v>57400</v>
      </c>
    </row>
    <row r="302" spans="1:5">
      <c r="A302">
        <v>301</v>
      </c>
      <c r="B302" s="2">
        <f t="shared" ref="B302:B351" si="21">B301+8000</f>
        <v>608000</v>
      </c>
      <c r="E302" s="2">
        <f t="shared" ref="E302:E351" si="22">E301+1000</f>
        <v>58400</v>
      </c>
    </row>
    <row r="303" spans="1:5">
      <c r="A303">
        <v>302</v>
      </c>
      <c r="B303" s="2">
        <f t="shared" si="21"/>
        <v>616000</v>
      </c>
      <c r="E303" s="2">
        <f t="shared" si="22"/>
        <v>59400</v>
      </c>
    </row>
    <row r="304" spans="1:5">
      <c r="A304">
        <v>303</v>
      </c>
      <c r="B304" s="2">
        <f t="shared" si="21"/>
        <v>624000</v>
      </c>
      <c r="E304" s="2">
        <f t="shared" si="22"/>
        <v>60400</v>
      </c>
    </row>
    <row r="305" spans="1:5">
      <c r="A305">
        <v>304</v>
      </c>
      <c r="B305" s="2">
        <f t="shared" si="21"/>
        <v>632000</v>
      </c>
      <c r="E305" s="2">
        <f t="shared" si="22"/>
        <v>61400</v>
      </c>
    </row>
    <row r="306" spans="1:5">
      <c r="A306">
        <v>305</v>
      </c>
      <c r="B306" s="2">
        <f t="shared" si="21"/>
        <v>640000</v>
      </c>
      <c r="E306" s="2">
        <f t="shared" si="22"/>
        <v>62400</v>
      </c>
    </row>
    <row r="307" spans="1:5">
      <c r="A307">
        <v>306</v>
      </c>
      <c r="B307" s="2">
        <f t="shared" si="21"/>
        <v>648000</v>
      </c>
      <c r="E307" s="2">
        <f t="shared" si="22"/>
        <v>63400</v>
      </c>
    </row>
    <row r="308" spans="1:5">
      <c r="A308">
        <v>307</v>
      </c>
      <c r="B308" s="2">
        <f t="shared" si="21"/>
        <v>656000</v>
      </c>
      <c r="E308" s="2">
        <f t="shared" si="22"/>
        <v>64400</v>
      </c>
    </row>
    <row r="309" spans="1:5">
      <c r="A309">
        <v>308</v>
      </c>
      <c r="B309" s="2">
        <f t="shared" si="21"/>
        <v>664000</v>
      </c>
      <c r="E309" s="2">
        <f t="shared" si="22"/>
        <v>65400</v>
      </c>
    </row>
    <row r="310" spans="1:5">
      <c r="A310">
        <v>309</v>
      </c>
      <c r="B310" s="2">
        <f t="shared" si="21"/>
        <v>672000</v>
      </c>
      <c r="E310" s="2">
        <f t="shared" si="22"/>
        <v>66400</v>
      </c>
    </row>
    <row r="311" spans="1:7">
      <c r="A311">
        <v>310</v>
      </c>
      <c r="B311" s="2">
        <f t="shared" si="21"/>
        <v>680000</v>
      </c>
      <c r="E311" s="2">
        <f t="shared" si="22"/>
        <v>67400</v>
      </c>
      <c r="F311">
        <f>E311*3</f>
        <v>202200</v>
      </c>
      <c r="G311">
        <f>E311</f>
        <v>67400</v>
      </c>
    </row>
    <row r="312" spans="1:5">
      <c r="A312">
        <v>311</v>
      </c>
      <c r="B312" s="2">
        <f t="shared" si="21"/>
        <v>688000</v>
      </c>
      <c r="E312" s="2">
        <f t="shared" si="22"/>
        <v>68400</v>
      </c>
    </row>
    <row r="313" spans="1:5">
      <c r="A313">
        <v>312</v>
      </c>
      <c r="B313" s="2">
        <f t="shared" si="21"/>
        <v>696000</v>
      </c>
      <c r="E313" s="2">
        <f t="shared" si="22"/>
        <v>69400</v>
      </c>
    </row>
    <row r="314" spans="1:5">
      <c r="A314">
        <v>313</v>
      </c>
      <c r="B314" s="2">
        <f t="shared" si="21"/>
        <v>704000</v>
      </c>
      <c r="E314" s="2">
        <f t="shared" si="22"/>
        <v>70400</v>
      </c>
    </row>
    <row r="315" spans="1:5">
      <c r="A315">
        <v>314</v>
      </c>
      <c r="B315" s="2">
        <f t="shared" si="21"/>
        <v>712000</v>
      </c>
      <c r="E315" s="2">
        <f t="shared" si="22"/>
        <v>71400</v>
      </c>
    </row>
    <row r="316" spans="1:5">
      <c r="A316">
        <v>315</v>
      </c>
      <c r="B316" s="2">
        <f t="shared" si="21"/>
        <v>720000</v>
      </c>
      <c r="E316" s="2">
        <f t="shared" si="22"/>
        <v>72400</v>
      </c>
    </row>
    <row r="317" spans="1:5">
      <c r="A317">
        <v>316</v>
      </c>
      <c r="B317" s="2">
        <f t="shared" si="21"/>
        <v>728000</v>
      </c>
      <c r="E317" s="2">
        <f t="shared" si="22"/>
        <v>73400</v>
      </c>
    </row>
    <row r="318" spans="1:5">
      <c r="A318">
        <v>317</v>
      </c>
      <c r="B318" s="2">
        <f t="shared" si="21"/>
        <v>736000</v>
      </c>
      <c r="E318" s="2">
        <f t="shared" si="22"/>
        <v>74400</v>
      </c>
    </row>
    <row r="319" spans="1:5">
      <c r="A319">
        <v>318</v>
      </c>
      <c r="B319" s="2">
        <f t="shared" si="21"/>
        <v>744000</v>
      </c>
      <c r="E319" s="2">
        <f t="shared" si="22"/>
        <v>75400</v>
      </c>
    </row>
    <row r="320" spans="1:5">
      <c r="A320">
        <v>319</v>
      </c>
      <c r="B320" s="2">
        <f t="shared" si="21"/>
        <v>752000</v>
      </c>
      <c r="E320" s="2">
        <f t="shared" si="22"/>
        <v>76400</v>
      </c>
    </row>
    <row r="321" spans="1:7">
      <c r="A321">
        <v>320</v>
      </c>
      <c r="B321" s="2">
        <f t="shared" si="21"/>
        <v>760000</v>
      </c>
      <c r="E321" s="2">
        <f t="shared" si="22"/>
        <v>77400</v>
      </c>
      <c r="F321">
        <f>E321*3</f>
        <v>232200</v>
      </c>
      <c r="G321">
        <f>E321</f>
        <v>77400</v>
      </c>
    </row>
    <row r="322" spans="1:5">
      <c r="A322">
        <v>321</v>
      </c>
      <c r="B322" s="2">
        <f t="shared" si="21"/>
        <v>768000</v>
      </c>
      <c r="E322" s="2">
        <f t="shared" si="22"/>
        <v>78400</v>
      </c>
    </row>
    <row r="323" spans="1:5">
      <c r="A323">
        <v>322</v>
      </c>
      <c r="B323" s="2">
        <f t="shared" si="21"/>
        <v>776000</v>
      </c>
      <c r="E323" s="2">
        <f t="shared" si="22"/>
        <v>79400</v>
      </c>
    </row>
    <row r="324" spans="1:5">
      <c r="A324">
        <v>323</v>
      </c>
      <c r="B324" s="2">
        <f t="shared" si="21"/>
        <v>784000</v>
      </c>
      <c r="E324" s="2">
        <f t="shared" si="22"/>
        <v>80400</v>
      </c>
    </row>
    <row r="325" spans="1:5">
      <c r="A325">
        <v>324</v>
      </c>
      <c r="B325" s="2">
        <f t="shared" si="21"/>
        <v>792000</v>
      </c>
      <c r="E325" s="2">
        <f t="shared" si="22"/>
        <v>81400</v>
      </c>
    </row>
    <row r="326" spans="1:5">
      <c r="A326">
        <v>325</v>
      </c>
      <c r="B326" s="2">
        <f t="shared" si="21"/>
        <v>800000</v>
      </c>
      <c r="E326" s="2">
        <f t="shared" si="22"/>
        <v>82400</v>
      </c>
    </row>
    <row r="327" spans="1:5">
      <c r="A327">
        <v>326</v>
      </c>
      <c r="B327" s="2">
        <f t="shared" si="21"/>
        <v>808000</v>
      </c>
      <c r="E327" s="2">
        <f t="shared" si="22"/>
        <v>83400</v>
      </c>
    </row>
    <row r="328" spans="1:5">
      <c r="A328">
        <v>327</v>
      </c>
      <c r="B328" s="2">
        <f t="shared" si="21"/>
        <v>816000</v>
      </c>
      <c r="E328" s="2">
        <f t="shared" si="22"/>
        <v>84400</v>
      </c>
    </row>
    <row r="329" spans="1:5">
      <c r="A329">
        <v>328</v>
      </c>
      <c r="B329" s="2">
        <f t="shared" si="21"/>
        <v>824000</v>
      </c>
      <c r="E329" s="2">
        <f t="shared" si="22"/>
        <v>85400</v>
      </c>
    </row>
    <row r="330" spans="1:5">
      <c r="A330">
        <v>329</v>
      </c>
      <c r="B330" s="2">
        <f t="shared" si="21"/>
        <v>832000</v>
      </c>
      <c r="E330" s="2">
        <f t="shared" si="22"/>
        <v>86400</v>
      </c>
    </row>
    <row r="331" spans="1:7">
      <c r="A331">
        <v>330</v>
      </c>
      <c r="B331" s="2">
        <f t="shared" si="21"/>
        <v>840000</v>
      </c>
      <c r="E331" s="2">
        <f t="shared" si="22"/>
        <v>87400</v>
      </c>
      <c r="F331">
        <f>E331*3</f>
        <v>262200</v>
      </c>
      <c r="G331">
        <f>E331</f>
        <v>87400</v>
      </c>
    </row>
    <row r="332" spans="1:5">
      <c r="A332">
        <v>331</v>
      </c>
      <c r="B332" s="2">
        <f t="shared" si="21"/>
        <v>848000</v>
      </c>
      <c r="E332" s="2">
        <f t="shared" si="22"/>
        <v>88400</v>
      </c>
    </row>
    <row r="333" spans="1:5">
      <c r="A333">
        <v>332</v>
      </c>
      <c r="B333" s="2">
        <f t="shared" si="21"/>
        <v>856000</v>
      </c>
      <c r="E333" s="2">
        <f t="shared" si="22"/>
        <v>89400</v>
      </c>
    </row>
    <row r="334" spans="1:5">
      <c r="A334">
        <v>333</v>
      </c>
      <c r="B334" s="2">
        <f t="shared" si="21"/>
        <v>864000</v>
      </c>
      <c r="E334" s="2">
        <f t="shared" si="22"/>
        <v>90400</v>
      </c>
    </row>
    <row r="335" spans="1:5">
      <c r="A335">
        <v>334</v>
      </c>
      <c r="B335" s="2">
        <f t="shared" si="21"/>
        <v>872000</v>
      </c>
      <c r="E335" s="2">
        <f t="shared" si="22"/>
        <v>91400</v>
      </c>
    </row>
    <row r="336" spans="1:5">
      <c r="A336">
        <v>335</v>
      </c>
      <c r="B336" s="2">
        <f t="shared" si="21"/>
        <v>880000</v>
      </c>
      <c r="E336" s="2">
        <f t="shared" si="22"/>
        <v>92400</v>
      </c>
    </row>
    <row r="337" spans="1:5">
      <c r="A337">
        <v>336</v>
      </c>
      <c r="B337" s="2">
        <f t="shared" si="21"/>
        <v>888000</v>
      </c>
      <c r="E337" s="2">
        <f t="shared" si="22"/>
        <v>93400</v>
      </c>
    </row>
    <row r="338" spans="1:5">
      <c r="A338">
        <v>337</v>
      </c>
      <c r="B338" s="2">
        <f t="shared" si="21"/>
        <v>896000</v>
      </c>
      <c r="E338" s="2">
        <f t="shared" si="22"/>
        <v>94400</v>
      </c>
    </row>
    <row r="339" spans="1:5">
      <c r="A339">
        <v>338</v>
      </c>
      <c r="B339" s="2">
        <f t="shared" si="21"/>
        <v>904000</v>
      </c>
      <c r="E339" s="2">
        <f t="shared" si="22"/>
        <v>95400</v>
      </c>
    </row>
    <row r="340" spans="1:5">
      <c r="A340">
        <v>339</v>
      </c>
      <c r="B340" s="2">
        <f t="shared" si="21"/>
        <v>912000</v>
      </c>
      <c r="E340" s="2">
        <f t="shared" si="22"/>
        <v>96400</v>
      </c>
    </row>
    <row r="341" spans="1:7">
      <c r="A341">
        <v>340</v>
      </c>
      <c r="B341" s="2">
        <f t="shared" si="21"/>
        <v>920000</v>
      </c>
      <c r="E341" s="2">
        <f t="shared" si="22"/>
        <v>97400</v>
      </c>
      <c r="F341">
        <f>E341*3</f>
        <v>292200</v>
      </c>
      <c r="G341">
        <f>E341</f>
        <v>97400</v>
      </c>
    </row>
    <row r="342" spans="1:5">
      <c r="A342">
        <v>341</v>
      </c>
      <c r="B342" s="2">
        <f t="shared" si="21"/>
        <v>928000</v>
      </c>
      <c r="E342" s="2">
        <f t="shared" si="22"/>
        <v>98400</v>
      </c>
    </row>
    <row r="343" spans="1:5">
      <c r="A343">
        <v>342</v>
      </c>
      <c r="B343" s="2">
        <f t="shared" si="21"/>
        <v>936000</v>
      </c>
      <c r="E343" s="2">
        <f t="shared" si="22"/>
        <v>99400</v>
      </c>
    </row>
    <row r="344" spans="1:5">
      <c r="A344">
        <v>343</v>
      </c>
      <c r="B344" s="2">
        <f t="shared" si="21"/>
        <v>944000</v>
      </c>
      <c r="E344" s="2">
        <f t="shared" si="22"/>
        <v>100400</v>
      </c>
    </row>
    <row r="345" spans="1:5">
      <c r="A345">
        <v>344</v>
      </c>
      <c r="B345" s="2">
        <f t="shared" si="21"/>
        <v>952000</v>
      </c>
      <c r="E345" s="2">
        <f t="shared" si="22"/>
        <v>101400</v>
      </c>
    </row>
    <row r="346" spans="1:5">
      <c r="A346">
        <v>345</v>
      </c>
      <c r="B346" s="2">
        <f t="shared" si="21"/>
        <v>960000</v>
      </c>
      <c r="E346" s="2">
        <f t="shared" si="22"/>
        <v>102400</v>
      </c>
    </row>
    <row r="347" spans="1:5">
      <c r="A347">
        <v>346</v>
      </c>
      <c r="B347" s="2">
        <f t="shared" si="21"/>
        <v>968000</v>
      </c>
      <c r="E347" s="2">
        <f t="shared" si="22"/>
        <v>103400</v>
      </c>
    </row>
    <row r="348" spans="1:5">
      <c r="A348">
        <v>347</v>
      </c>
      <c r="B348" s="2">
        <f t="shared" si="21"/>
        <v>976000</v>
      </c>
      <c r="E348" s="2">
        <f t="shared" si="22"/>
        <v>104400</v>
      </c>
    </row>
    <row r="349" spans="1:5">
      <c r="A349">
        <v>348</v>
      </c>
      <c r="B349" s="2">
        <f t="shared" si="21"/>
        <v>984000</v>
      </c>
      <c r="E349" s="2">
        <f t="shared" si="22"/>
        <v>105400</v>
      </c>
    </row>
    <row r="350" spans="1:5">
      <c r="A350">
        <v>349</v>
      </c>
      <c r="B350" s="2">
        <f t="shared" si="21"/>
        <v>992000</v>
      </c>
      <c r="E350" s="2">
        <f t="shared" si="22"/>
        <v>106400</v>
      </c>
    </row>
    <row r="351" spans="1:7">
      <c r="A351">
        <v>350</v>
      </c>
      <c r="B351" s="2">
        <f t="shared" si="21"/>
        <v>1000000</v>
      </c>
      <c r="E351" s="2">
        <f t="shared" si="22"/>
        <v>107400</v>
      </c>
      <c r="F351">
        <f>E351*3</f>
        <v>322200</v>
      </c>
      <c r="G351">
        <f>E351</f>
        <v>107400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D3" sqref="D3"/>
    </sheetView>
  </sheetViews>
  <sheetFormatPr defaultColWidth="9" defaultRowHeight="14.25" outlineLevelCol="4"/>
  <sheetData>
    <row r="1" spans="1:4">
      <c r="A1" s="4" t="s">
        <v>71</v>
      </c>
      <c r="B1" s="4" t="s">
        <v>72</v>
      </c>
      <c r="C1" s="4" t="s">
        <v>71</v>
      </c>
      <c r="D1" s="4" t="s">
        <v>73</v>
      </c>
    </row>
    <row r="2" spans="1:5">
      <c r="A2" s="4" t="str">
        <f>C2</f>
        <v>生命值</v>
      </c>
      <c r="B2" s="4">
        <v>1</v>
      </c>
      <c r="C2" s="4" t="s">
        <v>74</v>
      </c>
      <c r="D2" s="4">
        <v>1</v>
      </c>
      <c r="E2">
        <v>100</v>
      </c>
    </row>
    <row r="3" spans="1:5">
      <c r="A3" s="4" t="str">
        <f t="shared" ref="A3:A21" si="0">C3</f>
        <v>法力值</v>
      </c>
      <c r="B3" s="4">
        <v>2</v>
      </c>
      <c r="C3" s="4" t="s">
        <v>75</v>
      </c>
      <c r="D3" s="4">
        <v>1</v>
      </c>
      <c r="E3">
        <v>100</v>
      </c>
    </row>
    <row r="4" spans="1:5">
      <c r="A4" s="4" t="str">
        <f t="shared" si="0"/>
        <v>物理攻击</v>
      </c>
      <c r="B4" s="4">
        <v>3</v>
      </c>
      <c r="C4" s="4" t="s">
        <v>13</v>
      </c>
      <c r="D4" s="4">
        <v>1</v>
      </c>
      <c r="E4">
        <v>100</v>
      </c>
    </row>
    <row r="5" spans="1:5">
      <c r="A5" s="4" t="str">
        <f t="shared" si="0"/>
        <v>魔法攻击</v>
      </c>
      <c r="B5" s="4">
        <v>4</v>
      </c>
      <c r="C5" s="4" t="s">
        <v>14</v>
      </c>
      <c r="D5" s="4">
        <v>1</v>
      </c>
      <c r="E5">
        <v>100</v>
      </c>
    </row>
    <row r="6" spans="1:5">
      <c r="A6" s="4" t="str">
        <f t="shared" si="0"/>
        <v>道术攻击</v>
      </c>
      <c r="B6" s="4">
        <v>5</v>
      </c>
      <c r="C6" s="4" t="s">
        <v>15</v>
      </c>
      <c r="D6" s="4">
        <v>1</v>
      </c>
      <c r="E6">
        <v>100</v>
      </c>
    </row>
    <row r="7" spans="1:5">
      <c r="A7" s="4" t="str">
        <f t="shared" si="0"/>
        <v>防御</v>
      </c>
      <c r="B7" s="4">
        <v>6</v>
      </c>
      <c r="C7" s="4" t="s">
        <v>17</v>
      </c>
      <c r="D7" s="4">
        <v>1</v>
      </c>
      <c r="E7">
        <v>100</v>
      </c>
    </row>
    <row r="8" spans="1:5">
      <c r="A8" s="4" t="str">
        <f t="shared" si="0"/>
        <v>攻速</v>
      </c>
      <c r="B8" s="4">
        <v>7</v>
      </c>
      <c r="C8" s="4" t="s">
        <v>18</v>
      </c>
      <c r="D8" s="4">
        <v>1</v>
      </c>
      <c r="E8">
        <v>20</v>
      </c>
    </row>
    <row r="9" spans="1:5">
      <c r="A9" s="4" t="str">
        <f t="shared" si="0"/>
        <v>幸运</v>
      </c>
      <c r="B9" s="4">
        <v>8</v>
      </c>
      <c r="C9" s="4" t="s">
        <v>19</v>
      </c>
      <c r="D9" s="4">
        <v>1</v>
      </c>
      <c r="E9">
        <v>20</v>
      </c>
    </row>
    <row r="10" spans="1:5">
      <c r="A10" s="4" t="str">
        <f t="shared" si="0"/>
        <v>固定伤害</v>
      </c>
      <c r="B10" s="4">
        <v>9</v>
      </c>
      <c r="C10" s="4" t="s">
        <v>24</v>
      </c>
      <c r="D10" s="4">
        <v>1</v>
      </c>
      <c r="E10">
        <v>50</v>
      </c>
    </row>
    <row r="11" spans="1:5">
      <c r="A11" s="4" t="str">
        <f t="shared" si="0"/>
        <v>固定减伤</v>
      </c>
      <c r="B11" s="4">
        <v>10</v>
      </c>
      <c r="C11" s="4" t="s">
        <v>25</v>
      </c>
      <c r="D11" s="4">
        <v>1</v>
      </c>
      <c r="E11">
        <v>50</v>
      </c>
    </row>
    <row r="12" spans="1:5">
      <c r="A12" s="4" t="str">
        <f t="shared" si="0"/>
        <v>生命吸取</v>
      </c>
      <c r="B12" s="4">
        <v>11</v>
      </c>
      <c r="C12" s="4" t="s">
        <v>28</v>
      </c>
      <c r="D12" s="4">
        <v>1</v>
      </c>
      <c r="E12">
        <v>50</v>
      </c>
    </row>
    <row r="13" spans="1:5">
      <c r="A13" s="4" t="str">
        <f t="shared" si="0"/>
        <v>法力吸取</v>
      </c>
      <c r="B13" s="4">
        <v>12</v>
      </c>
      <c r="C13" s="4" t="s">
        <v>29</v>
      </c>
      <c r="D13" s="4">
        <v>1</v>
      </c>
      <c r="E13">
        <v>50</v>
      </c>
    </row>
    <row r="14" spans="1:5">
      <c r="A14" s="4" t="str">
        <f t="shared" si="0"/>
        <v>暴击几率</v>
      </c>
      <c r="B14" s="4">
        <v>13</v>
      </c>
      <c r="C14" s="4" t="s">
        <v>21</v>
      </c>
      <c r="D14" s="4">
        <v>2</v>
      </c>
      <c r="E14">
        <v>20</v>
      </c>
    </row>
    <row r="15" spans="1:5">
      <c r="A15" s="4" t="str">
        <f t="shared" si="0"/>
        <v>爆击伤害</v>
      </c>
      <c r="B15" s="4">
        <v>14</v>
      </c>
      <c r="C15" s="4" t="s">
        <v>76</v>
      </c>
      <c r="D15" s="4">
        <v>2</v>
      </c>
      <c r="E15">
        <v>20</v>
      </c>
    </row>
    <row r="16" spans="1:5">
      <c r="A16" s="4" t="str">
        <f t="shared" si="0"/>
        <v>伤害增加</v>
      </c>
      <c r="B16" s="4">
        <v>15</v>
      </c>
      <c r="C16" s="4" t="s">
        <v>26</v>
      </c>
      <c r="D16" s="4">
        <v>2</v>
      </c>
      <c r="E16">
        <v>10</v>
      </c>
    </row>
    <row r="17" spans="1:5">
      <c r="A17" s="4" t="str">
        <f t="shared" si="0"/>
        <v>伤害减免</v>
      </c>
      <c r="B17" s="4">
        <v>16</v>
      </c>
      <c r="C17" s="4" t="s">
        <v>27</v>
      </c>
      <c r="D17" s="4">
        <v>2</v>
      </c>
      <c r="E17">
        <v>10</v>
      </c>
    </row>
    <row r="18" spans="1:5">
      <c r="A18" s="4" t="str">
        <f t="shared" si="0"/>
        <v>装备掉率</v>
      </c>
      <c r="B18" s="4">
        <v>17</v>
      </c>
      <c r="C18" s="4" t="s">
        <v>30</v>
      </c>
      <c r="D18" s="4">
        <v>2</v>
      </c>
      <c r="E18">
        <v>60</v>
      </c>
    </row>
    <row r="19" spans="1:5">
      <c r="A19" s="4" t="str">
        <f t="shared" si="0"/>
        <v>极品掉率</v>
      </c>
      <c r="B19" s="4">
        <v>18</v>
      </c>
      <c r="C19" s="4" t="s">
        <v>31</v>
      </c>
      <c r="D19" s="4">
        <v>2</v>
      </c>
      <c r="E19">
        <v>60</v>
      </c>
    </row>
    <row r="20" spans="1:5">
      <c r="A20" s="4" t="str">
        <f t="shared" si="0"/>
        <v>生命增幅</v>
      </c>
      <c r="B20" s="4">
        <v>19</v>
      </c>
      <c r="C20" s="4" t="s">
        <v>32</v>
      </c>
      <c r="D20" s="4">
        <v>2</v>
      </c>
      <c r="E20">
        <v>10</v>
      </c>
    </row>
    <row r="21" spans="1:5">
      <c r="A21" s="4" t="str">
        <f t="shared" si="0"/>
        <v>法力增幅</v>
      </c>
      <c r="B21" s="4">
        <v>20</v>
      </c>
      <c r="C21" s="4" t="s">
        <v>33</v>
      </c>
      <c r="D21" s="4">
        <v>2</v>
      </c>
      <c r="E21">
        <v>10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81"/>
  <sheetViews>
    <sheetView workbookViewId="0">
      <pane xSplit="3" ySplit="1" topLeftCell="G2" activePane="bottomRight" state="frozen"/>
      <selection/>
      <selection pane="topRight"/>
      <selection pane="bottomLeft"/>
      <selection pane="bottomRight" activeCell="T15" sqref="T15"/>
    </sheetView>
  </sheetViews>
  <sheetFormatPr defaultColWidth="9" defaultRowHeight="14.25"/>
  <cols>
    <col min="1" max="1" width="5.75" style="76" customWidth="1"/>
    <col min="2" max="2" width="8" style="76" customWidth="1"/>
    <col min="3" max="3" width="10.5" style="76" customWidth="1"/>
    <col min="4" max="5" width="6" style="76" customWidth="1"/>
    <col min="6" max="7" width="9" style="76"/>
    <col min="8" max="8" width="7.125" style="76" customWidth="1"/>
    <col min="9" max="9" width="6.75" style="76" customWidth="1"/>
    <col min="10" max="14" width="9" style="76"/>
    <col min="15" max="15" width="9.375" style="76" customWidth="1"/>
    <col min="16" max="17" width="9" style="76"/>
    <col min="18" max="18" width="7.5" style="76" customWidth="1"/>
    <col min="19" max="16384" width="9" style="76"/>
  </cols>
  <sheetData>
    <row r="1" spans="2:23">
      <c r="B1" s="76" t="s">
        <v>77</v>
      </c>
      <c r="C1" s="76" t="s">
        <v>78</v>
      </c>
      <c r="D1" s="76" t="s">
        <v>79</v>
      </c>
      <c r="E1" s="76" t="s">
        <v>80</v>
      </c>
      <c r="H1" s="76" t="s">
        <v>81</v>
      </c>
      <c r="I1" s="76" t="s">
        <v>82</v>
      </c>
      <c r="J1" s="77" t="s">
        <v>83</v>
      </c>
      <c r="K1" s="76" t="s">
        <v>84</v>
      </c>
      <c r="L1" s="76" t="s">
        <v>85</v>
      </c>
      <c r="N1" s="77" t="s">
        <v>86</v>
      </c>
      <c r="O1" s="76" t="s">
        <v>3</v>
      </c>
      <c r="R1" s="76" t="s">
        <v>87</v>
      </c>
      <c r="V1" s="76" t="s">
        <v>88</v>
      </c>
      <c r="W1" s="76" t="s">
        <v>89</v>
      </c>
    </row>
    <row r="2" spans="2:27">
      <c r="B2" s="76">
        <v>1</v>
      </c>
      <c r="C2" s="76">
        <f>INT(5*POWER(B2,1.08)+5)</f>
        <v>10</v>
      </c>
      <c r="D2" s="55">
        <f>B2*5+5</f>
        <v>10</v>
      </c>
      <c r="E2" s="55">
        <f>B2*10+20</f>
        <v>30</v>
      </c>
      <c r="F2" s="76">
        <f>POWER(B2,1.05)</f>
        <v>1</v>
      </c>
      <c r="J2" s="76">
        <v>10</v>
      </c>
      <c r="K2" s="76">
        <f>SUM(J$2:J2)</f>
        <v>10</v>
      </c>
      <c r="L2" s="76">
        <f>K2/(3600*24)</f>
        <v>0.000115740740740741</v>
      </c>
      <c r="N2" s="76">
        <v>1</v>
      </c>
      <c r="O2" s="76">
        <f>INT(J2*(1/N2)*C2)</f>
        <v>100</v>
      </c>
      <c r="R2" s="76">
        <v>5</v>
      </c>
      <c r="S2" s="76">
        <f t="shared" ref="S2:S66" si="0">C2/R2</f>
        <v>2</v>
      </c>
      <c r="T2" s="76">
        <f>AVERAGE(D2:E2)/R2*0.15</f>
        <v>0.6</v>
      </c>
      <c r="V2" s="76">
        <f>S2*0.3</f>
        <v>0.6</v>
      </c>
      <c r="W2" s="76">
        <f>T2*0.3</f>
        <v>0.18</v>
      </c>
      <c r="Y2" s="76">
        <f>O2/V2</f>
        <v>166.666666666667</v>
      </c>
      <c r="Z2" s="76">
        <f>Y2/3600</f>
        <v>0.0462962962962963</v>
      </c>
      <c r="AA2" s="76">
        <f>Y2/86400</f>
        <v>0.00192901234567901</v>
      </c>
    </row>
    <row r="3" spans="2:27">
      <c r="B3" s="76">
        <v>2</v>
      </c>
      <c r="C3" s="76">
        <f t="shared" ref="C3:C66" si="1">INT(5*POWER(B3,1.08)+5)</f>
        <v>15</v>
      </c>
      <c r="D3" s="55">
        <f t="shared" ref="D3:D66" si="2">B3*5+5</f>
        <v>15</v>
      </c>
      <c r="E3" s="55">
        <f t="shared" ref="E3:E66" si="3">B3*10+20</f>
        <v>40</v>
      </c>
      <c r="F3" s="76">
        <f t="shared" ref="F3:F66" si="4">POWER(B3,1.05)</f>
        <v>2.07052984768276</v>
      </c>
      <c r="J3" s="76">
        <v>20</v>
      </c>
      <c r="K3" s="76">
        <f>SUM(J$2:J3)</f>
        <v>30</v>
      </c>
      <c r="L3" s="76">
        <f t="shared" ref="L3:L66" si="5">K3/(3600*24)</f>
        <v>0.000347222222222222</v>
      </c>
      <c r="N3" s="76">
        <v>1.2</v>
      </c>
      <c r="O3" s="76">
        <f t="shared" ref="O3:O66" si="6">INT(J3*(1/N3)*C3)</f>
        <v>250</v>
      </c>
      <c r="P3" s="76">
        <f>O3-O2</f>
        <v>150</v>
      </c>
      <c r="R3" s="76">
        <v>5</v>
      </c>
      <c r="S3" s="76">
        <f t="shared" si="0"/>
        <v>3</v>
      </c>
      <c r="T3" s="76">
        <f t="shared" ref="T3:T66" si="7">AVERAGE(D3:E3)/R3</f>
        <v>5.5</v>
      </c>
      <c r="V3" s="76">
        <f t="shared" ref="V3:V66" si="8">S3*0.3</f>
        <v>0.9</v>
      </c>
      <c r="W3" s="76">
        <f t="shared" ref="W3:W66" si="9">T3*0.3</f>
        <v>1.65</v>
      </c>
      <c r="Y3" s="76">
        <f t="shared" ref="Y3:Y66" si="10">O3/V3</f>
        <v>277.777777777778</v>
      </c>
      <c r="Z3" s="76">
        <f t="shared" ref="Z3:Z66" si="11">Y3/3600</f>
        <v>0.0771604938271605</v>
      </c>
      <c r="AA3" s="76">
        <f t="shared" ref="AA3:AA66" si="12">Y3/86400</f>
        <v>0.00321502057613169</v>
      </c>
    </row>
    <row r="4" spans="2:27">
      <c r="B4" s="76">
        <v>3</v>
      </c>
      <c r="C4" s="76">
        <f t="shared" si="1"/>
        <v>21</v>
      </c>
      <c r="D4" s="55">
        <f t="shared" si="2"/>
        <v>20</v>
      </c>
      <c r="E4" s="55">
        <f t="shared" si="3"/>
        <v>50</v>
      </c>
      <c r="F4" s="76">
        <f t="shared" si="4"/>
        <v>3.16940192564861</v>
      </c>
      <c r="J4" s="76">
        <v>30</v>
      </c>
      <c r="K4" s="76">
        <f>SUM(J$2:J4)</f>
        <v>60</v>
      </c>
      <c r="L4" s="76">
        <f t="shared" si="5"/>
        <v>0.000694444444444444</v>
      </c>
      <c r="N4" s="76">
        <v>1.2</v>
      </c>
      <c r="O4" s="76">
        <f t="shared" si="6"/>
        <v>525</v>
      </c>
      <c r="P4" s="76">
        <f t="shared" ref="P4:P67" si="13">O4-O3</f>
        <v>275</v>
      </c>
      <c r="R4" s="76">
        <v>5</v>
      </c>
      <c r="S4" s="76">
        <f t="shared" si="0"/>
        <v>4.2</v>
      </c>
      <c r="T4" s="76">
        <f t="shared" si="7"/>
        <v>7</v>
      </c>
      <c r="V4" s="76">
        <f t="shared" si="8"/>
        <v>1.26</v>
      </c>
      <c r="W4" s="76">
        <f t="shared" si="9"/>
        <v>2.1</v>
      </c>
      <c r="Y4" s="76">
        <f t="shared" si="10"/>
        <v>416.666666666667</v>
      </c>
      <c r="Z4" s="76">
        <f t="shared" si="11"/>
        <v>0.115740740740741</v>
      </c>
      <c r="AA4" s="76">
        <f t="shared" si="12"/>
        <v>0.00482253086419753</v>
      </c>
    </row>
    <row r="5" spans="2:27">
      <c r="B5" s="76">
        <v>4</v>
      </c>
      <c r="C5" s="76">
        <f t="shared" si="1"/>
        <v>27</v>
      </c>
      <c r="D5" s="55">
        <f t="shared" si="2"/>
        <v>25</v>
      </c>
      <c r="E5" s="55">
        <f t="shared" si="3"/>
        <v>60</v>
      </c>
      <c r="F5" s="76">
        <f t="shared" si="4"/>
        <v>4.28709385014517</v>
      </c>
      <c r="I5" s="76">
        <v>1</v>
      </c>
      <c r="J5" s="76">
        <f>I5*60</f>
        <v>60</v>
      </c>
      <c r="K5" s="76">
        <f>SUM(J$2:J5)</f>
        <v>120</v>
      </c>
      <c r="L5" s="76">
        <f t="shared" si="5"/>
        <v>0.00138888888888889</v>
      </c>
      <c r="N5" s="76">
        <v>1.2</v>
      </c>
      <c r="O5" s="76">
        <f t="shared" si="6"/>
        <v>1350</v>
      </c>
      <c r="P5" s="76">
        <f t="shared" si="13"/>
        <v>825</v>
      </c>
      <c r="R5" s="76">
        <v>5</v>
      </c>
      <c r="S5" s="76">
        <f t="shared" si="0"/>
        <v>5.4</v>
      </c>
      <c r="T5" s="76">
        <f t="shared" si="7"/>
        <v>8.5</v>
      </c>
      <c r="V5" s="76">
        <f t="shared" si="8"/>
        <v>1.62</v>
      </c>
      <c r="W5" s="76">
        <f t="shared" si="9"/>
        <v>2.55</v>
      </c>
      <c r="Y5" s="76">
        <f t="shared" si="10"/>
        <v>833.333333333333</v>
      </c>
      <c r="Z5" s="76">
        <f t="shared" si="11"/>
        <v>0.231481481481481</v>
      </c>
      <c r="AA5" s="76">
        <f t="shared" si="12"/>
        <v>0.00964506172839506</v>
      </c>
    </row>
    <row r="6" spans="2:27">
      <c r="B6" s="76">
        <v>5</v>
      </c>
      <c r="C6" s="76">
        <f t="shared" si="1"/>
        <v>33</v>
      </c>
      <c r="D6" s="55">
        <f t="shared" si="2"/>
        <v>30</v>
      </c>
      <c r="E6" s="55">
        <f t="shared" si="3"/>
        <v>70</v>
      </c>
      <c r="F6" s="76">
        <f t="shared" si="4"/>
        <v>5.41899193367184</v>
      </c>
      <c r="I6" s="76">
        <v>2</v>
      </c>
      <c r="J6" s="76">
        <f t="shared" ref="J6:J30" si="14">I6*60</f>
        <v>120</v>
      </c>
      <c r="K6" s="76">
        <f>SUM(J$2:J6)</f>
        <v>240</v>
      </c>
      <c r="L6" s="76">
        <f t="shared" si="5"/>
        <v>0.00277777777777778</v>
      </c>
      <c r="N6" s="76">
        <v>1.2</v>
      </c>
      <c r="O6" s="76">
        <f t="shared" si="6"/>
        <v>3300</v>
      </c>
      <c r="P6" s="76">
        <f t="shared" si="13"/>
        <v>1950</v>
      </c>
      <c r="R6" s="76">
        <v>5</v>
      </c>
      <c r="S6" s="76">
        <f t="shared" si="0"/>
        <v>6.6</v>
      </c>
      <c r="T6" s="76">
        <f t="shared" si="7"/>
        <v>10</v>
      </c>
      <c r="V6" s="76">
        <f t="shared" si="8"/>
        <v>1.98</v>
      </c>
      <c r="W6" s="76">
        <f t="shared" si="9"/>
        <v>3</v>
      </c>
      <c r="Y6" s="76">
        <f t="shared" si="10"/>
        <v>1666.66666666667</v>
      </c>
      <c r="Z6" s="76">
        <f t="shared" si="11"/>
        <v>0.462962962962963</v>
      </c>
      <c r="AA6" s="76">
        <f t="shared" si="12"/>
        <v>0.0192901234567901</v>
      </c>
    </row>
    <row r="7" spans="2:27">
      <c r="B7" s="76">
        <v>6</v>
      </c>
      <c r="C7" s="76">
        <f t="shared" si="1"/>
        <v>39</v>
      </c>
      <c r="D7" s="55">
        <f t="shared" si="2"/>
        <v>35</v>
      </c>
      <c r="E7" s="55">
        <f t="shared" si="3"/>
        <v>80</v>
      </c>
      <c r="F7" s="76">
        <f t="shared" si="4"/>
        <v>6.56234128635865</v>
      </c>
      <c r="I7" s="76">
        <v>3</v>
      </c>
      <c r="J7" s="76">
        <f t="shared" si="14"/>
        <v>180</v>
      </c>
      <c r="K7" s="76">
        <f>SUM(J$2:J7)</f>
        <v>420</v>
      </c>
      <c r="L7" s="76">
        <f t="shared" si="5"/>
        <v>0.00486111111111111</v>
      </c>
      <c r="N7" s="76">
        <v>1.2</v>
      </c>
      <c r="O7" s="76">
        <f t="shared" si="6"/>
        <v>5850</v>
      </c>
      <c r="P7" s="76">
        <f t="shared" si="13"/>
        <v>2550</v>
      </c>
      <c r="R7" s="76">
        <v>5</v>
      </c>
      <c r="S7" s="76">
        <f t="shared" si="0"/>
        <v>7.8</v>
      </c>
      <c r="T7" s="76">
        <f t="shared" si="7"/>
        <v>11.5</v>
      </c>
      <c r="V7" s="76">
        <f t="shared" si="8"/>
        <v>2.34</v>
      </c>
      <c r="W7" s="76">
        <f t="shared" si="9"/>
        <v>3.45</v>
      </c>
      <c r="Y7" s="76">
        <f t="shared" si="10"/>
        <v>2500</v>
      </c>
      <c r="Z7" s="76">
        <f t="shared" si="11"/>
        <v>0.694444444444444</v>
      </c>
      <c r="AA7" s="76">
        <f t="shared" si="12"/>
        <v>0.0289351851851852</v>
      </c>
    </row>
    <row r="8" spans="2:27">
      <c r="B8" s="76">
        <v>7</v>
      </c>
      <c r="C8" s="76">
        <f t="shared" si="1"/>
        <v>45</v>
      </c>
      <c r="D8" s="55">
        <f t="shared" si="2"/>
        <v>40</v>
      </c>
      <c r="E8" s="55">
        <f t="shared" si="3"/>
        <v>90</v>
      </c>
      <c r="F8" s="76">
        <f t="shared" si="4"/>
        <v>7.71530220781495</v>
      </c>
      <c r="I8" s="76">
        <v>5</v>
      </c>
      <c r="J8" s="76">
        <f t="shared" si="14"/>
        <v>300</v>
      </c>
      <c r="K8" s="76">
        <f>SUM(J$2:J8)</f>
        <v>720</v>
      </c>
      <c r="L8" s="76">
        <f t="shared" si="5"/>
        <v>0.00833333333333333</v>
      </c>
      <c r="N8" s="76">
        <v>1.2</v>
      </c>
      <c r="O8" s="76">
        <f t="shared" si="6"/>
        <v>11250</v>
      </c>
      <c r="P8" s="76">
        <f t="shared" si="13"/>
        <v>5400</v>
      </c>
      <c r="R8" s="76">
        <v>5</v>
      </c>
      <c r="S8" s="76">
        <f t="shared" si="0"/>
        <v>9</v>
      </c>
      <c r="T8" s="76">
        <f t="shared" si="7"/>
        <v>13</v>
      </c>
      <c r="V8" s="76">
        <f t="shared" si="8"/>
        <v>2.7</v>
      </c>
      <c r="W8" s="76">
        <f t="shared" si="9"/>
        <v>3.9</v>
      </c>
      <c r="Y8" s="76">
        <f t="shared" si="10"/>
        <v>4166.66666666667</v>
      </c>
      <c r="Z8" s="76">
        <f t="shared" si="11"/>
        <v>1.15740740740741</v>
      </c>
      <c r="AA8" s="76">
        <f t="shared" si="12"/>
        <v>0.0482253086419753</v>
      </c>
    </row>
    <row r="9" spans="2:27">
      <c r="B9" s="76">
        <v>8</v>
      </c>
      <c r="C9" s="76">
        <f t="shared" si="1"/>
        <v>52</v>
      </c>
      <c r="D9" s="55">
        <f t="shared" si="2"/>
        <v>45</v>
      </c>
      <c r="E9" s="55">
        <f t="shared" si="3"/>
        <v>100</v>
      </c>
      <c r="F9" s="76">
        <f t="shared" si="4"/>
        <v>8.87655577654276</v>
      </c>
      <c r="I9" s="76">
        <v>8</v>
      </c>
      <c r="J9" s="76">
        <f t="shared" si="14"/>
        <v>480</v>
      </c>
      <c r="K9" s="76">
        <f>SUM(J$2:J9)</f>
        <v>1200</v>
      </c>
      <c r="L9" s="76">
        <f t="shared" si="5"/>
        <v>0.0138888888888889</v>
      </c>
      <c r="N9" s="76">
        <v>1.2</v>
      </c>
      <c r="O9" s="76">
        <f t="shared" si="6"/>
        <v>20800</v>
      </c>
      <c r="P9" s="76">
        <f t="shared" si="13"/>
        <v>9550</v>
      </c>
      <c r="R9" s="76">
        <v>5</v>
      </c>
      <c r="S9" s="76">
        <f t="shared" si="0"/>
        <v>10.4</v>
      </c>
      <c r="T9" s="76">
        <f t="shared" si="7"/>
        <v>14.5</v>
      </c>
      <c r="V9" s="76">
        <f t="shared" si="8"/>
        <v>3.12</v>
      </c>
      <c r="W9" s="76">
        <f t="shared" si="9"/>
        <v>4.35</v>
      </c>
      <c r="Y9" s="76">
        <f t="shared" si="10"/>
        <v>6666.66666666667</v>
      </c>
      <c r="Z9" s="76">
        <f t="shared" si="11"/>
        <v>1.85185185185185</v>
      </c>
      <c r="AA9" s="76">
        <f t="shared" si="12"/>
        <v>0.0771604938271605</v>
      </c>
    </row>
    <row r="10" spans="2:27">
      <c r="B10" s="76">
        <v>9</v>
      </c>
      <c r="C10" s="76">
        <f t="shared" si="1"/>
        <v>58</v>
      </c>
      <c r="D10" s="55">
        <f t="shared" si="2"/>
        <v>50</v>
      </c>
      <c r="E10" s="55">
        <f t="shared" si="3"/>
        <v>110</v>
      </c>
      <c r="F10" s="76">
        <f t="shared" si="4"/>
        <v>10.0451085663051</v>
      </c>
      <c r="I10" s="76">
        <v>10</v>
      </c>
      <c r="J10" s="76">
        <f t="shared" si="14"/>
        <v>600</v>
      </c>
      <c r="K10" s="76">
        <f>SUM(J$2:J10)</f>
        <v>1800</v>
      </c>
      <c r="L10" s="76">
        <f t="shared" si="5"/>
        <v>0.0208333333333333</v>
      </c>
      <c r="N10" s="76">
        <v>1.2</v>
      </c>
      <c r="O10" s="76">
        <f t="shared" si="6"/>
        <v>29000</v>
      </c>
      <c r="P10" s="76">
        <f t="shared" si="13"/>
        <v>8200</v>
      </c>
      <c r="R10" s="76">
        <v>5</v>
      </c>
      <c r="S10" s="76">
        <f t="shared" si="0"/>
        <v>11.6</v>
      </c>
      <c r="T10" s="76">
        <f t="shared" si="7"/>
        <v>16</v>
      </c>
      <c r="V10" s="76">
        <f t="shared" si="8"/>
        <v>3.48</v>
      </c>
      <c r="W10" s="76">
        <f t="shared" si="9"/>
        <v>4.8</v>
      </c>
      <c r="Y10" s="76">
        <f t="shared" si="10"/>
        <v>8333.33333333333</v>
      </c>
      <c r="Z10" s="76">
        <f t="shared" si="11"/>
        <v>2.31481481481481</v>
      </c>
      <c r="AA10" s="76">
        <f t="shared" si="12"/>
        <v>0.0964506172839506</v>
      </c>
    </row>
    <row r="11" spans="2:27">
      <c r="B11" s="76">
        <v>10</v>
      </c>
      <c r="C11" s="76">
        <f t="shared" si="1"/>
        <v>65</v>
      </c>
      <c r="D11" s="55">
        <f t="shared" si="2"/>
        <v>55</v>
      </c>
      <c r="E11" s="55">
        <f t="shared" si="3"/>
        <v>120</v>
      </c>
      <c r="F11" s="76">
        <f t="shared" si="4"/>
        <v>11.2201845430196</v>
      </c>
      <c r="H11" s="76">
        <v>2</v>
      </c>
      <c r="I11" s="76">
        <f>I10+H11</f>
        <v>12</v>
      </c>
      <c r="J11" s="76">
        <f t="shared" si="14"/>
        <v>720</v>
      </c>
      <c r="K11" s="76">
        <f>SUM(J$2:J11)</f>
        <v>2520</v>
      </c>
      <c r="L11" s="76">
        <f t="shared" si="5"/>
        <v>0.0291666666666667</v>
      </c>
      <c r="N11" s="76">
        <v>1.2</v>
      </c>
      <c r="O11" s="76">
        <f t="shared" si="6"/>
        <v>39000</v>
      </c>
      <c r="P11" s="76">
        <f t="shared" si="13"/>
        <v>10000</v>
      </c>
      <c r="R11" s="76">
        <v>5</v>
      </c>
      <c r="S11" s="76">
        <f t="shared" si="0"/>
        <v>13</v>
      </c>
      <c r="T11" s="76">
        <f t="shared" si="7"/>
        <v>17.5</v>
      </c>
      <c r="V11" s="76">
        <f t="shared" si="8"/>
        <v>3.9</v>
      </c>
      <c r="W11" s="76">
        <f t="shared" si="9"/>
        <v>5.25</v>
      </c>
      <c r="Y11" s="76">
        <f t="shared" si="10"/>
        <v>10000</v>
      </c>
      <c r="Z11" s="76">
        <f t="shared" si="11"/>
        <v>2.77777777777778</v>
      </c>
      <c r="AA11" s="76">
        <f t="shared" si="12"/>
        <v>0.115740740740741</v>
      </c>
    </row>
    <row r="12" spans="2:27">
      <c r="B12" s="76">
        <v>11</v>
      </c>
      <c r="C12" s="76">
        <f t="shared" si="1"/>
        <v>71</v>
      </c>
      <c r="D12" s="55">
        <f t="shared" si="2"/>
        <v>60</v>
      </c>
      <c r="E12" s="55">
        <f t="shared" si="3"/>
        <v>130</v>
      </c>
      <c r="F12" s="76">
        <f t="shared" si="4"/>
        <v>12.4011602457362</v>
      </c>
      <c r="H12" s="76">
        <v>4</v>
      </c>
      <c r="I12" s="76">
        <f t="shared" ref="I12:I75" si="15">I11+H12</f>
        <v>16</v>
      </c>
      <c r="J12" s="76">
        <f t="shared" si="14"/>
        <v>960</v>
      </c>
      <c r="K12" s="76">
        <f>SUM(J$2:J12)</f>
        <v>3480</v>
      </c>
      <c r="L12" s="76">
        <f t="shared" si="5"/>
        <v>0.0402777777777778</v>
      </c>
      <c r="N12" s="76">
        <v>1.2</v>
      </c>
      <c r="O12" s="76">
        <f t="shared" si="6"/>
        <v>56800</v>
      </c>
      <c r="P12" s="76">
        <f t="shared" si="13"/>
        <v>17800</v>
      </c>
      <c r="R12" s="76">
        <v>5</v>
      </c>
      <c r="S12" s="76">
        <f t="shared" si="0"/>
        <v>14.2</v>
      </c>
      <c r="T12" s="76">
        <f t="shared" si="7"/>
        <v>19</v>
      </c>
      <c r="V12" s="76">
        <f t="shared" si="8"/>
        <v>4.26</v>
      </c>
      <c r="W12" s="76">
        <f t="shared" si="9"/>
        <v>5.7</v>
      </c>
      <c r="Y12" s="76">
        <f t="shared" si="10"/>
        <v>13333.3333333333</v>
      </c>
      <c r="Z12" s="76">
        <f t="shared" si="11"/>
        <v>3.7037037037037</v>
      </c>
      <c r="AA12" s="76">
        <f t="shared" si="12"/>
        <v>0.154320987654321</v>
      </c>
    </row>
    <row r="13" spans="2:27">
      <c r="B13" s="76">
        <v>12</v>
      </c>
      <c r="C13" s="76">
        <f t="shared" si="1"/>
        <v>78</v>
      </c>
      <c r="D13" s="55">
        <f t="shared" si="2"/>
        <v>65</v>
      </c>
      <c r="E13" s="55">
        <f t="shared" si="3"/>
        <v>140</v>
      </c>
      <c r="F13" s="76">
        <f t="shared" si="4"/>
        <v>13.5875235040864</v>
      </c>
      <c r="H13" s="76">
        <v>6</v>
      </c>
      <c r="I13" s="76">
        <f t="shared" si="15"/>
        <v>22</v>
      </c>
      <c r="J13" s="76">
        <f t="shared" si="14"/>
        <v>1320</v>
      </c>
      <c r="K13" s="76">
        <f>SUM(J$2:J13)</f>
        <v>4800</v>
      </c>
      <c r="L13" s="76">
        <f t="shared" si="5"/>
        <v>0.0555555555555556</v>
      </c>
      <c r="N13" s="76">
        <v>1.2</v>
      </c>
      <c r="O13" s="76">
        <f t="shared" si="6"/>
        <v>85800</v>
      </c>
      <c r="P13" s="76">
        <f t="shared" si="13"/>
        <v>29000</v>
      </c>
      <c r="R13" s="76">
        <v>5</v>
      </c>
      <c r="S13" s="76">
        <f t="shared" si="0"/>
        <v>15.6</v>
      </c>
      <c r="T13" s="76">
        <f t="shared" si="7"/>
        <v>20.5</v>
      </c>
      <c r="V13" s="76">
        <f t="shared" si="8"/>
        <v>4.68</v>
      </c>
      <c r="W13" s="76">
        <f t="shared" si="9"/>
        <v>6.15</v>
      </c>
      <c r="Y13" s="76">
        <f t="shared" si="10"/>
        <v>18333.3333333333</v>
      </c>
      <c r="Z13" s="76">
        <f t="shared" si="11"/>
        <v>5.09259259259259</v>
      </c>
      <c r="AA13" s="76">
        <f t="shared" si="12"/>
        <v>0.212191358024691</v>
      </c>
    </row>
    <row r="14" spans="2:27">
      <c r="B14" s="76">
        <v>13</v>
      </c>
      <c r="C14" s="76">
        <f t="shared" si="1"/>
        <v>84</v>
      </c>
      <c r="D14" s="55">
        <f t="shared" si="2"/>
        <v>70</v>
      </c>
      <c r="E14" s="55">
        <f t="shared" si="3"/>
        <v>150</v>
      </c>
      <c r="F14" s="76">
        <f t="shared" si="4"/>
        <v>14.7788458721228</v>
      </c>
      <c r="H14" s="76">
        <v>8</v>
      </c>
      <c r="I14" s="76">
        <f t="shared" si="15"/>
        <v>30</v>
      </c>
      <c r="J14" s="76">
        <f t="shared" si="14"/>
        <v>1800</v>
      </c>
      <c r="K14" s="76">
        <f>SUM(J$2:J14)</f>
        <v>6600</v>
      </c>
      <c r="L14" s="76">
        <f t="shared" si="5"/>
        <v>0.0763888888888889</v>
      </c>
      <c r="N14" s="76">
        <v>1.2</v>
      </c>
      <c r="O14" s="76">
        <f t="shared" si="6"/>
        <v>126000</v>
      </c>
      <c r="P14" s="76">
        <f t="shared" si="13"/>
        <v>40200</v>
      </c>
      <c r="R14" s="76">
        <v>5</v>
      </c>
      <c r="S14" s="76">
        <f t="shared" si="0"/>
        <v>16.8</v>
      </c>
      <c r="T14" s="76">
        <f t="shared" si="7"/>
        <v>22</v>
      </c>
      <c r="V14" s="76">
        <f t="shared" si="8"/>
        <v>5.04</v>
      </c>
      <c r="W14" s="76">
        <f t="shared" si="9"/>
        <v>6.6</v>
      </c>
      <c r="Y14" s="76">
        <f t="shared" si="10"/>
        <v>25000</v>
      </c>
      <c r="Z14" s="76">
        <f t="shared" si="11"/>
        <v>6.94444444444444</v>
      </c>
      <c r="AA14" s="76">
        <f t="shared" si="12"/>
        <v>0.289351851851852</v>
      </c>
    </row>
    <row r="15" spans="2:27">
      <c r="B15" s="76">
        <v>14</v>
      </c>
      <c r="C15" s="76">
        <f t="shared" si="1"/>
        <v>91</v>
      </c>
      <c r="D15" s="55">
        <f t="shared" si="2"/>
        <v>75</v>
      </c>
      <c r="E15" s="55">
        <f t="shared" si="3"/>
        <v>160</v>
      </c>
      <c r="F15" s="76">
        <f t="shared" si="4"/>
        <v>15.9747635051735</v>
      </c>
      <c r="H15" s="76">
        <v>10</v>
      </c>
      <c r="I15" s="76">
        <f t="shared" si="15"/>
        <v>40</v>
      </c>
      <c r="J15" s="76">
        <f t="shared" si="14"/>
        <v>2400</v>
      </c>
      <c r="K15" s="76">
        <f>SUM(J$2:J15)</f>
        <v>9000</v>
      </c>
      <c r="L15" s="76">
        <f t="shared" si="5"/>
        <v>0.104166666666667</v>
      </c>
      <c r="N15" s="76">
        <v>1.2</v>
      </c>
      <c r="O15" s="76">
        <f t="shared" si="6"/>
        <v>182000</v>
      </c>
      <c r="P15" s="76">
        <f t="shared" si="13"/>
        <v>56000</v>
      </c>
      <c r="R15" s="76">
        <v>5</v>
      </c>
      <c r="S15" s="76">
        <f t="shared" si="0"/>
        <v>18.2</v>
      </c>
      <c r="T15" s="76">
        <f t="shared" si="7"/>
        <v>23.5</v>
      </c>
      <c r="V15" s="76">
        <f t="shared" si="8"/>
        <v>5.46</v>
      </c>
      <c r="W15" s="76">
        <f t="shared" si="9"/>
        <v>7.05</v>
      </c>
      <c r="Y15" s="76">
        <f t="shared" si="10"/>
        <v>33333.3333333333</v>
      </c>
      <c r="Z15" s="76">
        <f t="shared" si="11"/>
        <v>9.25925925925926</v>
      </c>
      <c r="AA15" s="76">
        <f t="shared" si="12"/>
        <v>0.385802469135803</v>
      </c>
    </row>
    <row r="16" spans="2:27">
      <c r="B16" s="76">
        <v>15</v>
      </c>
      <c r="C16" s="76">
        <f t="shared" si="1"/>
        <v>98</v>
      </c>
      <c r="D16" s="55">
        <f t="shared" si="2"/>
        <v>80</v>
      </c>
      <c r="E16" s="55">
        <f t="shared" si="3"/>
        <v>170</v>
      </c>
      <c r="F16" s="76">
        <f t="shared" si="4"/>
        <v>17.1749634696538</v>
      </c>
      <c r="H16" s="76">
        <v>15</v>
      </c>
      <c r="I16" s="76">
        <f t="shared" si="15"/>
        <v>55</v>
      </c>
      <c r="J16" s="76">
        <f t="shared" si="14"/>
        <v>3300</v>
      </c>
      <c r="K16" s="76">
        <f>SUM(J$2:J16)</f>
        <v>12300</v>
      </c>
      <c r="L16" s="76">
        <f t="shared" si="5"/>
        <v>0.142361111111111</v>
      </c>
      <c r="N16" s="76">
        <v>1.2</v>
      </c>
      <c r="O16" s="76">
        <f t="shared" si="6"/>
        <v>269500</v>
      </c>
      <c r="P16" s="76">
        <f t="shared" si="13"/>
        <v>87500</v>
      </c>
      <c r="R16" s="76">
        <v>5</v>
      </c>
      <c r="S16" s="76">
        <f t="shared" si="0"/>
        <v>19.6</v>
      </c>
      <c r="T16" s="76">
        <f t="shared" si="7"/>
        <v>25</v>
      </c>
      <c r="V16" s="76">
        <f t="shared" si="8"/>
        <v>5.88</v>
      </c>
      <c r="W16" s="76">
        <f t="shared" si="9"/>
        <v>7.5</v>
      </c>
      <c r="Y16" s="76">
        <f t="shared" si="10"/>
        <v>45833.3333333333</v>
      </c>
      <c r="Z16" s="76">
        <f t="shared" si="11"/>
        <v>12.7314814814815</v>
      </c>
      <c r="AA16" s="76">
        <f t="shared" si="12"/>
        <v>0.530478395061728</v>
      </c>
    </row>
    <row r="17" spans="2:27">
      <c r="B17" s="76">
        <v>16</v>
      </c>
      <c r="C17" s="76">
        <f t="shared" si="1"/>
        <v>104</v>
      </c>
      <c r="D17" s="55">
        <f t="shared" si="2"/>
        <v>85</v>
      </c>
      <c r="E17" s="55">
        <f t="shared" si="3"/>
        <v>180</v>
      </c>
      <c r="F17" s="76">
        <f t="shared" si="4"/>
        <v>18.3791736799526</v>
      </c>
      <c r="H17" s="76">
        <v>20</v>
      </c>
      <c r="I17" s="76">
        <f t="shared" si="15"/>
        <v>75</v>
      </c>
      <c r="J17" s="76">
        <f t="shared" si="14"/>
        <v>4500</v>
      </c>
      <c r="K17" s="76">
        <f>SUM(J$2:J17)</f>
        <v>16800</v>
      </c>
      <c r="L17" s="76">
        <f t="shared" si="5"/>
        <v>0.194444444444444</v>
      </c>
      <c r="N17" s="76">
        <v>1.2</v>
      </c>
      <c r="O17" s="76">
        <f t="shared" si="6"/>
        <v>390000</v>
      </c>
      <c r="P17" s="76">
        <f t="shared" si="13"/>
        <v>120500</v>
      </c>
      <c r="R17" s="76">
        <v>5</v>
      </c>
      <c r="S17" s="76">
        <f t="shared" si="0"/>
        <v>20.8</v>
      </c>
      <c r="T17" s="76">
        <f t="shared" si="7"/>
        <v>26.5</v>
      </c>
      <c r="V17" s="76">
        <f t="shared" si="8"/>
        <v>6.24</v>
      </c>
      <c r="W17" s="76">
        <f t="shared" si="9"/>
        <v>7.95</v>
      </c>
      <c r="Y17" s="76">
        <f t="shared" si="10"/>
        <v>62500</v>
      </c>
      <c r="Z17" s="76">
        <f t="shared" si="11"/>
        <v>17.3611111111111</v>
      </c>
      <c r="AA17" s="76">
        <f t="shared" si="12"/>
        <v>0.72337962962963</v>
      </c>
    </row>
    <row r="18" spans="2:27">
      <c r="B18" s="76">
        <v>17</v>
      </c>
      <c r="C18" s="76">
        <f t="shared" si="1"/>
        <v>111</v>
      </c>
      <c r="D18" s="55">
        <f t="shared" si="2"/>
        <v>90</v>
      </c>
      <c r="E18" s="55">
        <f t="shared" si="3"/>
        <v>190</v>
      </c>
      <c r="F18" s="76">
        <f t="shared" si="4"/>
        <v>19.5871553330948</v>
      </c>
      <c r="H18" s="76">
        <v>30</v>
      </c>
      <c r="I18" s="76">
        <f t="shared" si="15"/>
        <v>105</v>
      </c>
      <c r="J18" s="76">
        <f t="shared" si="14"/>
        <v>6300</v>
      </c>
      <c r="K18" s="76">
        <f>SUM(J$2:J18)</f>
        <v>23100</v>
      </c>
      <c r="L18" s="76">
        <f t="shared" si="5"/>
        <v>0.267361111111111</v>
      </c>
      <c r="N18" s="76">
        <v>1.2</v>
      </c>
      <c r="O18" s="76">
        <f t="shared" si="6"/>
        <v>582750</v>
      </c>
      <c r="P18" s="76">
        <f t="shared" si="13"/>
        <v>192750</v>
      </c>
      <c r="R18" s="76">
        <v>5</v>
      </c>
      <c r="S18" s="76">
        <f t="shared" si="0"/>
        <v>22.2</v>
      </c>
      <c r="T18" s="76">
        <f t="shared" si="7"/>
        <v>28</v>
      </c>
      <c r="V18" s="76">
        <f t="shared" si="8"/>
        <v>6.66</v>
      </c>
      <c r="W18" s="76">
        <f t="shared" si="9"/>
        <v>8.4</v>
      </c>
      <c r="Y18" s="76">
        <f t="shared" si="10"/>
        <v>87500</v>
      </c>
      <c r="Z18" s="76">
        <f t="shared" si="11"/>
        <v>24.3055555555556</v>
      </c>
      <c r="AA18" s="76">
        <f t="shared" si="12"/>
        <v>1.01273148148148</v>
      </c>
    </row>
    <row r="19" spans="2:27">
      <c r="B19" s="76">
        <v>18</v>
      </c>
      <c r="C19" s="76">
        <f t="shared" si="1"/>
        <v>118</v>
      </c>
      <c r="D19" s="55">
        <f t="shared" si="2"/>
        <v>95</v>
      </c>
      <c r="E19" s="55">
        <f t="shared" si="3"/>
        <v>200</v>
      </c>
      <c r="F19" s="76">
        <f t="shared" si="4"/>
        <v>20.7986971097485</v>
      </c>
      <c r="H19" s="76">
        <v>40</v>
      </c>
      <c r="I19" s="76">
        <f t="shared" si="15"/>
        <v>145</v>
      </c>
      <c r="J19" s="76">
        <f t="shared" si="14"/>
        <v>8700</v>
      </c>
      <c r="K19" s="76">
        <f>SUM(J$2:J19)</f>
        <v>31800</v>
      </c>
      <c r="L19" s="76">
        <f t="shared" si="5"/>
        <v>0.368055555555556</v>
      </c>
      <c r="N19" s="76">
        <v>1.2</v>
      </c>
      <c r="O19" s="76">
        <f t="shared" si="6"/>
        <v>855500</v>
      </c>
      <c r="P19" s="76">
        <f t="shared" si="13"/>
        <v>272750</v>
      </c>
      <c r="R19" s="76">
        <v>5</v>
      </c>
      <c r="S19" s="76">
        <f t="shared" si="0"/>
        <v>23.6</v>
      </c>
      <c r="T19" s="76">
        <f t="shared" si="7"/>
        <v>29.5</v>
      </c>
      <c r="V19" s="76">
        <f t="shared" si="8"/>
        <v>7.08</v>
      </c>
      <c r="W19" s="76">
        <f t="shared" si="9"/>
        <v>8.85</v>
      </c>
      <c r="Y19" s="76">
        <f t="shared" si="10"/>
        <v>120833.333333333</v>
      </c>
      <c r="Z19" s="76">
        <f t="shared" si="11"/>
        <v>33.5648148148148</v>
      </c>
      <c r="AA19" s="76">
        <f t="shared" si="12"/>
        <v>1.39853395061728</v>
      </c>
    </row>
    <row r="20" spans="2:27">
      <c r="B20" s="76">
        <v>19</v>
      </c>
      <c r="C20" s="76">
        <f t="shared" si="1"/>
        <v>125</v>
      </c>
      <c r="D20" s="55">
        <f t="shared" si="2"/>
        <v>100</v>
      </c>
      <c r="E20" s="55">
        <f t="shared" si="3"/>
        <v>210</v>
      </c>
      <c r="F20" s="76">
        <f t="shared" si="4"/>
        <v>22.0136106533508</v>
      </c>
      <c r="H20" s="76">
        <v>60</v>
      </c>
      <c r="I20" s="76">
        <f t="shared" si="15"/>
        <v>205</v>
      </c>
      <c r="J20" s="76">
        <f t="shared" si="14"/>
        <v>12300</v>
      </c>
      <c r="K20" s="76">
        <f>SUM(J$2:J20)</f>
        <v>44100</v>
      </c>
      <c r="L20" s="76">
        <f t="shared" si="5"/>
        <v>0.510416666666667</v>
      </c>
      <c r="N20" s="76">
        <v>1.2</v>
      </c>
      <c r="O20" s="76">
        <f t="shared" si="6"/>
        <v>1281250</v>
      </c>
      <c r="P20" s="76">
        <f t="shared" si="13"/>
        <v>425750</v>
      </c>
      <c r="R20" s="76">
        <v>5</v>
      </c>
      <c r="S20" s="76">
        <f t="shared" si="0"/>
        <v>25</v>
      </c>
      <c r="T20" s="76">
        <f t="shared" si="7"/>
        <v>31</v>
      </c>
      <c r="V20" s="76">
        <f t="shared" si="8"/>
        <v>7.5</v>
      </c>
      <c r="W20" s="76">
        <f t="shared" si="9"/>
        <v>9.3</v>
      </c>
      <c r="Y20" s="76">
        <f t="shared" si="10"/>
        <v>170833.333333333</v>
      </c>
      <c r="Z20" s="76">
        <f t="shared" si="11"/>
        <v>47.4537037037037</v>
      </c>
      <c r="AA20" s="76">
        <f t="shared" si="12"/>
        <v>1.97723765432099</v>
      </c>
    </row>
    <row r="21" spans="2:27">
      <c r="B21" s="76">
        <v>20</v>
      </c>
      <c r="C21" s="76">
        <f t="shared" si="1"/>
        <v>132</v>
      </c>
      <c r="D21" s="55">
        <f t="shared" si="2"/>
        <v>105</v>
      </c>
      <c r="E21" s="55">
        <f t="shared" si="3"/>
        <v>220</v>
      </c>
      <c r="F21" s="76">
        <f t="shared" si="4"/>
        <v>23.2317269928308</v>
      </c>
      <c r="H21" s="76">
        <v>30</v>
      </c>
      <c r="I21" s="76">
        <f t="shared" si="15"/>
        <v>235</v>
      </c>
      <c r="J21" s="76">
        <f t="shared" si="14"/>
        <v>14100</v>
      </c>
      <c r="K21" s="76">
        <f>SUM(J$2:J21)</f>
        <v>58200</v>
      </c>
      <c r="L21" s="76">
        <f t="shared" si="5"/>
        <v>0.673611111111111</v>
      </c>
      <c r="N21" s="76">
        <v>1.2</v>
      </c>
      <c r="O21" s="76">
        <f t="shared" si="6"/>
        <v>1551000</v>
      </c>
      <c r="P21" s="76">
        <f t="shared" si="13"/>
        <v>269750</v>
      </c>
      <c r="R21" s="76">
        <v>5</v>
      </c>
      <c r="S21" s="76">
        <f t="shared" si="0"/>
        <v>26.4</v>
      </c>
      <c r="T21" s="76">
        <f t="shared" si="7"/>
        <v>32.5</v>
      </c>
      <c r="V21" s="76">
        <f t="shared" si="8"/>
        <v>7.92</v>
      </c>
      <c r="W21" s="76">
        <f t="shared" si="9"/>
        <v>9.75</v>
      </c>
      <c r="Y21" s="76">
        <f t="shared" si="10"/>
        <v>195833.333333333</v>
      </c>
      <c r="Z21" s="76">
        <f t="shared" si="11"/>
        <v>54.3981481481482</v>
      </c>
      <c r="AA21" s="76">
        <f t="shared" si="12"/>
        <v>2.26658950617284</v>
      </c>
    </row>
    <row r="22" spans="2:27">
      <c r="B22" s="76">
        <v>21</v>
      </c>
      <c r="C22" s="76">
        <f t="shared" si="1"/>
        <v>138</v>
      </c>
      <c r="D22" s="55">
        <f t="shared" si="2"/>
        <v>110</v>
      </c>
      <c r="E22" s="55">
        <f t="shared" si="3"/>
        <v>230</v>
      </c>
      <c r="F22" s="76">
        <f t="shared" si="4"/>
        <v>24.4528936744097</v>
      </c>
      <c r="H22" s="76">
        <v>32</v>
      </c>
      <c r="I22" s="76">
        <f t="shared" si="15"/>
        <v>267</v>
      </c>
      <c r="J22" s="76">
        <f t="shared" si="14"/>
        <v>16020</v>
      </c>
      <c r="K22" s="76">
        <f>SUM(J$2:J22)</f>
        <v>74220</v>
      </c>
      <c r="L22" s="76">
        <f t="shared" si="5"/>
        <v>0.859027777777778</v>
      </c>
      <c r="N22" s="76">
        <v>1.2</v>
      </c>
      <c r="O22" s="76">
        <f t="shared" si="6"/>
        <v>1842300</v>
      </c>
      <c r="P22" s="76">
        <f t="shared" si="13"/>
        <v>291300</v>
      </c>
      <c r="R22" s="76">
        <v>5</v>
      </c>
      <c r="S22" s="76">
        <f t="shared" si="0"/>
        <v>27.6</v>
      </c>
      <c r="T22" s="76">
        <f t="shared" si="7"/>
        <v>34</v>
      </c>
      <c r="V22" s="76">
        <f t="shared" si="8"/>
        <v>8.28</v>
      </c>
      <c r="W22" s="76">
        <f t="shared" si="9"/>
        <v>10.2</v>
      </c>
      <c r="Y22" s="76">
        <f t="shared" si="10"/>
        <v>222500</v>
      </c>
      <c r="Z22" s="76">
        <f t="shared" si="11"/>
        <v>61.8055555555556</v>
      </c>
      <c r="AA22" s="76">
        <f t="shared" si="12"/>
        <v>2.57523148148148</v>
      </c>
    </row>
    <row r="23" spans="2:27">
      <c r="B23" s="76">
        <v>22</v>
      </c>
      <c r="C23" s="76">
        <f t="shared" si="1"/>
        <v>145</v>
      </c>
      <c r="D23" s="55">
        <f t="shared" si="2"/>
        <v>115</v>
      </c>
      <c r="E23" s="55">
        <f t="shared" si="3"/>
        <v>240</v>
      </c>
      <c r="F23" s="76">
        <f t="shared" si="4"/>
        <v>25.6769724346935</v>
      </c>
      <c r="H23" s="76">
        <v>34</v>
      </c>
      <c r="I23" s="76">
        <f t="shared" si="15"/>
        <v>301</v>
      </c>
      <c r="J23" s="76">
        <f t="shared" si="14"/>
        <v>18060</v>
      </c>
      <c r="K23" s="76">
        <f>SUM(J$2:J23)</f>
        <v>92280</v>
      </c>
      <c r="L23" s="76">
        <f t="shared" si="5"/>
        <v>1.06805555555556</v>
      </c>
      <c r="N23" s="76">
        <v>1.2</v>
      </c>
      <c r="O23" s="76">
        <f t="shared" si="6"/>
        <v>2182250</v>
      </c>
      <c r="P23" s="76">
        <f t="shared" si="13"/>
        <v>339950</v>
      </c>
      <c r="R23" s="76">
        <v>5</v>
      </c>
      <c r="S23" s="76">
        <f t="shared" si="0"/>
        <v>29</v>
      </c>
      <c r="T23" s="76">
        <f t="shared" si="7"/>
        <v>35.5</v>
      </c>
      <c r="V23" s="76">
        <f t="shared" si="8"/>
        <v>8.7</v>
      </c>
      <c r="W23" s="76">
        <f t="shared" si="9"/>
        <v>10.65</v>
      </c>
      <c r="Y23" s="76">
        <f t="shared" si="10"/>
        <v>250833.333333333</v>
      </c>
      <c r="Z23" s="76">
        <f t="shared" si="11"/>
        <v>69.6759259259259</v>
      </c>
      <c r="AA23" s="76">
        <f t="shared" si="12"/>
        <v>2.90316358024691</v>
      </c>
    </row>
    <row r="24" spans="2:27">
      <c r="B24" s="76">
        <v>23</v>
      </c>
      <c r="C24" s="76">
        <f t="shared" si="1"/>
        <v>152</v>
      </c>
      <c r="D24" s="55">
        <f t="shared" si="2"/>
        <v>120</v>
      </c>
      <c r="E24" s="55">
        <f t="shared" si="3"/>
        <v>250</v>
      </c>
      <c r="F24" s="76">
        <f t="shared" si="4"/>
        <v>26.9038372928386</v>
      </c>
      <c r="H24" s="76">
        <v>10</v>
      </c>
      <c r="I24" s="76">
        <f t="shared" si="15"/>
        <v>311</v>
      </c>
      <c r="J24" s="76">
        <f t="shared" si="14"/>
        <v>18660</v>
      </c>
      <c r="K24" s="76">
        <f>SUM(J$2:J24)</f>
        <v>110940</v>
      </c>
      <c r="L24" s="76">
        <f t="shared" si="5"/>
        <v>1.28402777777778</v>
      </c>
      <c r="N24" s="76">
        <v>1.2</v>
      </c>
      <c r="O24" s="76">
        <f t="shared" si="6"/>
        <v>2363600</v>
      </c>
      <c r="P24" s="76">
        <f t="shared" si="13"/>
        <v>181350</v>
      </c>
      <c r="R24" s="76">
        <v>5</v>
      </c>
      <c r="S24" s="76">
        <f t="shared" si="0"/>
        <v>30.4</v>
      </c>
      <c r="T24" s="76">
        <f t="shared" si="7"/>
        <v>37</v>
      </c>
      <c r="V24" s="76">
        <f t="shared" si="8"/>
        <v>9.12</v>
      </c>
      <c r="W24" s="76">
        <f t="shared" si="9"/>
        <v>11.1</v>
      </c>
      <c r="Y24" s="76">
        <f t="shared" si="10"/>
        <v>259166.666666667</v>
      </c>
      <c r="Z24" s="76">
        <f t="shared" si="11"/>
        <v>71.9907407407407</v>
      </c>
      <c r="AA24" s="76">
        <f t="shared" si="12"/>
        <v>2.99961419753086</v>
      </c>
    </row>
    <row r="25" spans="2:27">
      <c r="B25" s="76">
        <v>24</v>
      </c>
      <c r="C25" s="76">
        <f t="shared" si="1"/>
        <v>159</v>
      </c>
      <c r="D25" s="55">
        <f t="shared" si="2"/>
        <v>125</v>
      </c>
      <c r="E25" s="55">
        <f t="shared" si="3"/>
        <v>260</v>
      </c>
      <c r="F25" s="76">
        <f t="shared" si="4"/>
        <v>28.133372971302</v>
      </c>
      <c r="H25" s="76">
        <v>12</v>
      </c>
      <c r="I25" s="76">
        <f t="shared" si="15"/>
        <v>323</v>
      </c>
      <c r="J25" s="76">
        <f t="shared" si="14"/>
        <v>19380</v>
      </c>
      <c r="K25" s="76">
        <f>SUM(J$2:J25)</f>
        <v>130320</v>
      </c>
      <c r="L25" s="76">
        <f t="shared" si="5"/>
        <v>1.50833333333333</v>
      </c>
      <c r="N25" s="76">
        <v>1.2</v>
      </c>
      <c r="O25" s="76">
        <f t="shared" si="6"/>
        <v>2567850</v>
      </c>
      <c r="P25" s="76">
        <f t="shared" si="13"/>
        <v>204250</v>
      </c>
      <c r="R25" s="76">
        <v>5</v>
      </c>
      <c r="S25" s="76">
        <f t="shared" si="0"/>
        <v>31.8</v>
      </c>
      <c r="T25" s="76">
        <f t="shared" si="7"/>
        <v>38.5</v>
      </c>
      <c r="V25" s="76">
        <f t="shared" si="8"/>
        <v>9.54</v>
      </c>
      <c r="W25" s="76">
        <f t="shared" si="9"/>
        <v>11.55</v>
      </c>
      <c r="Y25" s="76">
        <f t="shared" si="10"/>
        <v>269166.666666667</v>
      </c>
      <c r="Z25" s="76">
        <f t="shared" si="11"/>
        <v>74.7685185185185</v>
      </c>
      <c r="AA25" s="76">
        <f t="shared" si="12"/>
        <v>3.11535493827161</v>
      </c>
    </row>
    <row r="26" spans="2:27">
      <c r="B26" s="76">
        <v>25</v>
      </c>
      <c r="C26" s="76">
        <f t="shared" si="1"/>
        <v>166</v>
      </c>
      <c r="D26" s="55">
        <f t="shared" si="2"/>
        <v>130</v>
      </c>
      <c r="E26" s="55">
        <f t="shared" si="3"/>
        <v>270</v>
      </c>
      <c r="F26" s="76">
        <f t="shared" si="4"/>
        <v>29.3654735772005</v>
      </c>
      <c r="H26" s="76">
        <v>14</v>
      </c>
      <c r="I26" s="76">
        <f t="shared" si="15"/>
        <v>337</v>
      </c>
      <c r="J26" s="76">
        <f t="shared" si="14"/>
        <v>20220</v>
      </c>
      <c r="K26" s="76">
        <f>SUM(J$2:J26)</f>
        <v>150540</v>
      </c>
      <c r="L26" s="76">
        <f t="shared" si="5"/>
        <v>1.74236111111111</v>
      </c>
      <c r="N26" s="76">
        <v>1.2</v>
      </c>
      <c r="O26" s="76">
        <f t="shared" si="6"/>
        <v>2797100</v>
      </c>
      <c r="P26" s="76">
        <f t="shared" si="13"/>
        <v>229250</v>
      </c>
      <c r="R26" s="76">
        <v>5</v>
      </c>
      <c r="S26" s="76">
        <f t="shared" si="0"/>
        <v>33.2</v>
      </c>
      <c r="T26" s="76">
        <f t="shared" si="7"/>
        <v>40</v>
      </c>
      <c r="V26" s="76">
        <f t="shared" si="8"/>
        <v>9.96</v>
      </c>
      <c r="W26" s="76">
        <f t="shared" si="9"/>
        <v>12</v>
      </c>
      <c r="Y26" s="76">
        <f t="shared" si="10"/>
        <v>280833.333333333</v>
      </c>
      <c r="Z26" s="76">
        <f t="shared" si="11"/>
        <v>78.0092592592593</v>
      </c>
      <c r="AA26" s="76">
        <f t="shared" si="12"/>
        <v>3.25038580246914</v>
      </c>
    </row>
    <row r="27" spans="2:27">
      <c r="B27" s="76">
        <v>26</v>
      </c>
      <c r="C27" s="76">
        <f t="shared" si="1"/>
        <v>173</v>
      </c>
      <c r="D27" s="55">
        <f t="shared" si="2"/>
        <v>135</v>
      </c>
      <c r="E27" s="55">
        <f t="shared" si="3"/>
        <v>280</v>
      </c>
      <c r="F27" s="76">
        <f t="shared" si="4"/>
        <v>30.6000414925333</v>
      </c>
      <c r="H27" s="76">
        <v>16</v>
      </c>
      <c r="I27" s="76">
        <f t="shared" si="15"/>
        <v>353</v>
      </c>
      <c r="J27" s="76">
        <f t="shared" si="14"/>
        <v>21180</v>
      </c>
      <c r="K27" s="76">
        <f>SUM(J$2:J27)</f>
        <v>171720</v>
      </c>
      <c r="L27" s="76">
        <f t="shared" si="5"/>
        <v>1.9875</v>
      </c>
      <c r="N27" s="76">
        <v>1.2</v>
      </c>
      <c r="O27" s="76">
        <f t="shared" si="6"/>
        <v>3053450</v>
      </c>
      <c r="P27" s="76">
        <f t="shared" si="13"/>
        <v>256350</v>
      </c>
      <c r="R27" s="76">
        <v>5</v>
      </c>
      <c r="S27" s="76">
        <f t="shared" si="0"/>
        <v>34.6</v>
      </c>
      <c r="T27" s="76">
        <f t="shared" si="7"/>
        <v>41.5</v>
      </c>
      <c r="V27" s="76">
        <f t="shared" si="8"/>
        <v>10.38</v>
      </c>
      <c r="W27" s="76">
        <f t="shared" si="9"/>
        <v>12.45</v>
      </c>
      <c r="Y27" s="76">
        <f t="shared" si="10"/>
        <v>294166.666666667</v>
      </c>
      <c r="Z27" s="76">
        <f t="shared" si="11"/>
        <v>81.7129629629629</v>
      </c>
      <c r="AA27" s="76">
        <f t="shared" si="12"/>
        <v>3.40470679012346</v>
      </c>
    </row>
    <row r="28" spans="2:27">
      <c r="B28" s="76">
        <v>27</v>
      </c>
      <c r="C28" s="76">
        <f t="shared" si="1"/>
        <v>180</v>
      </c>
      <c r="D28" s="55">
        <f t="shared" si="2"/>
        <v>140</v>
      </c>
      <c r="E28" s="55">
        <f t="shared" si="3"/>
        <v>290</v>
      </c>
      <c r="F28" s="76">
        <f t="shared" si="4"/>
        <v>31.8369864333969</v>
      </c>
      <c r="H28" s="76">
        <v>18</v>
      </c>
      <c r="I28" s="76">
        <f t="shared" si="15"/>
        <v>371</v>
      </c>
      <c r="J28" s="76">
        <f t="shared" si="14"/>
        <v>22260</v>
      </c>
      <c r="K28" s="76">
        <f>SUM(J$2:J28)</f>
        <v>193980</v>
      </c>
      <c r="L28" s="76">
        <f t="shared" si="5"/>
        <v>2.24513888888889</v>
      </c>
      <c r="N28" s="76">
        <v>1.2</v>
      </c>
      <c r="O28" s="76">
        <f t="shared" si="6"/>
        <v>3339000</v>
      </c>
      <c r="P28" s="76">
        <f t="shared" si="13"/>
        <v>285550</v>
      </c>
      <c r="R28" s="76">
        <v>5</v>
      </c>
      <c r="S28" s="76">
        <f t="shared" si="0"/>
        <v>36</v>
      </c>
      <c r="T28" s="76">
        <f t="shared" si="7"/>
        <v>43</v>
      </c>
      <c r="V28" s="76">
        <f t="shared" si="8"/>
        <v>10.8</v>
      </c>
      <c r="W28" s="76">
        <f t="shared" si="9"/>
        <v>12.9</v>
      </c>
      <c r="Y28" s="76">
        <f t="shared" si="10"/>
        <v>309166.666666667</v>
      </c>
      <c r="Z28" s="76">
        <f t="shared" si="11"/>
        <v>85.8796296296296</v>
      </c>
      <c r="AA28" s="76">
        <f t="shared" si="12"/>
        <v>3.57831790123457</v>
      </c>
    </row>
    <row r="29" spans="2:27">
      <c r="B29" s="76">
        <v>28</v>
      </c>
      <c r="C29" s="76">
        <f t="shared" si="1"/>
        <v>187</v>
      </c>
      <c r="D29" s="55">
        <f t="shared" si="2"/>
        <v>145</v>
      </c>
      <c r="E29" s="55">
        <f t="shared" si="3"/>
        <v>300</v>
      </c>
      <c r="F29" s="76">
        <f t="shared" si="4"/>
        <v>33.076224647135</v>
      </c>
      <c r="H29" s="76">
        <v>20</v>
      </c>
      <c r="I29" s="76">
        <f t="shared" si="15"/>
        <v>391</v>
      </c>
      <c r="J29" s="76">
        <f t="shared" si="14"/>
        <v>23460</v>
      </c>
      <c r="K29" s="76">
        <f>SUM(J$2:J29)</f>
        <v>217440</v>
      </c>
      <c r="L29" s="76">
        <f t="shared" si="5"/>
        <v>2.51666666666667</v>
      </c>
      <c r="N29" s="76">
        <v>1.2</v>
      </c>
      <c r="O29" s="76">
        <f t="shared" si="6"/>
        <v>3655850</v>
      </c>
      <c r="P29" s="76">
        <f t="shared" si="13"/>
        <v>316850</v>
      </c>
      <c r="R29" s="76">
        <v>5</v>
      </c>
      <c r="S29" s="76">
        <f t="shared" si="0"/>
        <v>37.4</v>
      </c>
      <c r="T29" s="76">
        <f t="shared" si="7"/>
        <v>44.5</v>
      </c>
      <c r="V29" s="76">
        <f t="shared" si="8"/>
        <v>11.22</v>
      </c>
      <c r="W29" s="76">
        <f t="shared" si="9"/>
        <v>13.35</v>
      </c>
      <c r="Y29" s="76">
        <f t="shared" si="10"/>
        <v>325833.333333333</v>
      </c>
      <c r="Z29" s="76">
        <f t="shared" si="11"/>
        <v>90.5092592592593</v>
      </c>
      <c r="AA29" s="76">
        <f t="shared" si="12"/>
        <v>3.77121913580247</v>
      </c>
    </row>
    <row r="30" spans="2:27">
      <c r="B30" s="76">
        <v>29</v>
      </c>
      <c r="C30" s="76">
        <f t="shared" si="1"/>
        <v>194</v>
      </c>
      <c r="D30" s="55">
        <f t="shared" si="2"/>
        <v>150</v>
      </c>
      <c r="E30" s="55">
        <f t="shared" si="3"/>
        <v>310</v>
      </c>
      <c r="F30" s="76">
        <f t="shared" si="4"/>
        <v>34.317678222981</v>
      </c>
      <c r="H30" s="76">
        <v>25</v>
      </c>
      <c r="I30" s="76">
        <f t="shared" si="15"/>
        <v>416</v>
      </c>
      <c r="J30" s="76">
        <f t="shared" si="14"/>
        <v>24960</v>
      </c>
      <c r="K30" s="76">
        <f>SUM(J$2:J30)</f>
        <v>242400</v>
      </c>
      <c r="L30" s="76">
        <f t="shared" si="5"/>
        <v>2.80555555555556</v>
      </c>
      <c r="N30" s="76">
        <v>1.2</v>
      </c>
      <c r="O30" s="76">
        <f t="shared" si="6"/>
        <v>4035200</v>
      </c>
      <c r="P30" s="76">
        <f t="shared" si="13"/>
        <v>379350</v>
      </c>
      <c r="R30" s="76">
        <v>5</v>
      </c>
      <c r="S30" s="76">
        <f t="shared" si="0"/>
        <v>38.8</v>
      </c>
      <c r="T30" s="76">
        <f t="shared" si="7"/>
        <v>46</v>
      </c>
      <c r="V30" s="76">
        <f t="shared" si="8"/>
        <v>11.64</v>
      </c>
      <c r="W30" s="76">
        <f t="shared" si="9"/>
        <v>13.8</v>
      </c>
      <c r="Y30" s="76">
        <f t="shared" si="10"/>
        <v>346666.666666667</v>
      </c>
      <c r="Z30" s="76">
        <f t="shared" si="11"/>
        <v>96.2962962962963</v>
      </c>
      <c r="AA30" s="76">
        <f t="shared" si="12"/>
        <v>4.01234567901235</v>
      </c>
    </row>
    <row r="31" spans="2:27">
      <c r="B31" s="76">
        <v>30</v>
      </c>
      <c r="C31" s="76">
        <f t="shared" si="1"/>
        <v>201</v>
      </c>
      <c r="D31" s="55">
        <f t="shared" si="2"/>
        <v>155</v>
      </c>
      <c r="E31" s="55">
        <f t="shared" si="3"/>
        <v>320</v>
      </c>
      <c r="F31" s="76">
        <f t="shared" si="4"/>
        <v>35.5612744967792</v>
      </c>
      <c r="G31" s="77">
        <v>0.33</v>
      </c>
      <c r="H31" s="77">
        <v>50</v>
      </c>
      <c r="I31" s="77">
        <f t="shared" si="15"/>
        <v>466</v>
      </c>
      <c r="J31" s="77">
        <f>G31*86400</f>
        <v>28512</v>
      </c>
      <c r="K31" s="77">
        <f>SUM(J$2:J31)</f>
        <v>270912</v>
      </c>
      <c r="L31" s="77">
        <f t="shared" si="5"/>
        <v>3.13555555555556</v>
      </c>
      <c r="M31" s="77"/>
      <c r="N31" s="76">
        <v>1.2</v>
      </c>
      <c r="O31" s="76">
        <f t="shared" si="6"/>
        <v>4775760</v>
      </c>
      <c r="P31" s="76">
        <f t="shared" si="13"/>
        <v>740560</v>
      </c>
      <c r="R31" s="76">
        <v>5</v>
      </c>
      <c r="S31" s="76">
        <f t="shared" si="0"/>
        <v>40.2</v>
      </c>
      <c r="T31" s="76">
        <f t="shared" si="7"/>
        <v>47.5</v>
      </c>
      <c r="V31" s="76">
        <f t="shared" si="8"/>
        <v>12.06</v>
      </c>
      <c r="W31" s="76">
        <f t="shared" si="9"/>
        <v>14.25</v>
      </c>
      <c r="Y31" s="76">
        <f t="shared" si="10"/>
        <v>396000</v>
      </c>
      <c r="Z31" s="76">
        <f t="shared" si="11"/>
        <v>110</v>
      </c>
      <c r="AA31" s="76">
        <f t="shared" si="12"/>
        <v>4.58333333333333</v>
      </c>
    </row>
    <row r="32" spans="2:27">
      <c r="B32" s="76">
        <v>31</v>
      </c>
      <c r="C32" s="76">
        <f t="shared" si="1"/>
        <v>209</v>
      </c>
      <c r="D32" s="55">
        <f t="shared" si="2"/>
        <v>160</v>
      </c>
      <c r="E32" s="55">
        <f t="shared" si="3"/>
        <v>330</v>
      </c>
      <c r="F32" s="76">
        <f t="shared" si="4"/>
        <v>36.8069455342287</v>
      </c>
      <c r="G32" s="76">
        <v>0.34</v>
      </c>
      <c r="H32" s="76">
        <v>60</v>
      </c>
      <c r="I32" s="76">
        <f t="shared" si="15"/>
        <v>526</v>
      </c>
      <c r="J32" s="77">
        <f t="shared" ref="J32:J80" si="16">G32*86400</f>
        <v>29376</v>
      </c>
      <c r="K32" s="76">
        <f>SUM(J$2:J32)</f>
        <v>300288</v>
      </c>
      <c r="L32" s="76">
        <f t="shared" si="5"/>
        <v>3.47555555555556</v>
      </c>
      <c r="N32" s="76">
        <v>1.2</v>
      </c>
      <c r="O32" s="76">
        <f t="shared" si="6"/>
        <v>5116320</v>
      </c>
      <c r="P32" s="76">
        <f t="shared" si="13"/>
        <v>340560</v>
      </c>
      <c r="R32" s="76">
        <v>5</v>
      </c>
      <c r="S32" s="76">
        <f t="shared" si="0"/>
        <v>41.8</v>
      </c>
      <c r="T32" s="76">
        <f t="shared" si="7"/>
        <v>49</v>
      </c>
      <c r="V32" s="76">
        <f t="shared" si="8"/>
        <v>12.54</v>
      </c>
      <c r="W32" s="76">
        <f t="shared" si="9"/>
        <v>14.7</v>
      </c>
      <c r="Y32" s="76">
        <f t="shared" si="10"/>
        <v>408000</v>
      </c>
      <c r="Z32" s="76">
        <f t="shared" si="11"/>
        <v>113.333333333333</v>
      </c>
      <c r="AA32" s="76">
        <f t="shared" si="12"/>
        <v>4.72222222222222</v>
      </c>
    </row>
    <row r="33" spans="2:27">
      <c r="B33" s="76">
        <v>32</v>
      </c>
      <c r="C33" s="76">
        <f t="shared" si="1"/>
        <v>216</v>
      </c>
      <c r="D33" s="55">
        <f t="shared" si="2"/>
        <v>165</v>
      </c>
      <c r="E33" s="55">
        <f t="shared" si="3"/>
        <v>340</v>
      </c>
      <c r="F33" s="76">
        <f t="shared" si="4"/>
        <v>38.0546276800871</v>
      </c>
      <c r="G33" s="76">
        <v>0.36</v>
      </c>
      <c r="H33" s="76">
        <v>80</v>
      </c>
      <c r="I33" s="76">
        <f t="shared" si="15"/>
        <v>606</v>
      </c>
      <c r="J33" s="77">
        <f t="shared" si="16"/>
        <v>31104</v>
      </c>
      <c r="K33" s="76">
        <f>SUM(J$2:J33)</f>
        <v>331392</v>
      </c>
      <c r="L33" s="76">
        <f t="shared" si="5"/>
        <v>3.83555555555556</v>
      </c>
      <c r="N33" s="76">
        <v>1.2</v>
      </c>
      <c r="O33" s="76">
        <f t="shared" si="6"/>
        <v>5598720</v>
      </c>
      <c r="P33" s="76">
        <f t="shared" si="13"/>
        <v>482400</v>
      </c>
      <c r="R33" s="76">
        <v>5</v>
      </c>
      <c r="S33" s="76">
        <f t="shared" si="0"/>
        <v>43.2</v>
      </c>
      <c r="T33" s="76">
        <f t="shared" si="7"/>
        <v>50.5</v>
      </c>
      <c r="V33" s="76">
        <f t="shared" si="8"/>
        <v>12.96</v>
      </c>
      <c r="W33" s="76">
        <f t="shared" si="9"/>
        <v>15.15</v>
      </c>
      <c r="Y33" s="76">
        <f t="shared" si="10"/>
        <v>432000</v>
      </c>
      <c r="Z33" s="76">
        <f t="shared" si="11"/>
        <v>120</v>
      </c>
      <c r="AA33" s="76">
        <f t="shared" si="12"/>
        <v>5</v>
      </c>
    </row>
    <row r="34" spans="2:27">
      <c r="B34" s="76">
        <v>33</v>
      </c>
      <c r="C34" s="76">
        <f t="shared" si="1"/>
        <v>223</v>
      </c>
      <c r="D34" s="55">
        <f t="shared" si="2"/>
        <v>170</v>
      </c>
      <c r="E34" s="55">
        <f t="shared" si="3"/>
        <v>350</v>
      </c>
      <c r="F34" s="76">
        <f t="shared" si="4"/>
        <v>39.3042611631132</v>
      </c>
      <c r="G34" s="76">
        <v>0.38</v>
      </c>
      <c r="H34" s="76">
        <v>100</v>
      </c>
      <c r="I34" s="76">
        <f t="shared" si="15"/>
        <v>706</v>
      </c>
      <c r="J34" s="77">
        <f t="shared" si="16"/>
        <v>32832</v>
      </c>
      <c r="K34" s="76">
        <f>SUM(J$2:J34)</f>
        <v>364224</v>
      </c>
      <c r="L34" s="76">
        <f t="shared" si="5"/>
        <v>4.21555555555556</v>
      </c>
      <c r="N34" s="76">
        <v>1.2</v>
      </c>
      <c r="O34" s="76">
        <f t="shared" si="6"/>
        <v>6101280</v>
      </c>
      <c r="P34" s="76">
        <f t="shared" si="13"/>
        <v>502560</v>
      </c>
      <c r="R34" s="76">
        <v>5</v>
      </c>
      <c r="S34" s="76">
        <f t="shared" si="0"/>
        <v>44.6</v>
      </c>
      <c r="T34" s="76">
        <f t="shared" si="7"/>
        <v>52</v>
      </c>
      <c r="V34" s="76">
        <f t="shared" si="8"/>
        <v>13.38</v>
      </c>
      <c r="W34" s="76">
        <f t="shared" si="9"/>
        <v>15.6</v>
      </c>
      <c r="Y34" s="76">
        <f t="shared" si="10"/>
        <v>456000</v>
      </c>
      <c r="Z34" s="76">
        <f t="shared" si="11"/>
        <v>126.666666666667</v>
      </c>
      <c r="AA34" s="76">
        <f t="shared" si="12"/>
        <v>5.27777777777778</v>
      </c>
    </row>
    <row r="35" spans="2:27">
      <c r="B35" s="76">
        <v>34</v>
      </c>
      <c r="C35" s="76">
        <f t="shared" si="1"/>
        <v>230</v>
      </c>
      <c r="D35" s="55">
        <f t="shared" si="2"/>
        <v>175</v>
      </c>
      <c r="E35" s="55">
        <f t="shared" si="3"/>
        <v>360</v>
      </c>
      <c r="F35" s="76">
        <f t="shared" si="4"/>
        <v>40.5557897483712</v>
      </c>
      <c r="G35" s="76">
        <v>0.4</v>
      </c>
      <c r="H35" s="76">
        <v>120</v>
      </c>
      <c r="I35" s="76">
        <f t="shared" si="15"/>
        <v>826</v>
      </c>
      <c r="J35" s="77">
        <f t="shared" si="16"/>
        <v>34560</v>
      </c>
      <c r="K35" s="76">
        <f>SUM(J$2:J35)</f>
        <v>398784</v>
      </c>
      <c r="L35" s="76">
        <f t="shared" si="5"/>
        <v>4.61555555555556</v>
      </c>
      <c r="N35" s="76">
        <v>1.2</v>
      </c>
      <c r="O35" s="76">
        <f t="shared" si="6"/>
        <v>6624000</v>
      </c>
      <c r="P35" s="76">
        <f t="shared" si="13"/>
        <v>522720</v>
      </c>
      <c r="R35" s="76">
        <v>5</v>
      </c>
      <c r="S35" s="76">
        <f t="shared" si="0"/>
        <v>46</v>
      </c>
      <c r="T35" s="76">
        <f t="shared" si="7"/>
        <v>53.5</v>
      </c>
      <c r="V35" s="76">
        <f t="shared" si="8"/>
        <v>13.8</v>
      </c>
      <c r="W35" s="76">
        <f t="shared" si="9"/>
        <v>16.05</v>
      </c>
      <c r="Y35" s="76">
        <f t="shared" si="10"/>
        <v>480000</v>
      </c>
      <c r="Z35" s="76">
        <f t="shared" si="11"/>
        <v>133.333333333333</v>
      </c>
      <c r="AA35" s="76">
        <f t="shared" si="12"/>
        <v>5.55555555555556</v>
      </c>
    </row>
    <row r="36" spans="2:27">
      <c r="B36" s="76">
        <v>35</v>
      </c>
      <c r="C36" s="76">
        <f t="shared" si="1"/>
        <v>237</v>
      </c>
      <c r="D36" s="55">
        <f t="shared" si="2"/>
        <v>180</v>
      </c>
      <c r="E36" s="55">
        <f t="shared" si="3"/>
        <v>370</v>
      </c>
      <c r="F36" s="76">
        <f t="shared" si="4"/>
        <v>41.8091604299898</v>
      </c>
      <c r="G36" s="76">
        <v>0.43</v>
      </c>
      <c r="H36" s="76">
        <v>140</v>
      </c>
      <c r="I36" s="76">
        <f t="shared" si="15"/>
        <v>966</v>
      </c>
      <c r="J36" s="77">
        <f t="shared" si="16"/>
        <v>37152</v>
      </c>
      <c r="K36" s="76">
        <f>SUM(J$2:J36)</f>
        <v>435936</v>
      </c>
      <c r="L36" s="76">
        <f t="shared" si="5"/>
        <v>5.04555555555556</v>
      </c>
      <c r="N36" s="76">
        <v>1.2</v>
      </c>
      <c r="O36" s="76">
        <f t="shared" si="6"/>
        <v>7337520</v>
      </c>
      <c r="P36" s="76">
        <f t="shared" si="13"/>
        <v>713520</v>
      </c>
      <c r="R36" s="76">
        <v>5</v>
      </c>
      <c r="S36" s="76">
        <f t="shared" si="0"/>
        <v>47.4</v>
      </c>
      <c r="T36" s="76">
        <f t="shared" si="7"/>
        <v>55</v>
      </c>
      <c r="V36" s="76">
        <f t="shared" si="8"/>
        <v>14.22</v>
      </c>
      <c r="W36" s="76">
        <f t="shared" si="9"/>
        <v>16.5</v>
      </c>
      <c r="Y36" s="76">
        <f t="shared" si="10"/>
        <v>516000</v>
      </c>
      <c r="Z36" s="76">
        <f t="shared" si="11"/>
        <v>143.333333333333</v>
      </c>
      <c r="AA36" s="76">
        <f t="shared" si="12"/>
        <v>5.97222222222222</v>
      </c>
    </row>
    <row r="37" spans="2:27">
      <c r="B37" s="76">
        <v>36</v>
      </c>
      <c r="C37" s="76">
        <f t="shared" si="1"/>
        <v>244</v>
      </c>
      <c r="D37" s="55">
        <f t="shared" si="2"/>
        <v>185</v>
      </c>
      <c r="E37" s="55">
        <f t="shared" si="3"/>
        <v>380</v>
      </c>
      <c r="F37" s="76">
        <f t="shared" si="4"/>
        <v>43.0643231586474</v>
      </c>
      <c r="G37" s="76">
        <v>0.46</v>
      </c>
      <c r="H37" s="76">
        <v>180</v>
      </c>
      <c r="I37" s="76">
        <f t="shared" si="15"/>
        <v>1146</v>
      </c>
      <c r="J37" s="77">
        <f t="shared" si="16"/>
        <v>39744</v>
      </c>
      <c r="K37" s="76">
        <f>SUM(J$2:J37)</f>
        <v>475680</v>
      </c>
      <c r="L37" s="76">
        <f t="shared" si="5"/>
        <v>5.50555555555556</v>
      </c>
      <c r="N37" s="76">
        <v>1.2</v>
      </c>
      <c r="O37" s="76">
        <f t="shared" si="6"/>
        <v>8081280</v>
      </c>
      <c r="P37" s="76">
        <f t="shared" si="13"/>
        <v>743760</v>
      </c>
      <c r="R37" s="76">
        <v>5</v>
      </c>
      <c r="S37" s="76">
        <f t="shared" si="0"/>
        <v>48.8</v>
      </c>
      <c r="T37" s="76">
        <f t="shared" si="7"/>
        <v>56.5</v>
      </c>
      <c r="V37" s="76">
        <f t="shared" si="8"/>
        <v>14.64</v>
      </c>
      <c r="W37" s="76">
        <f t="shared" si="9"/>
        <v>16.95</v>
      </c>
      <c r="Y37" s="76">
        <f t="shared" si="10"/>
        <v>552000</v>
      </c>
      <c r="Z37" s="76">
        <f t="shared" si="11"/>
        <v>153.333333333333</v>
      </c>
      <c r="AA37" s="76">
        <f t="shared" si="12"/>
        <v>6.38888888888889</v>
      </c>
    </row>
    <row r="38" spans="2:27">
      <c r="B38" s="76">
        <v>37</v>
      </c>
      <c r="C38" s="76">
        <f t="shared" si="1"/>
        <v>251</v>
      </c>
      <c r="D38" s="55">
        <f t="shared" si="2"/>
        <v>190</v>
      </c>
      <c r="E38" s="55">
        <f t="shared" si="3"/>
        <v>390</v>
      </c>
      <c r="F38" s="76">
        <f t="shared" si="4"/>
        <v>44.3212305989981</v>
      </c>
      <c r="G38" s="76">
        <v>0.49</v>
      </c>
      <c r="H38" s="76">
        <v>220</v>
      </c>
      <c r="I38" s="76">
        <f t="shared" si="15"/>
        <v>1366</v>
      </c>
      <c r="J38" s="77">
        <f t="shared" si="16"/>
        <v>42336</v>
      </c>
      <c r="K38" s="76">
        <f>SUM(J$2:J38)</f>
        <v>518016</v>
      </c>
      <c r="L38" s="76">
        <f t="shared" si="5"/>
        <v>5.99555555555556</v>
      </c>
      <c r="N38" s="76">
        <v>1.2</v>
      </c>
      <c r="O38" s="76">
        <f t="shared" si="6"/>
        <v>8855280</v>
      </c>
      <c r="P38" s="76">
        <f t="shared" si="13"/>
        <v>774000</v>
      </c>
      <c r="R38" s="76">
        <v>5</v>
      </c>
      <c r="S38" s="76">
        <f t="shared" si="0"/>
        <v>50.2</v>
      </c>
      <c r="T38" s="76">
        <f t="shared" si="7"/>
        <v>58</v>
      </c>
      <c r="V38" s="76">
        <f t="shared" si="8"/>
        <v>15.06</v>
      </c>
      <c r="W38" s="76">
        <f t="shared" si="9"/>
        <v>17.4</v>
      </c>
      <c r="Y38" s="76">
        <f t="shared" si="10"/>
        <v>588000</v>
      </c>
      <c r="Z38" s="76">
        <f t="shared" si="11"/>
        <v>163.333333333333</v>
      </c>
      <c r="AA38" s="76">
        <f t="shared" si="12"/>
        <v>6.80555555555556</v>
      </c>
    </row>
    <row r="39" spans="2:27">
      <c r="B39" s="76">
        <v>38</v>
      </c>
      <c r="C39" s="76">
        <f t="shared" si="1"/>
        <v>259</v>
      </c>
      <c r="D39" s="55">
        <f t="shared" si="2"/>
        <v>195</v>
      </c>
      <c r="E39" s="55">
        <f t="shared" si="3"/>
        <v>400</v>
      </c>
      <c r="F39" s="76">
        <f t="shared" si="4"/>
        <v>45.5798379130299</v>
      </c>
      <c r="G39" s="76">
        <v>0.52</v>
      </c>
      <c r="H39" s="76">
        <v>260</v>
      </c>
      <c r="I39" s="76">
        <f t="shared" si="15"/>
        <v>1626</v>
      </c>
      <c r="J39" s="77">
        <f t="shared" si="16"/>
        <v>44928</v>
      </c>
      <c r="K39" s="76">
        <f>SUM(J$2:J39)</f>
        <v>562944</v>
      </c>
      <c r="L39" s="76">
        <f t="shared" si="5"/>
        <v>6.51555555555556</v>
      </c>
      <c r="N39" s="76">
        <v>1.2</v>
      </c>
      <c r="O39" s="76">
        <f t="shared" si="6"/>
        <v>9696960</v>
      </c>
      <c r="P39" s="76">
        <f t="shared" si="13"/>
        <v>841680</v>
      </c>
      <c r="R39" s="76">
        <v>5</v>
      </c>
      <c r="S39" s="76">
        <f t="shared" si="0"/>
        <v>51.8</v>
      </c>
      <c r="T39" s="76">
        <f t="shared" si="7"/>
        <v>59.5</v>
      </c>
      <c r="V39" s="76">
        <f t="shared" si="8"/>
        <v>15.54</v>
      </c>
      <c r="W39" s="76">
        <f t="shared" si="9"/>
        <v>17.85</v>
      </c>
      <c r="Y39" s="76">
        <f t="shared" si="10"/>
        <v>624000</v>
      </c>
      <c r="Z39" s="76">
        <f t="shared" si="11"/>
        <v>173.333333333333</v>
      </c>
      <c r="AA39" s="76">
        <f t="shared" si="12"/>
        <v>7.22222222222222</v>
      </c>
    </row>
    <row r="40" spans="2:27">
      <c r="B40" s="76">
        <v>39</v>
      </c>
      <c r="C40" s="76">
        <f t="shared" si="1"/>
        <v>266</v>
      </c>
      <c r="D40" s="55">
        <f t="shared" si="2"/>
        <v>200</v>
      </c>
      <c r="E40" s="55">
        <f t="shared" si="3"/>
        <v>410</v>
      </c>
      <c r="F40" s="76">
        <f t="shared" si="4"/>
        <v>46.84010256597</v>
      </c>
      <c r="G40" s="76">
        <v>0.55</v>
      </c>
      <c r="H40" s="76">
        <v>300</v>
      </c>
      <c r="I40" s="76">
        <f t="shared" si="15"/>
        <v>1926</v>
      </c>
      <c r="J40" s="77">
        <f t="shared" si="16"/>
        <v>47520</v>
      </c>
      <c r="K40" s="76">
        <f>SUM(J$2:J40)</f>
        <v>610464</v>
      </c>
      <c r="L40" s="76">
        <f t="shared" si="5"/>
        <v>7.06555555555556</v>
      </c>
      <c r="N40" s="76">
        <v>1.2</v>
      </c>
      <c r="O40" s="76">
        <f t="shared" si="6"/>
        <v>10533600</v>
      </c>
      <c r="P40" s="76">
        <f t="shared" si="13"/>
        <v>836640</v>
      </c>
      <c r="R40" s="76">
        <v>5</v>
      </c>
      <c r="S40" s="76">
        <f t="shared" si="0"/>
        <v>53.2</v>
      </c>
      <c r="T40" s="76">
        <f t="shared" si="7"/>
        <v>61</v>
      </c>
      <c r="V40" s="76">
        <f t="shared" si="8"/>
        <v>15.96</v>
      </c>
      <c r="W40" s="76">
        <f t="shared" si="9"/>
        <v>18.3</v>
      </c>
      <c r="Y40" s="76">
        <f t="shared" si="10"/>
        <v>660000</v>
      </c>
      <c r="Z40" s="76">
        <f t="shared" si="11"/>
        <v>183.333333333333</v>
      </c>
      <c r="AA40" s="76">
        <f t="shared" si="12"/>
        <v>7.63888888888889</v>
      </c>
    </row>
    <row r="41" spans="2:27">
      <c r="B41" s="76">
        <v>40</v>
      </c>
      <c r="C41" s="76">
        <f t="shared" si="1"/>
        <v>273</v>
      </c>
      <c r="D41" s="55">
        <f t="shared" si="2"/>
        <v>205</v>
      </c>
      <c r="E41" s="55">
        <f t="shared" si="3"/>
        <v>420</v>
      </c>
      <c r="F41" s="76">
        <f t="shared" si="4"/>
        <v>48.1019841518734</v>
      </c>
      <c r="G41" s="76">
        <v>0.58</v>
      </c>
      <c r="H41" s="76">
        <v>350</v>
      </c>
      <c r="I41" s="76">
        <f t="shared" si="15"/>
        <v>2276</v>
      </c>
      <c r="J41" s="77">
        <f t="shared" si="16"/>
        <v>50112</v>
      </c>
      <c r="K41" s="76">
        <f>SUM(J$2:J41)</f>
        <v>660576</v>
      </c>
      <c r="L41" s="76">
        <f t="shared" si="5"/>
        <v>7.64555555555556</v>
      </c>
      <c r="N41" s="76">
        <v>1.2</v>
      </c>
      <c r="O41" s="76">
        <f t="shared" si="6"/>
        <v>11400480</v>
      </c>
      <c r="P41" s="76">
        <f t="shared" si="13"/>
        <v>866880</v>
      </c>
      <c r="R41" s="76">
        <v>5</v>
      </c>
      <c r="S41" s="76">
        <f t="shared" si="0"/>
        <v>54.6</v>
      </c>
      <c r="T41" s="76">
        <f t="shared" si="7"/>
        <v>62.5</v>
      </c>
      <c r="V41" s="76">
        <f t="shared" si="8"/>
        <v>16.38</v>
      </c>
      <c r="W41" s="76">
        <f t="shared" si="9"/>
        <v>18.75</v>
      </c>
      <c r="Y41" s="76">
        <f t="shared" si="10"/>
        <v>696000</v>
      </c>
      <c r="Z41" s="76">
        <f t="shared" si="11"/>
        <v>193.333333333333</v>
      </c>
      <c r="AA41" s="76">
        <f t="shared" si="12"/>
        <v>8.05555555555556</v>
      </c>
    </row>
    <row r="42" spans="2:27">
      <c r="B42" s="76">
        <v>41</v>
      </c>
      <c r="C42" s="76">
        <f t="shared" si="1"/>
        <v>280</v>
      </c>
      <c r="D42" s="55">
        <f t="shared" si="2"/>
        <v>210</v>
      </c>
      <c r="E42" s="55">
        <f t="shared" si="3"/>
        <v>430</v>
      </c>
      <c r="F42" s="76">
        <f t="shared" si="4"/>
        <v>49.3654442364545</v>
      </c>
      <c r="G42" s="76">
        <v>0.62</v>
      </c>
      <c r="H42" s="76">
        <v>400</v>
      </c>
      <c r="I42" s="76">
        <f t="shared" si="15"/>
        <v>2676</v>
      </c>
      <c r="J42" s="77">
        <f t="shared" si="16"/>
        <v>53568</v>
      </c>
      <c r="K42" s="76">
        <f>SUM(J$2:J42)</f>
        <v>714144</v>
      </c>
      <c r="L42" s="76">
        <f t="shared" si="5"/>
        <v>8.26555555555556</v>
      </c>
      <c r="N42" s="76">
        <v>1.2</v>
      </c>
      <c r="O42" s="76">
        <f t="shared" si="6"/>
        <v>12499200</v>
      </c>
      <c r="P42" s="76">
        <f t="shared" si="13"/>
        <v>1098720</v>
      </c>
      <c r="R42" s="76">
        <v>5</v>
      </c>
      <c r="S42" s="76">
        <f t="shared" si="0"/>
        <v>56</v>
      </c>
      <c r="T42" s="76">
        <f t="shared" si="7"/>
        <v>64</v>
      </c>
      <c r="V42" s="76">
        <f t="shared" si="8"/>
        <v>16.8</v>
      </c>
      <c r="W42" s="76">
        <f t="shared" si="9"/>
        <v>19.2</v>
      </c>
      <c r="Y42" s="76">
        <f t="shared" si="10"/>
        <v>744000</v>
      </c>
      <c r="Z42" s="76">
        <f t="shared" si="11"/>
        <v>206.666666666667</v>
      </c>
      <c r="AA42" s="76">
        <f t="shared" si="12"/>
        <v>8.61111111111111</v>
      </c>
    </row>
    <row r="43" spans="2:27">
      <c r="B43" s="76">
        <v>42</v>
      </c>
      <c r="C43" s="76">
        <f t="shared" si="1"/>
        <v>288</v>
      </c>
      <c r="D43" s="55">
        <f t="shared" si="2"/>
        <v>215</v>
      </c>
      <c r="E43" s="55">
        <f t="shared" si="3"/>
        <v>440</v>
      </c>
      <c r="F43" s="76">
        <f t="shared" si="4"/>
        <v>50.6304462150781</v>
      </c>
      <c r="G43" s="76">
        <v>0.66</v>
      </c>
      <c r="H43" s="76">
        <v>500</v>
      </c>
      <c r="I43" s="76">
        <f t="shared" si="15"/>
        <v>3176</v>
      </c>
      <c r="J43" s="77">
        <f t="shared" si="16"/>
        <v>57024</v>
      </c>
      <c r="K43" s="76">
        <f>SUM(J$2:J43)</f>
        <v>771168</v>
      </c>
      <c r="L43" s="76">
        <f t="shared" si="5"/>
        <v>8.92555555555556</v>
      </c>
      <c r="N43" s="76">
        <v>1.2</v>
      </c>
      <c r="O43" s="76">
        <f t="shared" si="6"/>
        <v>13685760</v>
      </c>
      <c r="P43" s="76">
        <f t="shared" si="13"/>
        <v>1186560</v>
      </c>
      <c r="R43" s="76">
        <v>5</v>
      </c>
      <c r="S43" s="76">
        <f t="shared" si="0"/>
        <v>57.6</v>
      </c>
      <c r="T43" s="76">
        <f t="shared" si="7"/>
        <v>65.5</v>
      </c>
      <c r="V43" s="76">
        <f t="shared" si="8"/>
        <v>17.28</v>
      </c>
      <c r="W43" s="76">
        <f t="shared" si="9"/>
        <v>19.65</v>
      </c>
      <c r="Y43" s="76">
        <f t="shared" si="10"/>
        <v>792000</v>
      </c>
      <c r="Z43" s="76">
        <f t="shared" si="11"/>
        <v>220</v>
      </c>
      <c r="AA43" s="76">
        <f t="shared" si="12"/>
        <v>9.16666666666667</v>
      </c>
    </row>
    <row r="44" spans="2:27">
      <c r="B44" s="76">
        <v>43</v>
      </c>
      <c r="C44" s="76">
        <f t="shared" si="1"/>
        <v>295</v>
      </c>
      <c r="D44" s="55">
        <f t="shared" si="2"/>
        <v>220</v>
      </c>
      <c r="E44" s="55">
        <f t="shared" si="3"/>
        <v>450</v>
      </c>
      <c r="F44" s="76">
        <f t="shared" si="4"/>
        <v>51.8969551841206</v>
      </c>
      <c r="G44" s="76">
        <v>0.7</v>
      </c>
      <c r="H44" s="76">
        <v>600</v>
      </c>
      <c r="I44" s="76">
        <f t="shared" si="15"/>
        <v>3776</v>
      </c>
      <c r="J44" s="77">
        <f t="shared" si="16"/>
        <v>60480</v>
      </c>
      <c r="K44" s="76">
        <f>SUM(J$2:J44)</f>
        <v>831648</v>
      </c>
      <c r="L44" s="76">
        <f t="shared" si="5"/>
        <v>9.62555555555556</v>
      </c>
      <c r="N44" s="76">
        <v>1.2</v>
      </c>
      <c r="O44" s="76">
        <f t="shared" si="6"/>
        <v>14868000</v>
      </c>
      <c r="P44" s="76">
        <f t="shared" si="13"/>
        <v>1182240</v>
      </c>
      <c r="R44" s="76">
        <v>5</v>
      </c>
      <c r="S44" s="76">
        <f t="shared" si="0"/>
        <v>59</v>
      </c>
      <c r="T44" s="76">
        <f t="shared" si="7"/>
        <v>67</v>
      </c>
      <c r="V44" s="76">
        <f t="shared" si="8"/>
        <v>17.7</v>
      </c>
      <c r="W44" s="76">
        <f t="shared" si="9"/>
        <v>20.1</v>
      </c>
      <c r="Y44" s="76">
        <f t="shared" si="10"/>
        <v>840000</v>
      </c>
      <c r="Z44" s="76">
        <f t="shared" si="11"/>
        <v>233.333333333333</v>
      </c>
      <c r="AA44" s="76">
        <f t="shared" si="12"/>
        <v>9.72222222222222</v>
      </c>
    </row>
    <row r="45" spans="2:27">
      <c r="B45" s="76">
        <v>44</v>
      </c>
      <c r="C45" s="76">
        <f t="shared" si="1"/>
        <v>302</v>
      </c>
      <c r="D45" s="55">
        <f t="shared" si="2"/>
        <v>225</v>
      </c>
      <c r="E45" s="55">
        <f t="shared" si="3"/>
        <v>460</v>
      </c>
      <c r="F45" s="76">
        <f t="shared" si="4"/>
        <v>53.1649378241603</v>
      </c>
      <c r="G45" s="76">
        <v>0.75</v>
      </c>
      <c r="H45" s="76">
        <v>700</v>
      </c>
      <c r="I45" s="76">
        <f t="shared" si="15"/>
        <v>4476</v>
      </c>
      <c r="J45" s="77">
        <f t="shared" si="16"/>
        <v>64800</v>
      </c>
      <c r="K45" s="76">
        <f>SUM(J$2:J45)</f>
        <v>896448</v>
      </c>
      <c r="L45" s="76">
        <f t="shared" si="5"/>
        <v>10.3755555555556</v>
      </c>
      <c r="N45" s="76">
        <v>1.2</v>
      </c>
      <c r="O45" s="76">
        <f t="shared" si="6"/>
        <v>16308000</v>
      </c>
      <c r="P45" s="76">
        <f t="shared" si="13"/>
        <v>1440000</v>
      </c>
      <c r="R45" s="76">
        <v>5</v>
      </c>
      <c r="S45" s="76">
        <f t="shared" si="0"/>
        <v>60.4</v>
      </c>
      <c r="T45" s="76">
        <f t="shared" si="7"/>
        <v>68.5</v>
      </c>
      <c r="V45" s="76">
        <f t="shared" si="8"/>
        <v>18.12</v>
      </c>
      <c r="W45" s="76">
        <f t="shared" si="9"/>
        <v>20.55</v>
      </c>
      <c r="Y45" s="76">
        <f t="shared" si="10"/>
        <v>900000</v>
      </c>
      <c r="Z45" s="76">
        <f t="shared" si="11"/>
        <v>250</v>
      </c>
      <c r="AA45" s="76">
        <f t="shared" si="12"/>
        <v>10.4166666666667</v>
      </c>
    </row>
    <row r="46" spans="2:27">
      <c r="B46" s="76">
        <v>45</v>
      </c>
      <c r="C46" s="76">
        <f t="shared" si="1"/>
        <v>310</v>
      </c>
      <c r="D46" s="55">
        <f t="shared" si="2"/>
        <v>230</v>
      </c>
      <c r="E46" s="55">
        <f t="shared" si="3"/>
        <v>470</v>
      </c>
      <c r="F46" s="76">
        <f t="shared" si="4"/>
        <v>54.4343622936655</v>
      </c>
      <c r="G46" s="76">
        <v>0.8</v>
      </c>
      <c r="H46" s="76">
        <v>800</v>
      </c>
      <c r="I46" s="76">
        <f t="shared" si="15"/>
        <v>5276</v>
      </c>
      <c r="J46" s="77">
        <f t="shared" si="16"/>
        <v>69120</v>
      </c>
      <c r="K46" s="76">
        <f>SUM(J$2:J46)</f>
        <v>965568</v>
      </c>
      <c r="L46" s="76">
        <f t="shared" si="5"/>
        <v>11.1755555555556</v>
      </c>
      <c r="N46" s="76">
        <v>1.2</v>
      </c>
      <c r="O46" s="76">
        <f t="shared" si="6"/>
        <v>17856000</v>
      </c>
      <c r="P46" s="76">
        <f t="shared" si="13"/>
        <v>1548000</v>
      </c>
      <c r="R46" s="76">
        <v>5</v>
      </c>
      <c r="S46" s="76">
        <f t="shared" si="0"/>
        <v>62</v>
      </c>
      <c r="T46" s="76">
        <f t="shared" si="7"/>
        <v>70</v>
      </c>
      <c r="V46" s="76">
        <f t="shared" si="8"/>
        <v>18.6</v>
      </c>
      <c r="W46" s="76">
        <f t="shared" si="9"/>
        <v>21</v>
      </c>
      <c r="Y46" s="76">
        <f t="shared" si="10"/>
        <v>960000</v>
      </c>
      <c r="Z46" s="76">
        <f t="shared" si="11"/>
        <v>266.666666666667</v>
      </c>
      <c r="AA46" s="76">
        <f t="shared" si="12"/>
        <v>11.1111111111111</v>
      </c>
    </row>
    <row r="47" spans="2:27">
      <c r="B47" s="76">
        <v>46</v>
      </c>
      <c r="C47" s="76">
        <f t="shared" si="1"/>
        <v>317</v>
      </c>
      <c r="D47" s="55">
        <f t="shared" si="2"/>
        <v>235</v>
      </c>
      <c r="E47" s="55">
        <f t="shared" si="3"/>
        <v>480</v>
      </c>
      <c r="F47" s="76">
        <f t="shared" si="4"/>
        <v>55.7051981320228</v>
      </c>
      <c r="G47" s="76">
        <v>0.85</v>
      </c>
      <c r="H47" s="76">
        <v>900</v>
      </c>
      <c r="I47" s="76">
        <f t="shared" si="15"/>
        <v>6176</v>
      </c>
      <c r="J47" s="77">
        <f t="shared" si="16"/>
        <v>73440</v>
      </c>
      <c r="K47" s="76">
        <f>SUM(J$2:J47)</f>
        <v>1039008</v>
      </c>
      <c r="L47" s="76">
        <f t="shared" si="5"/>
        <v>12.0255555555556</v>
      </c>
      <c r="N47" s="76">
        <v>1.2</v>
      </c>
      <c r="O47" s="76">
        <f t="shared" si="6"/>
        <v>19400400</v>
      </c>
      <c r="P47" s="76">
        <f t="shared" si="13"/>
        <v>1544400</v>
      </c>
      <c r="R47" s="76">
        <v>5</v>
      </c>
      <c r="S47" s="76">
        <f t="shared" si="0"/>
        <v>63.4</v>
      </c>
      <c r="T47" s="76">
        <f t="shared" si="7"/>
        <v>71.5</v>
      </c>
      <c r="V47" s="76">
        <f t="shared" si="8"/>
        <v>19.02</v>
      </c>
      <c r="W47" s="76">
        <f t="shared" si="9"/>
        <v>21.45</v>
      </c>
      <c r="Y47" s="76">
        <f t="shared" si="10"/>
        <v>1020000</v>
      </c>
      <c r="Z47" s="76">
        <f t="shared" si="11"/>
        <v>283.333333333333</v>
      </c>
      <c r="AA47" s="76">
        <f t="shared" si="12"/>
        <v>11.8055555555556</v>
      </c>
    </row>
    <row r="48" spans="2:27">
      <c r="B48" s="76">
        <v>47</v>
      </c>
      <c r="C48" s="76">
        <f t="shared" si="1"/>
        <v>324</v>
      </c>
      <c r="D48" s="55">
        <f t="shared" si="2"/>
        <v>240</v>
      </c>
      <c r="E48" s="55">
        <f t="shared" si="3"/>
        <v>490</v>
      </c>
      <c r="F48" s="76">
        <f t="shared" si="4"/>
        <v>56.9774161709013</v>
      </c>
      <c r="G48" s="76">
        <v>0.9</v>
      </c>
      <c r="H48" s="76">
        <v>1000</v>
      </c>
      <c r="I48" s="76">
        <f t="shared" si="15"/>
        <v>7176</v>
      </c>
      <c r="J48" s="77">
        <f t="shared" si="16"/>
        <v>77760</v>
      </c>
      <c r="K48" s="76">
        <f>SUM(J$2:J48)</f>
        <v>1116768</v>
      </c>
      <c r="L48" s="76">
        <f t="shared" si="5"/>
        <v>12.9255555555556</v>
      </c>
      <c r="N48" s="76">
        <v>1.2</v>
      </c>
      <c r="O48" s="76">
        <f t="shared" si="6"/>
        <v>20995200</v>
      </c>
      <c r="P48" s="76">
        <f t="shared" si="13"/>
        <v>1594800</v>
      </c>
      <c r="R48" s="76">
        <v>5</v>
      </c>
      <c r="S48" s="76">
        <f t="shared" si="0"/>
        <v>64.8</v>
      </c>
      <c r="T48" s="76">
        <f t="shared" si="7"/>
        <v>73</v>
      </c>
      <c r="V48" s="76">
        <f t="shared" si="8"/>
        <v>19.44</v>
      </c>
      <c r="W48" s="76">
        <f t="shared" si="9"/>
        <v>21.9</v>
      </c>
      <c r="Y48" s="76">
        <f t="shared" si="10"/>
        <v>1080000</v>
      </c>
      <c r="Z48" s="76">
        <f t="shared" si="11"/>
        <v>300</v>
      </c>
      <c r="AA48" s="76">
        <f t="shared" si="12"/>
        <v>12.5</v>
      </c>
    </row>
    <row r="49" spans="2:27">
      <c r="B49" s="76">
        <v>48</v>
      </c>
      <c r="C49" s="76">
        <f t="shared" si="1"/>
        <v>332</v>
      </c>
      <c r="D49" s="55">
        <f t="shared" si="2"/>
        <v>245</v>
      </c>
      <c r="E49" s="55">
        <f t="shared" si="3"/>
        <v>500</v>
      </c>
      <c r="F49" s="76">
        <f t="shared" si="4"/>
        <v>58.250988453072</v>
      </c>
      <c r="G49" s="76">
        <v>1</v>
      </c>
      <c r="H49" s="76">
        <v>1100</v>
      </c>
      <c r="I49" s="76">
        <f t="shared" si="15"/>
        <v>8276</v>
      </c>
      <c r="J49" s="77">
        <f t="shared" si="16"/>
        <v>86400</v>
      </c>
      <c r="K49" s="76">
        <f>SUM(J$2:J49)</f>
        <v>1203168</v>
      </c>
      <c r="L49" s="76">
        <f t="shared" si="5"/>
        <v>13.9255555555556</v>
      </c>
      <c r="N49" s="76">
        <v>1.2</v>
      </c>
      <c r="O49" s="76">
        <f t="shared" si="6"/>
        <v>23904000</v>
      </c>
      <c r="P49" s="76">
        <f t="shared" si="13"/>
        <v>2908800</v>
      </c>
      <c r="R49" s="76">
        <v>5</v>
      </c>
      <c r="S49" s="76">
        <f t="shared" si="0"/>
        <v>66.4</v>
      </c>
      <c r="T49" s="76">
        <f t="shared" si="7"/>
        <v>74.5</v>
      </c>
      <c r="V49" s="76">
        <f t="shared" si="8"/>
        <v>19.92</v>
      </c>
      <c r="W49" s="76">
        <f t="shared" si="9"/>
        <v>22.35</v>
      </c>
      <c r="Y49" s="76">
        <f t="shared" si="10"/>
        <v>1200000</v>
      </c>
      <c r="Z49" s="76">
        <f t="shared" si="11"/>
        <v>333.333333333333</v>
      </c>
      <c r="AA49" s="76">
        <f t="shared" si="12"/>
        <v>13.8888888888889</v>
      </c>
    </row>
    <row r="50" spans="2:27">
      <c r="B50" s="76">
        <v>49</v>
      </c>
      <c r="C50" s="76">
        <f t="shared" si="1"/>
        <v>339</v>
      </c>
      <c r="D50" s="55">
        <f t="shared" si="2"/>
        <v>250</v>
      </c>
      <c r="E50" s="55">
        <f t="shared" si="3"/>
        <v>510</v>
      </c>
      <c r="F50" s="76">
        <f t="shared" si="4"/>
        <v>59.5258881579143</v>
      </c>
      <c r="G50" s="76">
        <v>1.1</v>
      </c>
      <c r="H50" s="76">
        <v>1200</v>
      </c>
      <c r="I50" s="76">
        <f t="shared" si="15"/>
        <v>9476</v>
      </c>
      <c r="J50" s="77">
        <f t="shared" si="16"/>
        <v>95040</v>
      </c>
      <c r="K50" s="76">
        <f>SUM(J$2:J50)</f>
        <v>1298208</v>
      </c>
      <c r="L50" s="76">
        <f t="shared" si="5"/>
        <v>15.0255555555556</v>
      </c>
      <c r="N50" s="76">
        <v>1.2</v>
      </c>
      <c r="O50" s="76">
        <f t="shared" si="6"/>
        <v>26848800</v>
      </c>
      <c r="P50" s="76">
        <f t="shared" si="13"/>
        <v>2944800</v>
      </c>
      <c r="R50" s="76">
        <v>5</v>
      </c>
      <c r="S50" s="76">
        <f t="shared" si="0"/>
        <v>67.8</v>
      </c>
      <c r="T50" s="76">
        <f t="shared" si="7"/>
        <v>76</v>
      </c>
      <c r="V50" s="76">
        <f t="shared" si="8"/>
        <v>20.34</v>
      </c>
      <c r="W50" s="76">
        <f t="shared" si="9"/>
        <v>22.8</v>
      </c>
      <c r="Y50" s="76">
        <f t="shared" si="10"/>
        <v>1320000</v>
      </c>
      <c r="Z50" s="76">
        <f t="shared" si="11"/>
        <v>366.666666666667</v>
      </c>
      <c r="AA50" s="76">
        <f t="shared" si="12"/>
        <v>15.2777777777778</v>
      </c>
    </row>
    <row r="51" spans="2:27">
      <c r="B51" s="76">
        <v>50</v>
      </c>
      <c r="C51" s="76">
        <f t="shared" si="1"/>
        <v>346</v>
      </c>
      <c r="D51" s="55">
        <f t="shared" si="2"/>
        <v>255</v>
      </c>
      <c r="E51" s="55">
        <f t="shared" si="3"/>
        <v>520</v>
      </c>
      <c r="F51" s="76">
        <f t="shared" si="4"/>
        <v>60.8020895329329</v>
      </c>
      <c r="G51" s="76">
        <v>1.2</v>
      </c>
      <c r="H51" s="76">
        <f t="shared" ref="H51:H60" si="17">H50+150</f>
        <v>1350</v>
      </c>
      <c r="I51" s="76">
        <f t="shared" si="15"/>
        <v>10826</v>
      </c>
      <c r="J51" s="77">
        <f t="shared" si="16"/>
        <v>103680</v>
      </c>
      <c r="K51" s="76">
        <f>SUM(J$2:J51)</f>
        <v>1401888</v>
      </c>
      <c r="L51" s="76">
        <f t="shared" si="5"/>
        <v>16.2255555555556</v>
      </c>
      <c r="N51" s="76">
        <v>1.2</v>
      </c>
      <c r="O51" s="76">
        <f t="shared" si="6"/>
        <v>29894400</v>
      </c>
      <c r="P51" s="76">
        <f t="shared" si="13"/>
        <v>3045600</v>
      </c>
      <c r="R51" s="76">
        <v>5</v>
      </c>
      <c r="S51" s="76">
        <f t="shared" si="0"/>
        <v>69.2</v>
      </c>
      <c r="T51" s="76">
        <f t="shared" si="7"/>
        <v>77.5</v>
      </c>
      <c r="V51" s="76">
        <f t="shared" si="8"/>
        <v>20.76</v>
      </c>
      <c r="W51" s="76">
        <f t="shared" si="9"/>
        <v>23.25</v>
      </c>
      <c r="Y51" s="76">
        <f t="shared" si="10"/>
        <v>1440000</v>
      </c>
      <c r="Z51" s="76">
        <f t="shared" si="11"/>
        <v>400</v>
      </c>
      <c r="AA51" s="76">
        <f t="shared" si="12"/>
        <v>16.6666666666667</v>
      </c>
    </row>
    <row r="52" spans="2:27">
      <c r="B52" s="76">
        <v>51</v>
      </c>
      <c r="C52" s="76">
        <f t="shared" si="1"/>
        <v>354</v>
      </c>
      <c r="D52" s="55">
        <f t="shared" si="2"/>
        <v>260</v>
      </c>
      <c r="E52" s="55">
        <f t="shared" si="3"/>
        <v>530</v>
      </c>
      <c r="F52" s="76">
        <f t="shared" si="4"/>
        <v>62.079567830689</v>
      </c>
      <c r="G52" s="76">
        <v>1.4</v>
      </c>
      <c r="H52" s="76">
        <f t="shared" si="17"/>
        <v>1500</v>
      </c>
      <c r="I52" s="76">
        <f t="shared" si="15"/>
        <v>12326</v>
      </c>
      <c r="J52" s="77">
        <f t="shared" si="16"/>
        <v>120960</v>
      </c>
      <c r="K52" s="76">
        <f>SUM(J$2:J52)</f>
        <v>1522848</v>
      </c>
      <c r="L52" s="76">
        <f t="shared" si="5"/>
        <v>17.6255555555556</v>
      </c>
      <c r="N52" s="76">
        <v>1.2</v>
      </c>
      <c r="O52" s="76">
        <f t="shared" si="6"/>
        <v>35683200</v>
      </c>
      <c r="P52" s="76">
        <f t="shared" si="13"/>
        <v>5788800</v>
      </c>
      <c r="R52" s="76">
        <v>5</v>
      </c>
      <c r="S52" s="76">
        <f t="shared" si="0"/>
        <v>70.8</v>
      </c>
      <c r="T52" s="76">
        <f t="shared" si="7"/>
        <v>79</v>
      </c>
      <c r="V52" s="76">
        <f t="shared" si="8"/>
        <v>21.24</v>
      </c>
      <c r="W52" s="76">
        <f t="shared" si="9"/>
        <v>23.7</v>
      </c>
      <c r="Y52" s="76">
        <f t="shared" si="10"/>
        <v>1680000</v>
      </c>
      <c r="Z52" s="76">
        <f t="shared" si="11"/>
        <v>466.666666666667</v>
      </c>
      <c r="AA52" s="76">
        <f t="shared" si="12"/>
        <v>19.4444444444444</v>
      </c>
    </row>
    <row r="53" spans="2:27">
      <c r="B53" s="76">
        <v>52</v>
      </c>
      <c r="C53" s="76">
        <f t="shared" si="1"/>
        <v>361</v>
      </c>
      <c r="D53" s="55">
        <f t="shared" si="2"/>
        <v>265</v>
      </c>
      <c r="E53" s="55">
        <f t="shared" si="3"/>
        <v>540</v>
      </c>
      <c r="F53" s="76">
        <f t="shared" si="4"/>
        <v>63.358299250621</v>
      </c>
      <c r="G53" s="76">
        <v>1.6</v>
      </c>
      <c r="H53" s="76">
        <f t="shared" si="17"/>
        <v>1650</v>
      </c>
      <c r="I53" s="76">
        <f t="shared" si="15"/>
        <v>13976</v>
      </c>
      <c r="J53" s="77">
        <f t="shared" si="16"/>
        <v>138240</v>
      </c>
      <c r="K53" s="76">
        <f>SUM(J$2:J53)</f>
        <v>1661088</v>
      </c>
      <c r="L53" s="76">
        <f t="shared" si="5"/>
        <v>19.2255555555556</v>
      </c>
      <c r="N53" s="76">
        <v>1.2</v>
      </c>
      <c r="O53" s="76">
        <f t="shared" si="6"/>
        <v>41587200</v>
      </c>
      <c r="P53" s="76">
        <f t="shared" si="13"/>
        <v>5904000</v>
      </c>
      <c r="R53" s="76">
        <v>5</v>
      </c>
      <c r="S53" s="76">
        <f t="shared" si="0"/>
        <v>72.2</v>
      </c>
      <c r="T53" s="76">
        <f t="shared" si="7"/>
        <v>80.5</v>
      </c>
      <c r="V53" s="76">
        <f t="shared" si="8"/>
        <v>21.66</v>
      </c>
      <c r="W53" s="76">
        <f t="shared" si="9"/>
        <v>24.15</v>
      </c>
      <c r="Y53" s="76">
        <f t="shared" si="10"/>
        <v>1920000</v>
      </c>
      <c r="Z53" s="76">
        <f t="shared" si="11"/>
        <v>533.333333333333</v>
      </c>
      <c r="AA53" s="76">
        <f t="shared" si="12"/>
        <v>22.2222222222222</v>
      </c>
    </row>
    <row r="54" spans="2:27">
      <c r="B54" s="76">
        <v>53</v>
      </c>
      <c r="C54" s="76">
        <f t="shared" si="1"/>
        <v>369</v>
      </c>
      <c r="D54" s="55">
        <f t="shared" si="2"/>
        <v>270</v>
      </c>
      <c r="E54" s="55">
        <f t="shared" si="3"/>
        <v>550</v>
      </c>
      <c r="F54" s="76">
        <f t="shared" si="4"/>
        <v>64.6382608852872</v>
      </c>
      <c r="G54" s="76">
        <v>1.8</v>
      </c>
      <c r="H54" s="76">
        <f t="shared" si="17"/>
        <v>1800</v>
      </c>
      <c r="I54" s="76">
        <f t="shared" si="15"/>
        <v>15776</v>
      </c>
      <c r="J54" s="77">
        <f t="shared" si="16"/>
        <v>155520</v>
      </c>
      <c r="K54" s="76">
        <f>SUM(J$2:J54)</f>
        <v>1816608</v>
      </c>
      <c r="L54" s="76">
        <f t="shared" si="5"/>
        <v>21.0255555555556</v>
      </c>
      <c r="N54" s="76">
        <v>1.2</v>
      </c>
      <c r="O54" s="76">
        <f t="shared" si="6"/>
        <v>47822400</v>
      </c>
      <c r="P54" s="76">
        <f t="shared" si="13"/>
        <v>6235200</v>
      </c>
      <c r="R54" s="76">
        <v>5</v>
      </c>
      <c r="S54" s="76">
        <f t="shared" si="0"/>
        <v>73.8</v>
      </c>
      <c r="T54" s="76">
        <f t="shared" si="7"/>
        <v>82</v>
      </c>
      <c r="V54" s="76">
        <f t="shared" si="8"/>
        <v>22.14</v>
      </c>
      <c r="W54" s="76">
        <f t="shared" si="9"/>
        <v>24.6</v>
      </c>
      <c r="Y54" s="76">
        <f t="shared" si="10"/>
        <v>2160000</v>
      </c>
      <c r="Z54" s="76">
        <f t="shared" si="11"/>
        <v>600</v>
      </c>
      <c r="AA54" s="76">
        <f t="shared" si="12"/>
        <v>25</v>
      </c>
    </row>
    <row r="55" spans="2:27">
      <c r="B55" s="76">
        <v>54</v>
      </c>
      <c r="C55" s="76">
        <f t="shared" si="1"/>
        <v>376</v>
      </c>
      <c r="D55" s="55">
        <f t="shared" si="2"/>
        <v>275</v>
      </c>
      <c r="E55" s="55">
        <f t="shared" si="3"/>
        <v>560</v>
      </c>
      <c r="F55" s="76">
        <f t="shared" si="4"/>
        <v>65.9194306706192</v>
      </c>
      <c r="G55" s="76">
        <v>2</v>
      </c>
      <c r="H55" s="76">
        <f t="shared" si="17"/>
        <v>1950</v>
      </c>
      <c r="I55" s="76">
        <f t="shared" si="15"/>
        <v>17726</v>
      </c>
      <c r="J55" s="77">
        <f t="shared" si="16"/>
        <v>172800</v>
      </c>
      <c r="K55" s="76">
        <f>SUM(J$2:J55)</f>
        <v>1989408</v>
      </c>
      <c r="L55" s="76">
        <f t="shared" si="5"/>
        <v>23.0255555555556</v>
      </c>
      <c r="N55" s="76">
        <v>1.2</v>
      </c>
      <c r="O55" s="76">
        <f t="shared" si="6"/>
        <v>54144000</v>
      </c>
      <c r="P55" s="76">
        <f t="shared" si="13"/>
        <v>6321600</v>
      </c>
      <c r="R55" s="76">
        <v>5</v>
      </c>
      <c r="S55" s="76">
        <f t="shared" si="0"/>
        <v>75.2</v>
      </c>
      <c r="T55" s="76">
        <f t="shared" si="7"/>
        <v>83.5</v>
      </c>
      <c r="V55" s="76">
        <f t="shared" si="8"/>
        <v>22.56</v>
      </c>
      <c r="W55" s="76">
        <f t="shared" si="9"/>
        <v>25.05</v>
      </c>
      <c r="Y55" s="76">
        <f t="shared" si="10"/>
        <v>2400000</v>
      </c>
      <c r="Z55" s="76">
        <f t="shared" si="11"/>
        <v>666.666666666667</v>
      </c>
      <c r="AA55" s="76">
        <f t="shared" si="12"/>
        <v>27.7777777777778</v>
      </c>
    </row>
    <row r="56" spans="2:27">
      <c r="B56" s="76">
        <v>55</v>
      </c>
      <c r="C56" s="76">
        <f t="shared" si="1"/>
        <v>383</v>
      </c>
      <c r="D56" s="55">
        <f t="shared" si="2"/>
        <v>280</v>
      </c>
      <c r="E56" s="55">
        <f t="shared" si="3"/>
        <v>570</v>
      </c>
      <c r="F56" s="76">
        <f t="shared" si="4"/>
        <v>67.2017873398162</v>
      </c>
      <c r="G56" s="76">
        <v>2.4</v>
      </c>
      <c r="H56" s="76">
        <f t="shared" si="17"/>
        <v>2100</v>
      </c>
      <c r="I56" s="76">
        <f t="shared" si="15"/>
        <v>19826</v>
      </c>
      <c r="J56" s="77">
        <f t="shared" si="16"/>
        <v>207360</v>
      </c>
      <c r="K56" s="76">
        <f>SUM(J$2:J56)</f>
        <v>2196768</v>
      </c>
      <c r="L56" s="76">
        <f t="shared" si="5"/>
        <v>25.4255555555556</v>
      </c>
      <c r="N56" s="76">
        <v>1.2</v>
      </c>
      <c r="O56" s="76">
        <f t="shared" si="6"/>
        <v>66182400</v>
      </c>
      <c r="P56" s="76">
        <f t="shared" si="13"/>
        <v>12038400</v>
      </c>
      <c r="R56" s="76">
        <v>5</v>
      </c>
      <c r="S56" s="76">
        <f t="shared" si="0"/>
        <v>76.6</v>
      </c>
      <c r="T56" s="76">
        <f t="shared" si="7"/>
        <v>85</v>
      </c>
      <c r="V56" s="76">
        <f t="shared" si="8"/>
        <v>22.98</v>
      </c>
      <c r="W56" s="76">
        <f t="shared" si="9"/>
        <v>25.5</v>
      </c>
      <c r="Y56" s="76">
        <f t="shared" si="10"/>
        <v>2880000</v>
      </c>
      <c r="Z56" s="76">
        <f t="shared" si="11"/>
        <v>800</v>
      </c>
      <c r="AA56" s="76">
        <f t="shared" si="12"/>
        <v>33.3333333333333</v>
      </c>
    </row>
    <row r="57" spans="2:27">
      <c r="B57" s="76">
        <v>56</v>
      </c>
      <c r="C57" s="76">
        <f t="shared" si="1"/>
        <v>391</v>
      </c>
      <c r="D57" s="55">
        <f t="shared" si="2"/>
        <v>285</v>
      </c>
      <c r="E57" s="55">
        <f t="shared" si="3"/>
        <v>580</v>
      </c>
      <c r="F57" s="76">
        <f t="shared" si="4"/>
        <v>68.4853103805529</v>
      </c>
      <c r="G57" s="76">
        <v>2.8</v>
      </c>
      <c r="H57" s="76">
        <f t="shared" si="17"/>
        <v>2250</v>
      </c>
      <c r="I57" s="76">
        <f t="shared" si="15"/>
        <v>22076</v>
      </c>
      <c r="J57" s="77">
        <f t="shared" si="16"/>
        <v>241920</v>
      </c>
      <c r="K57" s="76">
        <f>SUM(J$2:J57)</f>
        <v>2438688</v>
      </c>
      <c r="L57" s="76">
        <f t="shared" si="5"/>
        <v>28.2255555555556</v>
      </c>
      <c r="N57" s="76">
        <v>1.2</v>
      </c>
      <c r="O57" s="76">
        <f t="shared" si="6"/>
        <v>78825600</v>
      </c>
      <c r="P57" s="76">
        <f t="shared" si="13"/>
        <v>12643200</v>
      </c>
      <c r="R57" s="76">
        <v>5</v>
      </c>
      <c r="S57" s="76">
        <f t="shared" si="0"/>
        <v>78.2</v>
      </c>
      <c r="T57" s="76">
        <f t="shared" si="7"/>
        <v>86.5</v>
      </c>
      <c r="V57" s="76">
        <f t="shared" si="8"/>
        <v>23.46</v>
      </c>
      <c r="W57" s="76">
        <f t="shared" si="9"/>
        <v>25.95</v>
      </c>
      <c r="Y57" s="76">
        <f t="shared" si="10"/>
        <v>3360000</v>
      </c>
      <c r="Z57" s="76">
        <f t="shared" si="11"/>
        <v>933.333333333333</v>
      </c>
      <c r="AA57" s="76">
        <f t="shared" si="12"/>
        <v>38.8888888888889</v>
      </c>
    </row>
    <row r="58" spans="2:27">
      <c r="B58" s="76">
        <v>57</v>
      </c>
      <c r="C58" s="76">
        <f t="shared" si="1"/>
        <v>398</v>
      </c>
      <c r="D58" s="55">
        <f t="shared" si="2"/>
        <v>290</v>
      </c>
      <c r="E58" s="55">
        <f t="shared" si="3"/>
        <v>590</v>
      </c>
      <c r="F58" s="76">
        <f t="shared" si="4"/>
        <v>69.7699799952089</v>
      </c>
      <c r="G58" s="76">
        <v>3.2</v>
      </c>
      <c r="H58" s="76">
        <f t="shared" si="17"/>
        <v>2400</v>
      </c>
      <c r="I58" s="76">
        <f t="shared" si="15"/>
        <v>24476</v>
      </c>
      <c r="J58" s="77">
        <f t="shared" si="16"/>
        <v>276480</v>
      </c>
      <c r="K58" s="76">
        <f>SUM(J$2:J58)</f>
        <v>2715168</v>
      </c>
      <c r="L58" s="76">
        <f t="shared" si="5"/>
        <v>31.4255555555556</v>
      </c>
      <c r="N58" s="76">
        <v>1.2</v>
      </c>
      <c r="O58" s="76">
        <f t="shared" si="6"/>
        <v>91699200</v>
      </c>
      <c r="P58" s="76">
        <f t="shared" si="13"/>
        <v>12873600</v>
      </c>
      <c r="R58" s="76">
        <v>5</v>
      </c>
      <c r="S58" s="76">
        <f t="shared" si="0"/>
        <v>79.6</v>
      </c>
      <c r="T58" s="76">
        <f t="shared" si="7"/>
        <v>88</v>
      </c>
      <c r="V58" s="76">
        <f t="shared" si="8"/>
        <v>23.88</v>
      </c>
      <c r="W58" s="76">
        <f t="shared" si="9"/>
        <v>26.4</v>
      </c>
      <c r="Y58" s="76">
        <f t="shared" si="10"/>
        <v>3840000</v>
      </c>
      <c r="Z58" s="76">
        <f t="shared" si="11"/>
        <v>1066.66666666667</v>
      </c>
      <c r="AA58" s="76">
        <f t="shared" si="12"/>
        <v>44.4444444444444</v>
      </c>
    </row>
    <row r="59" spans="2:27">
      <c r="B59" s="76">
        <v>58</v>
      </c>
      <c r="C59" s="76">
        <f t="shared" si="1"/>
        <v>406</v>
      </c>
      <c r="D59" s="55">
        <f t="shared" si="2"/>
        <v>295</v>
      </c>
      <c r="E59" s="55">
        <f t="shared" si="3"/>
        <v>600</v>
      </c>
      <c r="F59" s="76">
        <f t="shared" si="4"/>
        <v>71.0557770638546</v>
      </c>
      <c r="G59" s="76">
        <v>3.6</v>
      </c>
      <c r="H59" s="76">
        <f t="shared" si="17"/>
        <v>2550</v>
      </c>
      <c r="I59" s="76">
        <f t="shared" si="15"/>
        <v>27026</v>
      </c>
      <c r="J59" s="77">
        <f t="shared" si="16"/>
        <v>311040</v>
      </c>
      <c r="K59" s="76">
        <f>SUM(J$2:J59)</f>
        <v>3026208</v>
      </c>
      <c r="L59" s="76">
        <f t="shared" si="5"/>
        <v>35.0255555555556</v>
      </c>
      <c r="N59" s="76">
        <v>1.2</v>
      </c>
      <c r="O59" s="76">
        <f t="shared" si="6"/>
        <v>105235200</v>
      </c>
      <c r="P59" s="76">
        <f t="shared" si="13"/>
        <v>13536000</v>
      </c>
      <c r="R59" s="76">
        <v>5</v>
      </c>
      <c r="S59" s="76">
        <f t="shared" si="0"/>
        <v>81.2</v>
      </c>
      <c r="T59" s="76">
        <f t="shared" si="7"/>
        <v>89.5</v>
      </c>
      <c r="V59" s="76">
        <f t="shared" si="8"/>
        <v>24.36</v>
      </c>
      <c r="W59" s="76">
        <f t="shared" si="9"/>
        <v>26.85</v>
      </c>
      <c r="Y59" s="76">
        <f t="shared" si="10"/>
        <v>4320000</v>
      </c>
      <c r="Z59" s="76">
        <f t="shared" si="11"/>
        <v>1200</v>
      </c>
      <c r="AA59" s="76">
        <f t="shared" si="12"/>
        <v>50</v>
      </c>
    </row>
    <row r="60" spans="2:27">
      <c r="B60" s="76">
        <v>59</v>
      </c>
      <c r="C60" s="76">
        <f t="shared" si="1"/>
        <v>413</v>
      </c>
      <c r="D60" s="55">
        <f t="shared" si="2"/>
        <v>300</v>
      </c>
      <c r="E60" s="55">
        <f t="shared" si="3"/>
        <v>610</v>
      </c>
      <c r="F60" s="76">
        <f t="shared" si="4"/>
        <v>72.3426831097615</v>
      </c>
      <c r="G60" s="76">
        <v>4</v>
      </c>
      <c r="H60" s="76">
        <f t="shared" si="17"/>
        <v>2700</v>
      </c>
      <c r="I60" s="76">
        <f t="shared" si="15"/>
        <v>29726</v>
      </c>
      <c r="J60" s="77">
        <f t="shared" si="16"/>
        <v>345600</v>
      </c>
      <c r="K60" s="76">
        <f>SUM(J$2:J60)</f>
        <v>3371808</v>
      </c>
      <c r="L60" s="76">
        <f t="shared" si="5"/>
        <v>39.0255555555556</v>
      </c>
      <c r="N60" s="76">
        <v>1.2</v>
      </c>
      <c r="O60" s="76">
        <f t="shared" si="6"/>
        <v>118944000</v>
      </c>
      <c r="P60" s="76">
        <f t="shared" si="13"/>
        <v>13708800</v>
      </c>
      <c r="R60" s="76">
        <v>5</v>
      </c>
      <c r="S60" s="76">
        <f t="shared" si="0"/>
        <v>82.6</v>
      </c>
      <c r="T60" s="76">
        <f t="shared" si="7"/>
        <v>91</v>
      </c>
      <c r="V60" s="76">
        <f t="shared" si="8"/>
        <v>24.78</v>
      </c>
      <c r="W60" s="76">
        <f t="shared" si="9"/>
        <v>27.3</v>
      </c>
      <c r="Y60" s="76">
        <f t="shared" si="10"/>
        <v>4800000</v>
      </c>
      <c r="Z60" s="76">
        <f t="shared" si="11"/>
        <v>1333.33333333333</v>
      </c>
      <c r="AA60" s="76">
        <f t="shared" si="12"/>
        <v>55.5555555555556</v>
      </c>
    </row>
    <row r="61" spans="2:27">
      <c r="B61" s="76">
        <v>60</v>
      </c>
      <c r="C61" s="76">
        <f t="shared" si="1"/>
        <v>421</v>
      </c>
      <c r="D61" s="55">
        <f t="shared" si="2"/>
        <v>305</v>
      </c>
      <c r="E61" s="55">
        <f t="shared" si="3"/>
        <v>620</v>
      </c>
      <c r="F61" s="76">
        <f t="shared" si="4"/>
        <v>73.630680267221</v>
      </c>
      <c r="G61" s="76">
        <v>4.5</v>
      </c>
      <c r="H61" s="76">
        <f t="shared" ref="H61:H70" si="18">H60+200</f>
        <v>2900</v>
      </c>
      <c r="I61" s="76">
        <f t="shared" si="15"/>
        <v>32626</v>
      </c>
      <c r="J61" s="77">
        <f t="shared" si="16"/>
        <v>388800</v>
      </c>
      <c r="K61" s="76">
        <f>SUM(J$2:J61)</f>
        <v>3760608</v>
      </c>
      <c r="L61" s="76">
        <f t="shared" si="5"/>
        <v>43.5255555555556</v>
      </c>
      <c r="N61" s="76">
        <v>1.2</v>
      </c>
      <c r="O61" s="76">
        <f t="shared" si="6"/>
        <v>136404000</v>
      </c>
      <c r="P61" s="76">
        <f t="shared" si="13"/>
        <v>17460000</v>
      </c>
      <c r="R61" s="76">
        <v>5</v>
      </c>
      <c r="S61" s="76">
        <f t="shared" si="0"/>
        <v>84.2</v>
      </c>
      <c r="T61" s="76">
        <f t="shared" si="7"/>
        <v>92.5</v>
      </c>
      <c r="V61" s="76">
        <f t="shared" si="8"/>
        <v>25.26</v>
      </c>
      <c r="W61" s="76">
        <f t="shared" si="9"/>
        <v>27.75</v>
      </c>
      <c r="Y61" s="76">
        <f t="shared" si="10"/>
        <v>5400000</v>
      </c>
      <c r="Z61" s="76">
        <f t="shared" si="11"/>
        <v>1500</v>
      </c>
      <c r="AA61" s="76">
        <f t="shared" si="12"/>
        <v>62.5</v>
      </c>
    </row>
    <row r="62" spans="2:27">
      <c r="B62" s="76">
        <v>61</v>
      </c>
      <c r="C62" s="76">
        <f t="shared" si="1"/>
        <v>428</v>
      </c>
      <c r="D62" s="55">
        <f t="shared" si="2"/>
        <v>310</v>
      </c>
      <c r="E62" s="55">
        <f t="shared" si="3"/>
        <v>630</v>
      </c>
      <c r="F62" s="76">
        <f t="shared" si="4"/>
        <v>74.9197512514852</v>
      </c>
      <c r="G62" s="76">
        <v>5</v>
      </c>
      <c r="H62" s="76">
        <f t="shared" si="18"/>
        <v>3100</v>
      </c>
      <c r="I62" s="76">
        <f t="shared" si="15"/>
        <v>35726</v>
      </c>
      <c r="J62" s="77">
        <f t="shared" si="16"/>
        <v>432000</v>
      </c>
      <c r="K62" s="76">
        <f>SUM(J$2:J62)</f>
        <v>4192608</v>
      </c>
      <c r="L62" s="76">
        <f t="shared" si="5"/>
        <v>48.5255555555556</v>
      </c>
      <c r="N62" s="76">
        <v>1.2</v>
      </c>
      <c r="O62" s="76">
        <f t="shared" si="6"/>
        <v>154080000</v>
      </c>
      <c r="P62" s="76">
        <f t="shared" si="13"/>
        <v>17676000</v>
      </c>
      <c r="R62" s="76">
        <v>5</v>
      </c>
      <c r="S62" s="76">
        <f t="shared" si="0"/>
        <v>85.6</v>
      </c>
      <c r="T62" s="76">
        <f t="shared" si="7"/>
        <v>94</v>
      </c>
      <c r="V62" s="76">
        <f t="shared" si="8"/>
        <v>25.68</v>
      </c>
      <c r="W62" s="76">
        <f t="shared" si="9"/>
        <v>28.2</v>
      </c>
      <c r="Y62" s="76">
        <f t="shared" si="10"/>
        <v>6000000</v>
      </c>
      <c r="Z62" s="76">
        <f t="shared" si="11"/>
        <v>1666.66666666667</v>
      </c>
      <c r="AA62" s="76">
        <f t="shared" si="12"/>
        <v>69.4444444444445</v>
      </c>
    </row>
    <row r="63" spans="2:27">
      <c r="B63" s="76">
        <v>62</v>
      </c>
      <c r="C63" s="76">
        <f t="shared" si="1"/>
        <v>436</v>
      </c>
      <c r="D63" s="55">
        <f t="shared" si="2"/>
        <v>315</v>
      </c>
      <c r="E63" s="55">
        <f t="shared" si="3"/>
        <v>640</v>
      </c>
      <c r="F63" s="76">
        <f t="shared" si="4"/>
        <v>76.2098793306539</v>
      </c>
      <c r="G63" s="76">
        <v>5.5</v>
      </c>
      <c r="H63" s="76">
        <f t="shared" si="18"/>
        <v>3300</v>
      </c>
      <c r="I63" s="76">
        <f t="shared" si="15"/>
        <v>39026</v>
      </c>
      <c r="J63" s="77">
        <f t="shared" si="16"/>
        <v>475200</v>
      </c>
      <c r="K63" s="76">
        <f>SUM(J$2:J63)</f>
        <v>4667808</v>
      </c>
      <c r="L63" s="76">
        <f t="shared" si="5"/>
        <v>54.0255555555556</v>
      </c>
      <c r="N63" s="76">
        <v>1.2</v>
      </c>
      <c r="O63" s="76">
        <f t="shared" si="6"/>
        <v>172656000</v>
      </c>
      <c r="P63" s="76">
        <f t="shared" si="13"/>
        <v>18576000</v>
      </c>
      <c r="R63" s="76">
        <v>5</v>
      </c>
      <c r="S63" s="76">
        <f t="shared" si="0"/>
        <v>87.2</v>
      </c>
      <c r="T63" s="76">
        <f t="shared" si="7"/>
        <v>95.5</v>
      </c>
      <c r="V63" s="76">
        <f t="shared" si="8"/>
        <v>26.16</v>
      </c>
      <c r="W63" s="76">
        <f t="shared" si="9"/>
        <v>28.65</v>
      </c>
      <c r="Y63" s="76">
        <f t="shared" si="10"/>
        <v>6600000</v>
      </c>
      <c r="Z63" s="76">
        <f t="shared" si="11"/>
        <v>1833.33333333333</v>
      </c>
      <c r="AA63" s="76">
        <f t="shared" si="12"/>
        <v>76.3888888888889</v>
      </c>
    </row>
    <row r="64" spans="2:27">
      <c r="B64" s="76">
        <v>63</v>
      </c>
      <c r="C64" s="76">
        <f t="shared" si="1"/>
        <v>443</v>
      </c>
      <c r="D64" s="55">
        <f t="shared" si="2"/>
        <v>320</v>
      </c>
      <c r="E64" s="55">
        <f t="shared" si="3"/>
        <v>650</v>
      </c>
      <c r="F64" s="76">
        <f t="shared" si="4"/>
        <v>77.501048299355</v>
      </c>
      <c r="G64" s="76">
        <f>G63+0.5</f>
        <v>6</v>
      </c>
      <c r="H64" s="76">
        <f t="shared" si="18"/>
        <v>3500</v>
      </c>
      <c r="I64" s="76">
        <f t="shared" si="15"/>
        <v>42526</v>
      </c>
      <c r="J64" s="77">
        <f t="shared" si="16"/>
        <v>518400</v>
      </c>
      <c r="K64" s="76">
        <f>SUM(J$2:J64)</f>
        <v>5186208</v>
      </c>
      <c r="L64" s="76">
        <f t="shared" si="5"/>
        <v>60.0255555555556</v>
      </c>
      <c r="N64" s="76">
        <v>1.2</v>
      </c>
      <c r="O64" s="76">
        <f t="shared" si="6"/>
        <v>191376000</v>
      </c>
      <c r="P64" s="76">
        <f t="shared" si="13"/>
        <v>18720000</v>
      </c>
      <c r="R64" s="76">
        <v>5</v>
      </c>
      <c r="S64" s="76">
        <f t="shared" si="0"/>
        <v>88.6</v>
      </c>
      <c r="T64" s="76">
        <f t="shared" si="7"/>
        <v>97</v>
      </c>
      <c r="V64" s="76">
        <f t="shared" si="8"/>
        <v>26.58</v>
      </c>
      <c r="W64" s="76">
        <f t="shared" si="9"/>
        <v>29.1</v>
      </c>
      <c r="Y64" s="76">
        <f t="shared" si="10"/>
        <v>7200000</v>
      </c>
      <c r="Z64" s="76">
        <f t="shared" si="11"/>
        <v>2000</v>
      </c>
      <c r="AA64" s="76">
        <f t="shared" si="12"/>
        <v>83.3333333333333</v>
      </c>
    </row>
    <row r="65" spans="2:27">
      <c r="B65" s="76">
        <v>64</v>
      </c>
      <c r="C65" s="76">
        <f t="shared" si="1"/>
        <v>451</v>
      </c>
      <c r="D65" s="55">
        <f t="shared" si="2"/>
        <v>325</v>
      </c>
      <c r="E65" s="55">
        <f t="shared" si="3"/>
        <v>660</v>
      </c>
      <c r="F65" s="76">
        <f t="shared" si="4"/>
        <v>78.7932424540746</v>
      </c>
      <c r="G65" s="76">
        <f>G64+0.5</f>
        <v>6.5</v>
      </c>
      <c r="H65" s="76">
        <f t="shared" si="18"/>
        <v>3700</v>
      </c>
      <c r="I65" s="76">
        <f t="shared" si="15"/>
        <v>46226</v>
      </c>
      <c r="J65" s="77">
        <f t="shared" si="16"/>
        <v>561600</v>
      </c>
      <c r="K65" s="76">
        <f>SUM(J$2:J65)</f>
        <v>5747808</v>
      </c>
      <c r="L65" s="76">
        <f t="shared" si="5"/>
        <v>66.5255555555556</v>
      </c>
      <c r="N65" s="76">
        <v>1.2</v>
      </c>
      <c r="O65" s="76">
        <f t="shared" si="6"/>
        <v>211068000</v>
      </c>
      <c r="P65" s="76">
        <f t="shared" si="13"/>
        <v>19692000</v>
      </c>
      <c r="R65" s="76">
        <v>5</v>
      </c>
      <c r="S65" s="76">
        <f t="shared" si="0"/>
        <v>90.2</v>
      </c>
      <c r="T65" s="76">
        <f t="shared" si="7"/>
        <v>98.5</v>
      </c>
      <c r="V65" s="76">
        <f t="shared" si="8"/>
        <v>27.06</v>
      </c>
      <c r="W65" s="76">
        <f t="shared" si="9"/>
        <v>29.55</v>
      </c>
      <c r="Y65" s="76">
        <f t="shared" si="10"/>
        <v>7800000</v>
      </c>
      <c r="Z65" s="76">
        <f t="shared" si="11"/>
        <v>2166.66666666667</v>
      </c>
      <c r="AA65" s="76">
        <f t="shared" si="12"/>
        <v>90.2777777777778</v>
      </c>
    </row>
    <row r="66" spans="2:27">
      <c r="B66" s="76">
        <v>65</v>
      </c>
      <c r="C66" s="76">
        <f t="shared" si="1"/>
        <v>458</v>
      </c>
      <c r="D66" s="55">
        <f t="shared" si="2"/>
        <v>330</v>
      </c>
      <c r="E66" s="55">
        <f t="shared" si="3"/>
        <v>670</v>
      </c>
      <c r="F66" s="76">
        <f t="shared" si="4"/>
        <v>80.0864465700127</v>
      </c>
      <c r="G66" s="76">
        <f>G65+0.5</f>
        <v>7</v>
      </c>
      <c r="H66" s="76">
        <f t="shared" si="18"/>
        <v>3900</v>
      </c>
      <c r="I66" s="76">
        <f t="shared" si="15"/>
        <v>50126</v>
      </c>
      <c r="J66" s="77">
        <f t="shared" si="16"/>
        <v>604800</v>
      </c>
      <c r="K66" s="76">
        <f>SUM(J$2:J66)</f>
        <v>6352608</v>
      </c>
      <c r="L66" s="76">
        <f t="shared" si="5"/>
        <v>73.5255555555556</v>
      </c>
      <c r="N66" s="76">
        <v>1.2</v>
      </c>
      <c r="O66" s="76">
        <f t="shared" si="6"/>
        <v>230832000</v>
      </c>
      <c r="P66" s="76">
        <f t="shared" si="13"/>
        <v>19764000</v>
      </c>
      <c r="R66" s="76">
        <v>5</v>
      </c>
      <c r="S66" s="76">
        <f t="shared" si="0"/>
        <v>91.6</v>
      </c>
      <c r="T66" s="76">
        <f t="shared" si="7"/>
        <v>100</v>
      </c>
      <c r="V66" s="76">
        <f t="shared" si="8"/>
        <v>27.48</v>
      </c>
      <c r="W66" s="76">
        <f t="shared" si="9"/>
        <v>30</v>
      </c>
      <c r="Y66" s="76">
        <f t="shared" si="10"/>
        <v>8400000</v>
      </c>
      <c r="Z66" s="76">
        <f t="shared" si="11"/>
        <v>2333.33333333333</v>
      </c>
      <c r="AA66" s="76">
        <f t="shared" si="12"/>
        <v>97.2222222222222</v>
      </c>
    </row>
    <row r="67" spans="2:27">
      <c r="B67" s="76">
        <v>66</v>
      </c>
      <c r="C67" s="76">
        <f t="shared" ref="C67:C81" si="19">INT(5*POWER(B67,1.08)+5)</f>
        <v>466</v>
      </c>
      <c r="D67" s="55">
        <f t="shared" ref="D67:D81" si="20">B67*5+5</f>
        <v>335</v>
      </c>
      <c r="E67" s="55">
        <f t="shared" ref="E67:E81" si="21">B67*10+20</f>
        <v>680</v>
      </c>
      <c r="F67" s="76">
        <f t="shared" ref="F67:F81" si="22">POWER(B67,1.05)</f>
        <v>81.3806458793441</v>
      </c>
      <c r="G67" s="76">
        <f>G66+0.5</f>
        <v>7.5</v>
      </c>
      <c r="H67" s="76">
        <f t="shared" si="18"/>
        <v>4100</v>
      </c>
      <c r="I67" s="76">
        <f t="shared" si="15"/>
        <v>54226</v>
      </c>
      <c r="J67" s="77">
        <f t="shared" si="16"/>
        <v>648000</v>
      </c>
      <c r="K67" s="76">
        <f>SUM(J$2:J67)</f>
        <v>7000608</v>
      </c>
      <c r="L67" s="76">
        <f t="shared" ref="L67:L80" si="23">K67/(3600*24)</f>
        <v>81.0255555555556</v>
      </c>
      <c r="N67" s="76">
        <v>1.2</v>
      </c>
      <c r="O67" s="76">
        <f t="shared" ref="O67:O80" si="24">INT(J67*(1/N67)*C67)</f>
        <v>251640000</v>
      </c>
      <c r="P67" s="76">
        <f t="shared" si="13"/>
        <v>20808000</v>
      </c>
      <c r="R67" s="76">
        <v>5</v>
      </c>
      <c r="S67" s="76">
        <f t="shared" ref="S67:S81" si="25">C67/R67</f>
        <v>93.2</v>
      </c>
      <c r="T67" s="76">
        <f t="shared" ref="T67:T81" si="26">AVERAGE(D67:E67)/R67</f>
        <v>101.5</v>
      </c>
      <c r="V67" s="76">
        <f t="shared" ref="V67:V80" si="27">S67*0.3</f>
        <v>27.96</v>
      </c>
      <c r="W67" s="76">
        <f t="shared" ref="W67:W80" si="28">T67*0.3</f>
        <v>30.45</v>
      </c>
      <c r="Y67" s="76">
        <f t="shared" ref="Y67:Y80" si="29">O67/V67</f>
        <v>9000000</v>
      </c>
      <c r="Z67" s="76">
        <f t="shared" ref="Z67:Z80" si="30">Y67/3600</f>
        <v>2500</v>
      </c>
      <c r="AA67" s="76">
        <f t="shared" ref="AA67:AA80" si="31">Y67/86400</f>
        <v>104.166666666667</v>
      </c>
    </row>
    <row r="68" spans="2:27">
      <c r="B68" s="76">
        <v>67</v>
      </c>
      <c r="C68" s="76">
        <f t="shared" si="19"/>
        <v>473</v>
      </c>
      <c r="D68" s="55">
        <f t="shared" si="20"/>
        <v>340</v>
      </c>
      <c r="E68" s="55">
        <f t="shared" si="21"/>
        <v>690</v>
      </c>
      <c r="F68" s="76">
        <f t="shared" si="22"/>
        <v>82.6758260507822</v>
      </c>
      <c r="G68" s="76">
        <f>G67+0.5</f>
        <v>8</v>
      </c>
      <c r="H68" s="76">
        <f t="shared" si="18"/>
        <v>4300</v>
      </c>
      <c r="I68" s="76">
        <f t="shared" si="15"/>
        <v>58526</v>
      </c>
      <c r="J68" s="77">
        <f t="shared" si="16"/>
        <v>691200</v>
      </c>
      <c r="K68" s="76">
        <f>SUM(J$2:J68)</f>
        <v>7691808</v>
      </c>
      <c r="L68" s="76">
        <f t="shared" si="23"/>
        <v>89.0255555555556</v>
      </c>
      <c r="N68" s="76">
        <v>1.2</v>
      </c>
      <c r="O68" s="76">
        <f t="shared" si="24"/>
        <v>272448000</v>
      </c>
      <c r="P68" s="76">
        <f t="shared" ref="P68:P80" si="32">O68-O67</f>
        <v>20808000</v>
      </c>
      <c r="R68" s="76">
        <v>5</v>
      </c>
      <c r="S68" s="76">
        <f t="shared" si="25"/>
        <v>94.6</v>
      </c>
      <c r="T68" s="76">
        <f t="shared" si="26"/>
        <v>103</v>
      </c>
      <c r="V68" s="76">
        <f t="shared" si="27"/>
        <v>28.38</v>
      </c>
      <c r="W68" s="76">
        <f t="shared" si="28"/>
        <v>30.9</v>
      </c>
      <c r="Y68" s="76">
        <f t="shared" si="29"/>
        <v>9600000</v>
      </c>
      <c r="Z68" s="76">
        <f t="shared" si="30"/>
        <v>2666.66666666667</v>
      </c>
      <c r="AA68" s="76">
        <f t="shared" si="31"/>
        <v>111.111111111111</v>
      </c>
    </row>
    <row r="69" spans="2:27">
      <c r="B69" s="76">
        <v>68</v>
      </c>
      <c r="C69" s="76">
        <f t="shared" si="19"/>
        <v>481</v>
      </c>
      <c r="D69" s="55">
        <f t="shared" si="20"/>
        <v>345</v>
      </c>
      <c r="E69" s="55">
        <f t="shared" si="21"/>
        <v>700</v>
      </c>
      <c r="F69" s="76">
        <f t="shared" si="22"/>
        <v>83.9719731703488</v>
      </c>
      <c r="G69" s="76">
        <v>9</v>
      </c>
      <c r="H69" s="76">
        <f t="shared" si="18"/>
        <v>4500</v>
      </c>
      <c r="I69" s="76">
        <f t="shared" si="15"/>
        <v>63026</v>
      </c>
      <c r="J69" s="77">
        <f t="shared" si="16"/>
        <v>777600</v>
      </c>
      <c r="K69" s="76">
        <f>SUM(J$2:J69)</f>
        <v>8469408</v>
      </c>
      <c r="L69" s="76">
        <f t="shared" si="23"/>
        <v>98.0255555555556</v>
      </c>
      <c r="N69" s="76">
        <v>1.2</v>
      </c>
      <c r="O69" s="76">
        <f t="shared" si="24"/>
        <v>311688000</v>
      </c>
      <c r="P69" s="76">
        <f t="shared" si="32"/>
        <v>39240000</v>
      </c>
      <c r="R69" s="76">
        <v>5</v>
      </c>
      <c r="S69" s="76">
        <f t="shared" si="25"/>
        <v>96.2</v>
      </c>
      <c r="T69" s="76">
        <f t="shared" si="26"/>
        <v>104.5</v>
      </c>
      <c r="V69" s="76">
        <f t="shared" si="27"/>
        <v>28.86</v>
      </c>
      <c r="W69" s="76">
        <f t="shared" si="28"/>
        <v>31.35</v>
      </c>
      <c r="Y69" s="76">
        <f t="shared" si="29"/>
        <v>10800000</v>
      </c>
      <c r="Z69" s="76">
        <f t="shared" si="30"/>
        <v>3000</v>
      </c>
      <c r="AA69" s="76">
        <f t="shared" si="31"/>
        <v>125</v>
      </c>
    </row>
    <row r="70" spans="2:27">
      <c r="B70" s="76">
        <v>69</v>
      </c>
      <c r="C70" s="76">
        <f t="shared" si="19"/>
        <v>489</v>
      </c>
      <c r="D70" s="55">
        <f t="shared" si="20"/>
        <v>350</v>
      </c>
      <c r="E70" s="55">
        <f t="shared" si="21"/>
        <v>710</v>
      </c>
      <c r="F70" s="76">
        <f t="shared" si="22"/>
        <v>85.2690737232598</v>
      </c>
      <c r="G70" s="76">
        <v>10</v>
      </c>
      <c r="H70" s="76">
        <f t="shared" si="18"/>
        <v>4700</v>
      </c>
      <c r="I70" s="76">
        <f t="shared" si="15"/>
        <v>67726</v>
      </c>
      <c r="J70" s="77">
        <f t="shared" si="16"/>
        <v>864000</v>
      </c>
      <c r="K70" s="76">
        <f>SUM(J$2:J70)</f>
        <v>9333408</v>
      </c>
      <c r="L70" s="76">
        <f t="shared" si="23"/>
        <v>108.025555555556</v>
      </c>
      <c r="N70" s="76">
        <v>1.2</v>
      </c>
      <c r="O70" s="76">
        <f t="shared" si="24"/>
        <v>352080000</v>
      </c>
      <c r="P70" s="76">
        <f t="shared" si="32"/>
        <v>40392000</v>
      </c>
      <c r="R70" s="76">
        <v>5</v>
      </c>
      <c r="S70" s="76">
        <f t="shared" si="25"/>
        <v>97.8</v>
      </c>
      <c r="T70" s="76">
        <f t="shared" si="26"/>
        <v>106</v>
      </c>
      <c r="V70" s="76">
        <f t="shared" si="27"/>
        <v>29.34</v>
      </c>
      <c r="W70" s="76">
        <f t="shared" si="28"/>
        <v>31.8</v>
      </c>
      <c r="Y70" s="76">
        <f t="shared" si="29"/>
        <v>12000000</v>
      </c>
      <c r="Z70" s="76">
        <f t="shared" si="30"/>
        <v>3333.33333333333</v>
      </c>
      <c r="AA70" s="76">
        <f t="shared" si="31"/>
        <v>138.888888888889</v>
      </c>
    </row>
    <row r="71" spans="2:27">
      <c r="B71" s="76">
        <v>70</v>
      </c>
      <c r="C71" s="76">
        <f t="shared" si="19"/>
        <v>496</v>
      </c>
      <c r="D71" s="55">
        <f t="shared" si="20"/>
        <v>355</v>
      </c>
      <c r="E71" s="55">
        <f t="shared" si="21"/>
        <v>720</v>
      </c>
      <c r="F71" s="76">
        <f t="shared" si="22"/>
        <v>86.5671145768506</v>
      </c>
      <c r="G71" s="76">
        <v>11</v>
      </c>
      <c r="H71" s="76">
        <f t="shared" ref="H71:H80" si="33">H70+300</f>
        <v>5000</v>
      </c>
      <c r="I71" s="76">
        <f t="shared" si="15"/>
        <v>72726</v>
      </c>
      <c r="J71" s="77">
        <f t="shared" si="16"/>
        <v>950400</v>
      </c>
      <c r="K71" s="76">
        <f>SUM(J$2:J71)</f>
        <v>10283808</v>
      </c>
      <c r="L71" s="76">
        <f t="shared" si="23"/>
        <v>119.025555555556</v>
      </c>
      <c r="N71" s="76">
        <v>1.2</v>
      </c>
      <c r="O71" s="76">
        <f t="shared" si="24"/>
        <v>392832000</v>
      </c>
      <c r="P71" s="76">
        <f t="shared" si="32"/>
        <v>40752000</v>
      </c>
      <c r="R71" s="76">
        <v>5</v>
      </c>
      <c r="S71" s="76">
        <f t="shared" si="25"/>
        <v>99.2</v>
      </c>
      <c r="T71" s="76">
        <f t="shared" si="26"/>
        <v>107.5</v>
      </c>
      <c r="V71" s="76">
        <f t="shared" si="27"/>
        <v>29.76</v>
      </c>
      <c r="W71" s="76">
        <f t="shared" si="28"/>
        <v>32.25</v>
      </c>
      <c r="Y71" s="76">
        <f t="shared" si="29"/>
        <v>13200000</v>
      </c>
      <c r="Z71" s="76">
        <f t="shared" si="30"/>
        <v>3666.66666666667</v>
      </c>
      <c r="AA71" s="76">
        <f t="shared" si="31"/>
        <v>152.777777777778</v>
      </c>
    </row>
    <row r="72" spans="2:27">
      <c r="B72" s="76">
        <v>71</v>
      </c>
      <c r="C72" s="76">
        <f t="shared" si="19"/>
        <v>504</v>
      </c>
      <c r="D72" s="55">
        <f t="shared" si="20"/>
        <v>360</v>
      </c>
      <c r="E72" s="55">
        <f t="shared" si="21"/>
        <v>730</v>
      </c>
      <c r="F72" s="76">
        <f t="shared" si="22"/>
        <v>87.8660829644639</v>
      </c>
      <c r="G72" s="76">
        <v>12</v>
      </c>
      <c r="H72" s="76">
        <f t="shared" si="33"/>
        <v>5300</v>
      </c>
      <c r="I72" s="76">
        <f t="shared" si="15"/>
        <v>78026</v>
      </c>
      <c r="J72" s="77">
        <f t="shared" si="16"/>
        <v>1036800</v>
      </c>
      <c r="K72" s="76">
        <f>SUM(J$2:J72)</f>
        <v>11320608</v>
      </c>
      <c r="L72" s="76">
        <f t="shared" si="23"/>
        <v>131.025555555556</v>
      </c>
      <c r="N72" s="76">
        <v>1.2</v>
      </c>
      <c r="O72" s="76">
        <f t="shared" si="24"/>
        <v>435456000</v>
      </c>
      <c r="P72" s="76">
        <f t="shared" si="32"/>
        <v>42624000</v>
      </c>
      <c r="R72" s="76">
        <v>5</v>
      </c>
      <c r="S72" s="76">
        <f t="shared" si="25"/>
        <v>100.8</v>
      </c>
      <c r="T72" s="76">
        <f t="shared" si="26"/>
        <v>109</v>
      </c>
      <c r="V72" s="76">
        <f t="shared" si="27"/>
        <v>30.24</v>
      </c>
      <c r="W72" s="76">
        <f t="shared" si="28"/>
        <v>32.7</v>
      </c>
      <c r="Y72" s="76">
        <f t="shared" si="29"/>
        <v>14400000</v>
      </c>
      <c r="Z72" s="76">
        <f t="shared" si="30"/>
        <v>4000</v>
      </c>
      <c r="AA72" s="76">
        <f t="shared" si="31"/>
        <v>166.666666666667</v>
      </c>
    </row>
    <row r="73" spans="2:27">
      <c r="B73" s="76">
        <v>72</v>
      </c>
      <c r="C73" s="76">
        <f t="shared" si="19"/>
        <v>511</v>
      </c>
      <c r="D73" s="55">
        <f t="shared" si="20"/>
        <v>365</v>
      </c>
      <c r="E73" s="55">
        <f t="shared" si="21"/>
        <v>740</v>
      </c>
      <c r="F73" s="76">
        <f t="shared" si="22"/>
        <v>89.165966470235</v>
      </c>
      <c r="G73" s="76">
        <v>13</v>
      </c>
      <c r="H73" s="76">
        <f t="shared" si="33"/>
        <v>5600</v>
      </c>
      <c r="I73" s="76">
        <f t="shared" si="15"/>
        <v>83626</v>
      </c>
      <c r="J73" s="77">
        <f t="shared" si="16"/>
        <v>1123200</v>
      </c>
      <c r="K73" s="76">
        <f>SUM(J$2:J73)</f>
        <v>12443808</v>
      </c>
      <c r="L73" s="76">
        <f t="shared" si="23"/>
        <v>144.025555555556</v>
      </c>
      <c r="N73" s="76">
        <v>1.2</v>
      </c>
      <c r="O73" s="76">
        <f t="shared" si="24"/>
        <v>478296000</v>
      </c>
      <c r="P73" s="76">
        <f t="shared" si="32"/>
        <v>42840000</v>
      </c>
      <c r="R73" s="76">
        <v>5</v>
      </c>
      <c r="S73" s="76">
        <f t="shared" si="25"/>
        <v>102.2</v>
      </c>
      <c r="T73" s="76">
        <f t="shared" si="26"/>
        <v>110.5</v>
      </c>
      <c r="V73" s="76">
        <f t="shared" si="27"/>
        <v>30.66</v>
      </c>
      <c r="W73" s="76">
        <f t="shared" si="28"/>
        <v>33.15</v>
      </c>
      <c r="Y73" s="76">
        <f t="shared" si="29"/>
        <v>15600000</v>
      </c>
      <c r="Z73" s="76">
        <f t="shared" si="30"/>
        <v>4333.33333333333</v>
      </c>
      <c r="AA73" s="76">
        <f t="shared" si="31"/>
        <v>180.555555555556</v>
      </c>
    </row>
    <row r="74" spans="2:27">
      <c r="B74" s="76">
        <v>73</v>
      </c>
      <c r="C74" s="76">
        <f t="shared" si="19"/>
        <v>519</v>
      </c>
      <c r="D74" s="55">
        <f t="shared" si="20"/>
        <v>370</v>
      </c>
      <c r="E74" s="55">
        <f t="shared" si="21"/>
        <v>750</v>
      </c>
      <c r="F74" s="76">
        <f t="shared" si="22"/>
        <v>90.4667530147124</v>
      </c>
      <c r="G74" s="76">
        <v>15</v>
      </c>
      <c r="H74" s="76">
        <f t="shared" si="33"/>
        <v>5900</v>
      </c>
      <c r="I74" s="76">
        <f t="shared" si="15"/>
        <v>89526</v>
      </c>
      <c r="J74" s="77">
        <f t="shared" si="16"/>
        <v>1296000</v>
      </c>
      <c r="K74" s="76">
        <f>SUM(J$2:J74)</f>
        <v>13739808</v>
      </c>
      <c r="L74" s="76">
        <f t="shared" si="23"/>
        <v>159.025555555556</v>
      </c>
      <c r="N74" s="76">
        <v>1.2</v>
      </c>
      <c r="O74" s="76">
        <f t="shared" si="24"/>
        <v>560520000</v>
      </c>
      <c r="P74" s="76">
        <f t="shared" si="32"/>
        <v>82224000</v>
      </c>
      <c r="R74" s="76">
        <v>5</v>
      </c>
      <c r="S74" s="76">
        <f t="shared" si="25"/>
        <v>103.8</v>
      </c>
      <c r="T74" s="76">
        <f t="shared" si="26"/>
        <v>112</v>
      </c>
      <c r="V74" s="76">
        <f t="shared" si="27"/>
        <v>31.14</v>
      </c>
      <c r="W74" s="76">
        <f t="shared" si="28"/>
        <v>33.6</v>
      </c>
      <c r="Y74" s="76">
        <f t="shared" si="29"/>
        <v>18000000</v>
      </c>
      <c r="Z74" s="76">
        <f t="shared" si="30"/>
        <v>5000</v>
      </c>
      <c r="AA74" s="76">
        <f t="shared" si="31"/>
        <v>208.333333333333</v>
      </c>
    </row>
    <row r="75" spans="2:27">
      <c r="B75" s="76">
        <v>74</v>
      </c>
      <c r="C75" s="76">
        <f t="shared" si="19"/>
        <v>527</v>
      </c>
      <c r="D75" s="55">
        <f t="shared" si="20"/>
        <v>375</v>
      </c>
      <c r="E75" s="55">
        <f t="shared" si="21"/>
        <v>760</v>
      </c>
      <c r="F75" s="76">
        <f t="shared" si="22"/>
        <v>91.7684308412558</v>
      </c>
      <c r="G75" s="76">
        <v>18</v>
      </c>
      <c r="H75" s="76">
        <f t="shared" si="33"/>
        <v>6200</v>
      </c>
      <c r="I75" s="76">
        <f t="shared" si="15"/>
        <v>95726</v>
      </c>
      <c r="J75" s="77">
        <f t="shared" si="16"/>
        <v>1555200</v>
      </c>
      <c r="K75" s="76">
        <f>SUM(J$2:J75)</f>
        <v>15295008</v>
      </c>
      <c r="L75" s="76">
        <f t="shared" si="23"/>
        <v>177.025555555556</v>
      </c>
      <c r="N75" s="76">
        <v>1.2</v>
      </c>
      <c r="O75" s="76">
        <f t="shared" si="24"/>
        <v>682992000</v>
      </c>
      <c r="P75" s="76">
        <f t="shared" si="32"/>
        <v>122472000</v>
      </c>
      <c r="R75" s="76">
        <v>5</v>
      </c>
      <c r="S75" s="76">
        <f t="shared" si="25"/>
        <v>105.4</v>
      </c>
      <c r="T75" s="76">
        <f t="shared" si="26"/>
        <v>113.5</v>
      </c>
      <c r="V75" s="76">
        <f t="shared" si="27"/>
        <v>31.62</v>
      </c>
      <c r="W75" s="76">
        <f t="shared" si="28"/>
        <v>34.05</v>
      </c>
      <c r="Y75" s="76">
        <f t="shared" si="29"/>
        <v>21600000</v>
      </c>
      <c r="Z75" s="76">
        <f t="shared" si="30"/>
        <v>6000</v>
      </c>
      <c r="AA75" s="76">
        <f t="shared" si="31"/>
        <v>250</v>
      </c>
    </row>
    <row r="76" spans="2:27">
      <c r="B76" s="76">
        <v>75</v>
      </c>
      <c r="C76" s="76">
        <f t="shared" si="19"/>
        <v>534</v>
      </c>
      <c r="D76" s="55">
        <f t="shared" si="20"/>
        <v>380</v>
      </c>
      <c r="E76" s="55">
        <f t="shared" si="21"/>
        <v>770</v>
      </c>
      <c r="F76" s="76">
        <f t="shared" si="22"/>
        <v>93.0709885031627</v>
      </c>
      <c r="G76" s="76">
        <v>21</v>
      </c>
      <c r="H76" s="76">
        <f t="shared" si="33"/>
        <v>6500</v>
      </c>
      <c r="I76" s="76">
        <f t="shared" ref="I76:I80" si="34">I75+H76</f>
        <v>102226</v>
      </c>
      <c r="J76" s="77">
        <f t="shared" si="16"/>
        <v>1814400</v>
      </c>
      <c r="K76" s="76">
        <f>SUM(J$2:J76)</f>
        <v>17109408</v>
      </c>
      <c r="L76" s="76">
        <f t="shared" si="23"/>
        <v>198.025555555556</v>
      </c>
      <c r="N76" s="76">
        <v>1.2</v>
      </c>
      <c r="O76" s="76">
        <f t="shared" si="24"/>
        <v>807408000</v>
      </c>
      <c r="P76" s="76">
        <f t="shared" si="32"/>
        <v>124416000</v>
      </c>
      <c r="R76" s="76">
        <v>5</v>
      </c>
      <c r="S76" s="76">
        <f t="shared" si="25"/>
        <v>106.8</v>
      </c>
      <c r="T76" s="76">
        <f t="shared" si="26"/>
        <v>115</v>
      </c>
      <c r="V76" s="76">
        <f t="shared" si="27"/>
        <v>32.04</v>
      </c>
      <c r="W76" s="76">
        <f t="shared" si="28"/>
        <v>34.5</v>
      </c>
      <c r="Y76" s="76">
        <f t="shared" si="29"/>
        <v>25200000</v>
      </c>
      <c r="Z76" s="76">
        <f t="shared" si="30"/>
        <v>7000</v>
      </c>
      <c r="AA76" s="76">
        <f t="shared" si="31"/>
        <v>291.666666666667</v>
      </c>
    </row>
    <row r="77" spans="2:27">
      <c r="B77" s="76">
        <v>76</v>
      </c>
      <c r="C77" s="76">
        <f t="shared" si="19"/>
        <v>542</v>
      </c>
      <c r="D77" s="55">
        <f t="shared" si="20"/>
        <v>385</v>
      </c>
      <c r="E77" s="55">
        <f t="shared" si="21"/>
        <v>780</v>
      </c>
      <c r="F77" s="76">
        <f t="shared" si="22"/>
        <v>94.3744148514705</v>
      </c>
      <c r="G77" s="76">
        <v>24</v>
      </c>
      <c r="H77" s="76">
        <f t="shared" si="33"/>
        <v>6800</v>
      </c>
      <c r="I77" s="76">
        <f t="shared" si="34"/>
        <v>109026</v>
      </c>
      <c r="J77" s="77">
        <f t="shared" si="16"/>
        <v>2073600</v>
      </c>
      <c r="K77" s="76">
        <f>SUM(J$2:J77)</f>
        <v>19183008</v>
      </c>
      <c r="L77" s="76">
        <f t="shared" si="23"/>
        <v>222.025555555556</v>
      </c>
      <c r="N77" s="76">
        <v>1.2</v>
      </c>
      <c r="O77" s="76">
        <f t="shared" si="24"/>
        <v>936576000</v>
      </c>
      <c r="P77" s="76">
        <f t="shared" si="32"/>
        <v>129168000</v>
      </c>
      <c r="R77" s="76">
        <v>5</v>
      </c>
      <c r="S77" s="76">
        <f t="shared" si="25"/>
        <v>108.4</v>
      </c>
      <c r="T77" s="76">
        <f t="shared" si="26"/>
        <v>116.5</v>
      </c>
      <c r="V77" s="76">
        <f t="shared" si="27"/>
        <v>32.52</v>
      </c>
      <c r="W77" s="76">
        <f t="shared" si="28"/>
        <v>34.95</v>
      </c>
      <c r="Y77" s="76">
        <f t="shared" si="29"/>
        <v>28800000</v>
      </c>
      <c r="Z77" s="76">
        <f t="shared" si="30"/>
        <v>8000</v>
      </c>
      <c r="AA77" s="76">
        <f t="shared" si="31"/>
        <v>333.333333333333</v>
      </c>
    </row>
    <row r="78" spans="2:27">
      <c r="B78" s="76">
        <v>77</v>
      </c>
      <c r="C78" s="76">
        <f t="shared" si="19"/>
        <v>549</v>
      </c>
      <c r="D78" s="55">
        <f t="shared" si="20"/>
        <v>390</v>
      </c>
      <c r="E78" s="55">
        <f t="shared" si="21"/>
        <v>790</v>
      </c>
      <c r="F78" s="76">
        <f t="shared" si="22"/>
        <v>95.6786990233953</v>
      </c>
      <c r="G78" s="76">
        <v>27</v>
      </c>
      <c r="H78" s="76">
        <f t="shared" si="33"/>
        <v>7100</v>
      </c>
      <c r="I78" s="76">
        <f t="shared" si="34"/>
        <v>116126</v>
      </c>
      <c r="J78" s="77">
        <f t="shared" si="16"/>
        <v>2332800</v>
      </c>
      <c r="K78" s="76">
        <f>SUM(J$2:J78)</f>
        <v>21515808</v>
      </c>
      <c r="L78" s="76">
        <f t="shared" si="23"/>
        <v>249.025555555556</v>
      </c>
      <c r="N78" s="76">
        <v>1.2</v>
      </c>
      <c r="O78" s="76">
        <f t="shared" si="24"/>
        <v>1067256000</v>
      </c>
      <c r="P78" s="76">
        <f t="shared" si="32"/>
        <v>130680000</v>
      </c>
      <c r="R78" s="76">
        <v>5</v>
      </c>
      <c r="S78" s="76">
        <f t="shared" si="25"/>
        <v>109.8</v>
      </c>
      <c r="T78" s="76">
        <f t="shared" si="26"/>
        <v>118</v>
      </c>
      <c r="V78" s="76">
        <f t="shared" si="27"/>
        <v>32.94</v>
      </c>
      <c r="W78" s="76">
        <f t="shared" si="28"/>
        <v>35.4</v>
      </c>
      <c r="Y78" s="76">
        <f t="shared" si="29"/>
        <v>32400000</v>
      </c>
      <c r="Z78" s="76">
        <f t="shared" si="30"/>
        <v>9000</v>
      </c>
      <c r="AA78" s="76">
        <f t="shared" si="31"/>
        <v>375</v>
      </c>
    </row>
    <row r="79" spans="2:27">
      <c r="B79" s="76">
        <v>78</v>
      </c>
      <c r="C79" s="76">
        <f t="shared" si="19"/>
        <v>557</v>
      </c>
      <c r="D79" s="55">
        <f t="shared" si="20"/>
        <v>395</v>
      </c>
      <c r="E79" s="55">
        <f t="shared" si="21"/>
        <v>800</v>
      </c>
      <c r="F79" s="76">
        <f t="shared" si="22"/>
        <v>96.9838304313625</v>
      </c>
      <c r="G79" s="76">
        <v>30</v>
      </c>
      <c r="H79" s="76">
        <f t="shared" si="33"/>
        <v>7400</v>
      </c>
      <c r="I79" s="76">
        <f t="shared" si="34"/>
        <v>123526</v>
      </c>
      <c r="J79" s="77">
        <f t="shared" si="16"/>
        <v>2592000</v>
      </c>
      <c r="K79" s="76">
        <f>SUM(J$2:J79)</f>
        <v>24107808</v>
      </c>
      <c r="L79" s="76">
        <f t="shared" si="23"/>
        <v>279.025555555556</v>
      </c>
      <c r="N79" s="76">
        <v>1.2</v>
      </c>
      <c r="O79" s="76">
        <f t="shared" si="24"/>
        <v>1203120000</v>
      </c>
      <c r="P79" s="76">
        <f t="shared" si="32"/>
        <v>135864000</v>
      </c>
      <c r="R79" s="76">
        <v>5</v>
      </c>
      <c r="S79" s="76">
        <f t="shared" si="25"/>
        <v>111.4</v>
      </c>
      <c r="T79" s="76">
        <f t="shared" si="26"/>
        <v>119.5</v>
      </c>
      <c r="V79" s="76">
        <f t="shared" si="27"/>
        <v>33.42</v>
      </c>
      <c r="W79" s="76">
        <f t="shared" si="28"/>
        <v>35.85</v>
      </c>
      <c r="Y79" s="76">
        <f t="shared" si="29"/>
        <v>36000000</v>
      </c>
      <c r="Z79" s="76">
        <f t="shared" si="30"/>
        <v>10000</v>
      </c>
      <c r="AA79" s="76">
        <f t="shared" si="31"/>
        <v>416.666666666667</v>
      </c>
    </row>
    <row r="80" spans="2:27">
      <c r="B80" s="76">
        <v>79</v>
      </c>
      <c r="C80" s="76">
        <f t="shared" si="19"/>
        <v>565</v>
      </c>
      <c r="D80" s="55">
        <f t="shared" si="20"/>
        <v>400</v>
      </c>
      <c r="E80" s="55">
        <f t="shared" si="21"/>
        <v>810</v>
      </c>
      <c r="F80" s="76">
        <f t="shared" si="22"/>
        <v>98.2897987525942</v>
      </c>
      <c r="G80" s="76">
        <v>35</v>
      </c>
      <c r="H80" s="76">
        <f t="shared" si="33"/>
        <v>7700</v>
      </c>
      <c r="I80" s="76">
        <f t="shared" si="34"/>
        <v>131226</v>
      </c>
      <c r="J80" s="77">
        <f t="shared" si="16"/>
        <v>3024000</v>
      </c>
      <c r="K80" s="76">
        <f>SUM(J$2:J80)</f>
        <v>27131808</v>
      </c>
      <c r="L80" s="76">
        <f t="shared" si="23"/>
        <v>314.025555555556</v>
      </c>
      <c r="N80" s="76">
        <v>1.2</v>
      </c>
      <c r="O80" s="76">
        <f t="shared" si="24"/>
        <v>1423800000</v>
      </c>
      <c r="P80" s="76">
        <f t="shared" si="32"/>
        <v>220680000</v>
      </c>
      <c r="R80" s="76">
        <v>5</v>
      </c>
      <c r="S80" s="76">
        <f t="shared" si="25"/>
        <v>113</v>
      </c>
      <c r="T80" s="76">
        <f t="shared" si="26"/>
        <v>121</v>
      </c>
      <c r="V80" s="76">
        <f t="shared" si="27"/>
        <v>33.9</v>
      </c>
      <c r="W80" s="76">
        <f t="shared" si="28"/>
        <v>36.3</v>
      </c>
      <c r="Y80" s="76">
        <f t="shared" si="29"/>
        <v>42000000</v>
      </c>
      <c r="Z80" s="76">
        <f t="shared" si="30"/>
        <v>11666.6666666667</v>
      </c>
      <c r="AA80" s="76">
        <f t="shared" si="31"/>
        <v>486.111111111111</v>
      </c>
    </row>
    <row r="81" spans="2:20">
      <c r="B81" s="76">
        <v>80</v>
      </c>
      <c r="C81" s="76">
        <f t="shared" si="19"/>
        <v>572</v>
      </c>
      <c r="D81" s="55">
        <f t="shared" si="20"/>
        <v>405</v>
      </c>
      <c r="E81" s="55">
        <f t="shared" si="21"/>
        <v>820</v>
      </c>
      <c r="F81" s="76">
        <f t="shared" si="22"/>
        <v>99.5965939192167</v>
      </c>
      <c r="R81" s="76">
        <v>3</v>
      </c>
      <c r="S81" s="76">
        <f t="shared" si="25"/>
        <v>190.666666666667</v>
      </c>
      <c r="T81" s="76">
        <f t="shared" si="26"/>
        <v>204.166666666667</v>
      </c>
    </row>
  </sheetData>
  <pageMargins left="0.7" right="0.7" top="0.75" bottom="0.75" header="0.3" footer="0.3"/>
  <pageSetup paperSize="9" orientation="portrait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42"/>
  <sheetViews>
    <sheetView workbookViewId="0">
      <selection activeCell="D3" sqref="D3"/>
    </sheetView>
  </sheetViews>
  <sheetFormatPr defaultColWidth="9" defaultRowHeight="14.25"/>
  <cols>
    <col min="1" max="1" width="9" style="4"/>
    <col min="2" max="2" width="7.75" style="4" customWidth="1"/>
    <col min="3" max="3" width="5.5" style="4" customWidth="1"/>
    <col min="4" max="9" width="9" style="4"/>
    <col min="10" max="10" width="8" style="4" customWidth="1"/>
    <col min="11" max="11" width="8.875" style="4" customWidth="1"/>
    <col min="12" max="12" width="2.375" style="4" customWidth="1"/>
    <col min="13" max="15" width="7.75" style="4" customWidth="1"/>
    <col min="16" max="16" width="4.75" style="4" customWidth="1"/>
    <col min="17" max="18" width="4.875" style="4" customWidth="1"/>
    <col min="19" max="19" width="5.75" style="56" customWidth="1"/>
    <col min="20" max="20" width="5.375" style="56" customWidth="1"/>
    <col min="21" max="23" width="7.5" style="56" customWidth="1"/>
    <col min="24" max="24" width="5.375" style="56" customWidth="1"/>
    <col min="25" max="26" width="4.5" style="4" customWidth="1"/>
    <col min="27" max="27" width="3.625" style="4" customWidth="1"/>
    <col min="28" max="29" width="4.5" style="57" customWidth="1"/>
    <col min="30" max="30" width="5" style="57" customWidth="1"/>
    <col min="31" max="31" width="4.5" style="57" customWidth="1"/>
    <col min="32" max="34" width="7.5" style="57" customWidth="1"/>
    <col min="35" max="37" width="4.5" style="57" customWidth="1"/>
    <col min="38" max="16384" width="9" style="4"/>
  </cols>
  <sheetData>
    <row r="1" spans="4:37"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S1" s="56">
        <f>D1</f>
        <v>2</v>
      </c>
      <c r="T1" s="56">
        <f>E1</f>
        <v>3</v>
      </c>
      <c r="U1" s="56">
        <f t="shared" ref="U1:Z1" si="0">F1</f>
        <v>4</v>
      </c>
      <c r="V1" s="56">
        <f t="shared" si="0"/>
        <v>5</v>
      </c>
      <c r="W1" s="56">
        <f t="shared" si="0"/>
        <v>6</v>
      </c>
      <c r="X1" s="56">
        <f t="shared" si="0"/>
        <v>7</v>
      </c>
      <c r="Y1" s="4">
        <f t="shared" si="0"/>
        <v>8</v>
      </c>
      <c r="Z1" s="4">
        <f t="shared" si="0"/>
        <v>9</v>
      </c>
      <c r="AD1" s="57">
        <f>基础设定!D9</f>
        <v>2</v>
      </c>
      <c r="AE1" s="57">
        <f>基础设定!D10</f>
        <v>1</v>
      </c>
      <c r="AF1" s="57">
        <f>基础设定!D11</f>
        <v>10</v>
      </c>
      <c r="AG1" s="57">
        <f>基础设定!D12</f>
        <v>10</v>
      </c>
      <c r="AH1" s="57">
        <f>基础设定!D13</f>
        <v>10</v>
      </c>
      <c r="AI1" s="57">
        <f>基础设定!D14</f>
        <v>10</v>
      </c>
      <c r="AJ1" s="57">
        <f>基础设定!D15</f>
        <v>50</v>
      </c>
      <c r="AK1" s="57">
        <f>基础设定!D16</f>
        <v>100</v>
      </c>
    </row>
    <row r="2" spans="4:38">
      <c r="D2" s="58" t="s">
        <v>10</v>
      </c>
      <c r="E2" s="58" t="s">
        <v>12</v>
      </c>
      <c r="F2" s="58" t="s">
        <v>13</v>
      </c>
      <c r="G2" s="58" t="s">
        <v>14</v>
      </c>
      <c r="H2" s="58" t="s">
        <v>15</v>
      </c>
      <c r="I2" s="58" t="s">
        <v>17</v>
      </c>
      <c r="J2" s="58" t="s">
        <v>90</v>
      </c>
      <c r="K2" s="58" t="s">
        <v>19</v>
      </c>
      <c r="Q2" s="4" t="s">
        <v>77</v>
      </c>
      <c r="R2" s="4" t="s">
        <v>91</v>
      </c>
      <c r="S2" s="56" t="s">
        <v>10</v>
      </c>
      <c r="T2" s="56" t="s">
        <v>12</v>
      </c>
      <c r="U2" s="56" t="s">
        <v>13</v>
      </c>
      <c r="V2" s="56" t="s">
        <v>14</v>
      </c>
      <c r="W2" s="56" t="s">
        <v>15</v>
      </c>
      <c r="X2" s="56" t="s">
        <v>17</v>
      </c>
      <c r="Y2" s="4" t="s">
        <v>18</v>
      </c>
      <c r="Z2" s="4" t="s">
        <v>19</v>
      </c>
      <c r="AB2" s="74" t="s">
        <v>77</v>
      </c>
      <c r="AC2" s="74" t="s">
        <v>91</v>
      </c>
      <c r="AD2" s="74" t="s">
        <v>10</v>
      </c>
      <c r="AE2" s="74" t="s">
        <v>12</v>
      </c>
      <c r="AF2" s="74" t="s">
        <v>13</v>
      </c>
      <c r="AG2" s="74" t="s">
        <v>14</v>
      </c>
      <c r="AH2" s="74" t="s">
        <v>15</v>
      </c>
      <c r="AI2" s="74" t="s">
        <v>17</v>
      </c>
      <c r="AJ2" s="74" t="s">
        <v>18</v>
      </c>
      <c r="AK2" s="74" t="s">
        <v>19</v>
      </c>
      <c r="AL2" s="4" t="s">
        <v>92</v>
      </c>
    </row>
    <row r="3" spans="2:38">
      <c r="B3" s="4">
        <f>D3/(F3-I3)</f>
        <v>10</v>
      </c>
      <c r="C3" s="41"/>
      <c r="D3" s="59">
        <f>I3*10</f>
        <v>1000</v>
      </c>
      <c r="E3" s="59">
        <v>300</v>
      </c>
      <c r="F3" s="59">
        <f>I3*2</f>
        <v>200</v>
      </c>
      <c r="G3" s="59">
        <f>F3</f>
        <v>200</v>
      </c>
      <c r="H3" s="59">
        <f>F3</f>
        <v>200</v>
      </c>
      <c r="I3" s="59">
        <v>100</v>
      </c>
      <c r="J3" s="54">
        <v>1</v>
      </c>
      <c r="K3" s="54">
        <v>0</v>
      </c>
      <c r="Q3" s="38">
        <v>1</v>
      </c>
      <c r="R3" s="38" t="s">
        <v>93</v>
      </c>
      <c r="S3" s="56">
        <f>IF($Q3=1,(D$3*VLOOKUP($R3,$C$4:$K$6,S$1,0)*LOOKUP($Q3,$M$8:$M$16,$O$8:$O$16)),(D$3*VLOOKUP($R3,$C$4:$K$6,S$1,0)*LOOKUP($Q3,$M$8:$M$16,$O$8:$O$16)+S2))</f>
        <v>55</v>
      </c>
      <c r="T3" s="56">
        <f t="shared" ref="T3:X3" si="1">IF($Q3=1,(E$3*VLOOKUP($R3,$C$4:$K$6,T$1,0)*LOOKUP($Q3,$M$8:$M$16,$O$8:$O$16)),(E$3*VLOOKUP($R3,$C$4:$K$6,T$1,0)*LOOKUP($Q3,$M$8:$M$16,$O$8:$O$16)+T2))</f>
        <v>10.5</v>
      </c>
      <c r="U3" s="56">
        <f t="shared" si="1"/>
        <v>9</v>
      </c>
      <c r="V3" s="56">
        <f t="shared" si="1"/>
        <v>2.25</v>
      </c>
      <c r="W3" s="56">
        <f t="shared" si="1"/>
        <v>2.25</v>
      </c>
      <c r="X3" s="56">
        <f t="shared" si="1"/>
        <v>5</v>
      </c>
      <c r="Y3" s="4">
        <v>1</v>
      </c>
      <c r="Z3" s="4">
        <v>0</v>
      </c>
      <c r="AB3" s="74">
        <f>Q3</f>
        <v>1</v>
      </c>
      <c r="AC3" s="74">
        <f>VLOOKUP(R3,$M$4:$N$6,2,0)</f>
        <v>1</v>
      </c>
      <c r="AD3" s="74">
        <f>INT(S3)</f>
        <v>55</v>
      </c>
      <c r="AE3" s="74">
        <f t="shared" ref="AE3:AK3" si="2">INT(T3)</f>
        <v>10</v>
      </c>
      <c r="AF3" s="74">
        <f t="shared" si="2"/>
        <v>9</v>
      </c>
      <c r="AG3" s="74">
        <f t="shared" si="2"/>
        <v>2</v>
      </c>
      <c r="AH3" s="74">
        <f t="shared" si="2"/>
        <v>2</v>
      </c>
      <c r="AI3" s="74">
        <f t="shared" si="2"/>
        <v>5</v>
      </c>
      <c r="AJ3" s="74">
        <f t="shared" si="2"/>
        <v>1</v>
      </c>
      <c r="AK3" s="74">
        <f t="shared" si="2"/>
        <v>0</v>
      </c>
      <c r="AL3" s="4">
        <f>$AD$1*AD3+$AE$1*AE3+MAX($AF$1:$AH$1)*MAX(AF3:AH3)+$AI$1*AI3</f>
        <v>260</v>
      </c>
    </row>
    <row r="4" spans="2:38">
      <c r="B4" s="4">
        <f>D4+MAX(F4:H4)+I4</f>
        <v>3</v>
      </c>
      <c r="C4" s="60" t="s">
        <v>93</v>
      </c>
      <c r="D4" s="60">
        <v>1.1</v>
      </c>
      <c r="E4" s="60">
        <v>0.7</v>
      </c>
      <c r="F4" s="60">
        <v>0.9</v>
      </c>
      <c r="G4" s="61">
        <f>F4*0.25</f>
        <v>0.225</v>
      </c>
      <c r="H4" s="61">
        <f>G4</f>
        <v>0.225</v>
      </c>
      <c r="I4" s="60">
        <v>1</v>
      </c>
      <c r="J4" s="60">
        <v>1</v>
      </c>
      <c r="K4" s="60">
        <v>0</v>
      </c>
      <c r="M4" s="4" t="s">
        <v>93</v>
      </c>
      <c r="N4" s="4">
        <v>1</v>
      </c>
      <c r="Q4" s="38">
        <v>2</v>
      </c>
      <c r="R4" s="38" t="s">
        <v>93</v>
      </c>
      <c r="S4" s="56">
        <f t="shared" ref="S4:S67" si="3">IF($Q4=1,(D$3*VLOOKUP($R4,$C$4:$K$6,S$1,0)*LOOKUP($Q4,$M$8:$M$16,$O$8:$O$16)),(D$3*VLOOKUP($R4,$C$4:$K$6,S$1,0)*LOOKUP($Q4,$M$8:$M$16,$O$8:$O$16)+S3))</f>
        <v>64.35</v>
      </c>
      <c r="T4" s="56">
        <f t="shared" ref="T4:T67" si="4">IF($Q4=1,(E$3*VLOOKUP($R4,$C$4:$K$6,T$1,0)*LOOKUP($Q4,$M$8:$M$16,$O$8:$O$16)),(E$3*VLOOKUP($R4,$C$4:$K$6,T$1,0)*LOOKUP($Q4,$M$8:$M$16,$O$8:$O$16)+T3))</f>
        <v>12.285</v>
      </c>
      <c r="U4" s="56">
        <f t="shared" ref="U4:U67" si="5">IF($Q4=1,(F$3*VLOOKUP($R4,$C$4:$K$6,U$1,0)*LOOKUP($Q4,$M$8:$M$16,$O$8:$O$16)),(F$3*VLOOKUP($R4,$C$4:$K$6,U$1,0)*LOOKUP($Q4,$M$8:$M$16,$O$8:$O$16)+U3))</f>
        <v>10.53</v>
      </c>
      <c r="V4" s="56">
        <f t="shared" ref="V4:V67" si="6">IF($Q4=1,(G$3*VLOOKUP($R4,$C$4:$K$6,V$1,0)*LOOKUP($Q4,$M$8:$M$16,$O$8:$O$16)),(G$3*VLOOKUP($R4,$C$4:$K$6,V$1,0)*LOOKUP($Q4,$M$8:$M$16,$O$8:$O$16)+V3))</f>
        <v>2.6325</v>
      </c>
      <c r="W4" s="56">
        <f t="shared" ref="W4:W67" si="7">IF($Q4=1,(H$3*VLOOKUP($R4,$C$4:$K$6,W$1,0)*LOOKUP($Q4,$M$8:$M$16,$O$8:$O$16)),(H$3*VLOOKUP($R4,$C$4:$K$6,W$1,0)*LOOKUP($Q4,$M$8:$M$16,$O$8:$O$16)+W3))</f>
        <v>2.6325</v>
      </c>
      <c r="X4" s="56">
        <f t="shared" ref="X4:X67" si="8">IF($Q4=1,(I$3*VLOOKUP($R4,$C$4:$K$6,X$1,0)*LOOKUP($Q4,$M$8:$M$16,$O$8:$O$16)),(I$3*VLOOKUP($R4,$C$4:$K$6,X$1,0)*LOOKUP($Q4,$M$8:$M$16,$O$8:$O$16)+X3))</f>
        <v>5.85</v>
      </c>
      <c r="Y4" s="4">
        <v>1</v>
      </c>
      <c r="Z4" s="4">
        <v>0</v>
      </c>
      <c r="AB4" s="74">
        <f t="shared" ref="AB4:AB67" si="9">Q4</f>
        <v>2</v>
      </c>
      <c r="AC4" s="74">
        <f t="shared" ref="AC4:AC67" si="10">VLOOKUP(R4,$M$4:$N$6,2,0)</f>
        <v>1</v>
      </c>
      <c r="AD4" s="74">
        <f t="shared" ref="AD4:AD67" si="11">INT(S4)</f>
        <v>64</v>
      </c>
      <c r="AE4" s="74">
        <f t="shared" ref="AE4:AE67" si="12">INT(T4)</f>
        <v>12</v>
      </c>
      <c r="AF4" s="74">
        <f t="shared" ref="AF4:AF67" si="13">INT(U4)</f>
        <v>10</v>
      </c>
      <c r="AG4" s="74">
        <f t="shared" ref="AG4:AG67" si="14">INT(V4)</f>
        <v>2</v>
      </c>
      <c r="AH4" s="74">
        <f t="shared" ref="AH4:AH67" si="15">INT(W4)</f>
        <v>2</v>
      </c>
      <c r="AI4" s="74">
        <f t="shared" ref="AI4:AI67" si="16">INT(X4)</f>
        <v>5</v>
      </c>
      <c r="AJ4" s="74">
        <f t="shared" ref="AJ4:AJ67" si="17">INT(Y4)</f>
        <v>1</v>
      </c>
      <c r="AK4" s="74">
        <f t="shared" ref="AK4:AK67" si="18">INT(Z4)</f>
        <v>0</v>
      </c>
      <c r="AL4" s="4">
        <f t="shared" ref="AL4:AL67" si="19">$AD$1*AD4+$AE$1*AE4+MAX($AF$1:$AH$1)*MAX(AF4:AH4)+$AI$1*AI4</f>
        <v>290</v>
      </c>
    </row>
    <row r="5" spans="2:38">
      <c r="B5" s="4">
        <f t="shared" ref="B5:B6" si="20">D5+MAX(F5:H5)+I5</f>
        <v>3</v>
      </c>
      <c r="C5" s="60" t="s">
        <v>94</v>
      </c>
      <c r="D5" s="60">
        <v>0.9</v>
      </c>
      <c r="E5" s="60">
        <v>1.1</v>
      </c>
      <c r="F5" s="61">
        <f>G5*0.22</f>
        <v>0.264</v>
      </c>
      <c r="G5" s="60">
        <v>1.2</v>
      </c>
      <c r="H5" s="61">
        <f>F5</f>
        <v>0.264</v>
      </c>
      <c r="I5" s="60">
        <v>0.9</v>
      </c>
      <c r="J5" s="60">
        <v>1</v>
      </c>
      <c r="K5" s="60">
        <v>0</v>
      </c>
      <c r="M5" s="4" t="s">
        <v>94</v>
      </c>
      <c r="N5" s="4">
        <v>2</v>
      </c>
      <c r="Q5" s="38">
        <v>3</v>
      </c>
      <c r="R5" s="38" t="s">
        <v>93</v>
      </c>
      <c r="S5" s="56">
        <f t="shared" si="3"/>
        <v>73.7</v>
      </c>
      <c r="T5" s="56">
        <f t="shared" si="4"/>
        <v>14.07</v>
      </c>
      <c r="U5" s="56">
        <f t="shared" si="5"/>
        <v>12.06</v>
      </c>
      <c r="V5" s="56">
        <f t="shared" si="6"/>
        <v>3.015</v>
      </c>
      <c r="W5" s="56">
        <f t="shared" si="7"/>
        <v>3.015</v>
      </c>
      <c r="X5" s="56">
        <f t="shared" si="8"/>
        <v>6.7</v>
      </c>
      <c r="Y5" s="4">
        <v>1</v>
      </c>
      <c r="Z5" s="4">
        <v>0</v>
      </c>
      <c r="AB5" s="74">
        <f t="shared" si="9"/>
        <v>3</v>
      </c>
      <c r="AC5" s="74">
        <f t="shared" si="10"/>
        <v>1</v>
      </c>
      <c r="AD5" s="74">
        <f t="shared" si="11"/>
        <v>73</v>
      </c>
      <c r="AE5" s="74">
        <f t="shared" si="12"/>
        <v>14</v>
      </c>
      <c r="AF5" s="74">
        <f t="shared" si="13"/>
        <v>12</v>
      </c>
      <c r="AG5" s="74">
        <f t="shared" si="14"/>
        <v>3</v>
      </c>
      <c r="AH5" s="74">
        <f t="shared" si="15"/>
        <v>3</v>
      </c>
      <c r="AI5" s="74">
        <f t="shared" si="16"/>
        <v>6</v>
      </c>
      <c r="AJ5" s="74">
        <f t="shared" si="17"/>
        <v>1</v>
      </c>
      <c r="AK5" s="74">
        <f t="shared" si="18"/>
        <v>0</v>
      </c>
      <c r="AL5" s="4">
        <f t="shared" si="19"/>
        <v>340</v>
      </c>
    </row>
    <row r="6" spans="2:38">
      <c r="B6" s="4">
        <f t="shared" si="20"/>
        <v>3</v>
      </c>
      <c r="C6" s="60" t="s">
        <v>95</v>
      </c>
      <c r="D6" s="60">
        <v>1</v>
      </c>
      <c r="E6" s="60">
        <v>0.9</v>
      </c>
      <c r="F6" s="61">
        <f>H6*0.22</f>
        <v>0.198</v>
      </c>
      <c r="G6" s="61">
        <f>F6</f>
        <v>0.198</v>
      </c>
      <c r="H6" s="60">
        <v>0.9</v>
      </c>
      <c r="I6" s="60">
        <v>1.1</v>
      </c>
      <c r="J6" s="60">
        <v>1</v>
      </c>
      <c r="K6" s="60">
        <v>0</v>
      </c>
      <c r="M6" s="4" t="s">
        <v>95</v>
      </c>
      <c r="N6" s="4">
        <v>3</v>
      </c>
      <c r="Q6" s="38">
        <v>4</v>
      </c>
      <c r="R6" s="38" t="s">
        <v>93</v>
      </c>
      <c r="S6" s="56">
        <f t="shared" si="3"/>
        <v>83.05</v>
      </c>
      <c r="T6" s="56">
        <f t="shared" si="4"/>
        <v>15.855</v>
      </c>
      <c r="U6" s="56">
        <f t="shared" si="5"/>
        <v>13.59</v>
      </c>
      <c r="V6" s="56">
        <f t="shared" si="6"/>
        <v>3.3975</v>
      </c>
      <c r="W6" s="56">
        <f t="shared" si="7"/>
        <v>3.3975</v>
      </c>
      <c r="X6" s="56">
        <f t="shared" si="8"/>
        <v>7.55</v>
      </c>
      <c r="Y6" s="4">
        <v>1</v>
      </c>
      <c r="Z6" s="4">
        <v>0</v>
      </c>
      <c r="AB6" s="74">
        <f t="shared" si="9"/>
        <v>4</v>
      </c>
      <c r="AC6" s="74">
        <f t="shared" si="10"/>
        <v>1</v>
      </c>
      <c r="AD6" s="74">
        <f t="shared" si="11"/>
        <v>83</v>
      </c>
      <c r="AE6" s="74">
        <f t="shared" si="12"/>
        <v>15</v>
      </c>
      <c r="AF6" s="74">
        <f t="shared" si="13"/>
        <v>13</v>
      </c>
      <c r="AG6" s="74">
        <f t="shared" si="14"/>
        <v>3</v>
      </c>
      <c r="AH6" s="74">
        <f t="shared" si="15"/>
        <v>3</v>
      </c>
      <c r="AI6" s="74">
        <f t="shared" si="16"/>
        <v>7</v>
      </c>
      <c r="AJ6" s="74">
        <f t="shared" si="17"/>
        <v>1</v>
      </c>
      <c r="AK6" s="74">
        <f t="shared" si="18"/>
        <v>0</v>
      </c>
      <c r="AL6" s="4">
        <f t="shared" si="19"/>
        <v>381</v>
      </c>
    </row>
    <row r="7" ht="15" spans="3:38">
      <c r="C7" s="4" t="s">
        <v>96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Q7" s="38">
        <v>5</v>
      </c>
      <c r="R7" s="38" t="s">
        <v>93</v>
      </c>
      <c r="S7" s="56">
        <f t="shared" si="3"/>
        <v>92.4</v>
      </c>
      <c r="T7" s="56">
        <f t="shared" si="4"/>
        <v>17.64</v>
      </c>
      <c r="U7" s="56">
        <f t="shared" si="5"/>
        <v>15.12</v>
      </c>
      <c r="V7" s="56">
        <f t="shared" si="6"/>
        <v>3.78</v>
      </c>
      <c r="W7" s="56">
        <f t="shared" si="7"/>
        <v>3.78</v>
      </c>
      <c r="X7" s="56">
        <f t="shared" si="8"/>
        <v>8.4</v>
      </c>
      <c r="Y7" s="4">
        <v>1</v>
      </c>
      <c r="Z7" s="4">
        <v>0</v>
      </c>
      <c r="AB7" s="74">
        <f t="shared" si="9"/>
        <v>5</v>
      </c>
      <c r="AC7" s="74">
        <f t="shared" si="10"/>
        <v>1</v>
      </c>
      <c r="AD7" s="74">
        <f t="shared" si="11"/>
        <v>92</v>
      </c>
      <c r="AE7" s="74">
        <f t="shared" si="12"/>
        <v>17</v>
      </c>
      <c r="AF7" s="74">
        <f t="shared" si="13"/>
        <v>15</v>
      </c>
      <c r="AG7" s="74">
        <f t="shared" si="14"/>
        <v>3</v>
      </c>
      <c r="AH7" s="74">
        <f t="shared" si="15"/>
        <v>3</v>
      </c>
      <c r="AI7" s="74">
        <f t="shared" si="16"/>
        <v>8</v>
      </c>
      <c r="AJ7" s="74">
        <f t="shared" si="17"/>
        <v>1</v>
      </c>
      <c r="AK7" s="74">
        <f t="shared" si="18"/>
        <v>0</v>
      </c>
      <c r="AL7" s="4">
        <f t="shared" si="19"/>
        <v>431</v>
      </c>
    </row>
    <row r="8" spans="1:38">
      <c r="A8" s="4" t="s">
        <v>97</v>
      </c>
      <c r="B8" s="62">
        <v>0.05</v>
      </c>
      <c r="M8" s="65">
        <v>1</v>
      </c>
      <c r="N8" s="66">
        <v>1</v>
      </c>
      <c r="O8" s="67">
        <f>B8</f>
        <v>0.05</v>
      </c>
      <c r="Q8" s="38">
        <v>6</v>
      </c>
      <c r="R8" s="38" t="s">
        <v>93</v>
      </c>
      <c r="S8" s="56">
        <f t="shared" si="3"/>
        <v>101.75</v>
      </c>
      <c r="T8" s="56">
        <f t="shared" si="4"/>
        <v>19.425</v>
      </c>
      <c r="U8" s="56">
        <f t="shared" si="5"/>
        <v>16.65</v>
      </c>
      <c r="V8" s="56">
        <f t="shared" si="6"/>
        <v>4.1625</v>
      </c>
      <c r="W8" s="56">
        <f t="shared" si="7"/>
        <v>4.1625</v>
      </c>
      <c r="X8" s="56">
        <f t="shared" si="8"/>
        <v>9.25</v>
      </c>
      <c r="Y8" s="4">
        <v>1</v>
      </c>
      <c r="Z8" s="4">
        <v>0</v>
      </c>
      <c r="AB8" s="74">
        <f t="shared" si="9"/>
        <v>6</v>
      </c>
      <c r="AC8" s="74">
        <f t="shared" si="10"/>
        <v>1</v>
      </c>
      <c r="AD8" s="74">
        <f t="shared" si="11"/>
        <v>101</v>
      </c>
      <c r="AE8" s="74">
        <f t="shared" si="12"/>
        <v>19</v>
      </c>
      <c r="AF8" s="74">
        <f t="shared" si="13"/>
        <v>16</v>
      </c>
      <c r="AG8" s="74">
        <f t="shared" si="14"/>
        <v>4</v>
      </c>
      <c r="AH8" s="74">
        <f t="shared" si="15"/>
        <v>4</v>
      </c>
      <c r="AI8" s="74">
        <f t="shared" si="16"/>
        <v>9</v>
      </c>
      <c r="AJ8" s="74">
        <f t="shared" si="17"/>
        <v>1</v>
      </c>
      <c r="AK8" s="74">
        <f t="shared" si="18"/>
        <v>0</v>
      </c>
      <c r="AL8" s="4">
        <f t="shared" si="19"/>
        <v>471</v>
      </c>
    </row>
    <row r="9" spans="1:38">
      <c r="A9" s="4" t="s">
        <v>98</v>
      </c>
      <c r="B9" s="63">
        <v>0.085</v>
      </c>
      <c r="C9" s="63">
        <f>B9-B8</f>
        <v>0.035</v>
      </c>
      <c r="D9" s="4">
        <f>D$3*$B9</f>
        <v>85</v>
      </c>
      <c r="E9" s="4">
        <f t="shared" ref="E9:I16" si="21">E$3*$B9</f>
        <v>25.5</v>
      </c>
      <c r="F9" s="4">
        <f t="shared" si="21"/>
        <v>17</v>
      </c>
      <c r="G9" s="4">
        <f t="shared" si="21"/>
        <v>17</v>
      </c>
      <c r="H9" s="4">
        <f t="shared" si="21"/>
        <v>17</v>
      </c>
      <c r="I9" s="4">
        <f t="shared" si="21"/>
        <v>8.5</v>
      </c>
      <c r="M9" s="68">
        <v>2</v>
      </c>
      <c r="N9" s="69">
        <v>10</v>
      </c>
      <c r="O9" s="70">
        <f>B9/10</f>
        <v>0.0085</v>
      </c>
      <c r="Q9" s="38">
        <v>7</v>
      </c>
      <c r="R9" s="38" t="s">
        <v>93</v>
      </c>
      <c r="S9" s="56">
        <f t="shared" si="3"/>
        <v>111.1</v>
      </c>
      <c r="T9" s="56">
        <f t="shared" si="4"/>
        <v>21.21</v>
      </c>
      <c r="U9" s="56">
        <f t="shared" si="5"/>
        <v>18.18</v>
      </c>
      <c r="V9" s="56">
        <f t="shared" si="6"/>
        <v>4.545</v>
      </c>
      <c r="W9" s="56">
        <f t="shared" si="7"/>
        <v>4.545</v>
      </c>
      <c r="X9" s="56">
        <f t="shared" si="8"/>
        <v>10.1</v>
      </c>
      <c r="Y9" s="4">
        <v>1</v>
      </c>
      <c r="Z9" s="4">
        <v>0</v>
      </c>
      <c r="AB9" s="74">
        <f t="shared" si="9"/>
        <v>7</v>
      </c>
      <c r="AC9" s="74">
        <f t="shared" si="10"/>
        <v>1</v>
      </c>
      <c r="AD9" s="74">
        <f t="shared" si="11"/>
        <v>111</v>
      </c>
      <c r="AE9" s="74">
        <f t="shared" si="12"/>
        <v>21</v>
      </c>
      <c r="AF9" s="74">
        <f t="shared" si="13"/>
        <v>18</v>
      </c>
      <c r="AG9" s="74">
        <f t="shared" si="14"/>
        <v>4</v>
      </c>
      <c r="AH9" s="74">
        <f t="shared" si="15"/>
        <v>4</v>
      </c>
      <c r="AI9" s="74">
        <f t="shared" si="16"/>
        <v>10</v>
      </c>
      <c r="AJ9" s="74">
        <f t="shared" si="17"/>
        <v>1</v>
      </c>
      <c r="AK9" s="74">
        <f t="shared" si="18"/>
        <v>0</v>
      </c>
      <c r="AL9" s="4">
        <f t="shared" si="19"/>
        <v>523</v>
      </c>
    </row>
    <row r="10" spans="1:38">
      <c r="A10" s="4" t="s">
        <v>99</v>
      </c>
      <c r="B10" s="63">
        <v>0.15</v>
      </c>
      <c r="C10" s="63">
        <f>B10-B9</f>
        <v>0.065</v>
      </c>
      <c r="D10" s="4">
        <f t="shared" ref="D10:D16" si="22">D$3*$B10</f>
        <v>150</v>
      </c>
      <c r="E10" s="4">
        <f t="shared" si="21"/>
        <v>45</v>
      </c>
      <c r="F10" s="4">
        <f t="shared" si="21"/>
        <v>30</v>
      </c>
      <c r="G10" s="4">
        <f t="shared" si="21"/>
        <v>30</v>
      </c>
      <c r="H10" s="4">
        <f t="shared" si="21"/>
        <v>30</v>
      </c>
      <c r="I10" s="4">
        <f t="shared" si="21"/>
        <v>15</v>
      </c>
      <c r="M10" s="68">
        <f>N9+1</f>
        <v>11</v>
      </c>
      <c r="N10" s="69">
        <v>20</v>
      </c>
      <c r="O10" s="70">
        <f>(B10-B9)/10</f>
        <v>0.0065</v>
      </c>
      <c r="Q10" s="38">
        <v>8</v>
      </c>
      <c r="R10" s="38" t="s">
        <v>93</v>
      </c>
      <c r="S10" s="56">
        <f t="shared" si="3"/>
        <v>120.45</v>
      </c>
      <c r="T10" s="56">
        <f t="shared" si="4"/>
        <v>22.995</v>
      </c>
      <c r="U10" s="56">
        <f t="shared" si="5"/>
        <v>19.71</v>
      </c>
      <c r="V10" s="56">
        <f t="shared" si="6"/>
        <v>4.9275</v>
      </c>
      <c r="W10" s="56">
        <f t="shared" si="7"/>
        <v>4.9275</v>
      </c>
      <c r="X10" s="56">
        <f t="shared" si="8"/>
        <v>10.95</v>
      </c>
      <c r="Y10" s="4">
        <v>1</v>
      </c>
      <c r="Z10" s="4">
        <v>0</v>
      </c>
      <c r="AB10" s="74">
        <f t="shared" si="9"/>
        <v>8</v>
      </c>
      <c r="AC10" s="74">
        <f t="shared" si="10"/>
        <v>1</v>
      </c>
      <c r="AD10" s="74">
        <f t="shared" si="11"/>
        <v>120</v>
      </c>
      <c r="AE10" s="74">
        <f t="shared" si="12"/>
        <v>22</v>
      </c>
      <c r="AF10" s="74">
        <f t="shared" si="13"/>
        <v>19</v>
      </c>
      <c r="AG10" s="74">
        <f t="shared" si="14"/>
        <v>4</v>
      </c>
      <c r="AH10" s="74">
        <f t="shared" si="15"/>
        <v>4</v>
      </c>
      <c r="AI10" s="74">
        <f t="shared" si="16"/>
        <v>10</v>
      </c>
      <c r="AJ10" s="74">
        <f t="shared" si="17"/>
        <v>1</v>
      </c>
      <c r="AK10" s="74">
        <f t="shared" si="18"/>
        <v>0</v>
      </c>
      <c r="AL10" s="4">
        <f t="shared" si="19"/>
        <v>552</v>
      </c>
    </row>
    <row r="11" spans="1:38">
      <c r="A11" s="4" t="s">
        <v>100</v>
      </c>
      <c r="B11" s="63">
        <v>0.23</v>
      </c>
      <c r="C11" s="63">
        <f t="shared" ref="C11:C16" si="23">B11-B10</f>
        <v>0.08</v>
      </c>
      <c r="D11" s="4">
        <f t="shared" si="22"/>
        <v>230</v>
      </c>
      <c r="E11" s="4">
        <f t="shared" si="21"/>
        <v>69</v>
      </c>
      <c r="F11" s="4">
        <f t="shared" si="21"/>
        <v>46</v>
      </c>
      <c r="G11" s="4">
        <f t="shared" si="21"/>
        <v>46</v>
      </c>
      <c r="H11" s="4">
        <f t="shared" si="21"/>
        <v>46</v>
      </c>
      <c r="I11" s="4">
        <f t="shared" si="21"/>
        <v>23</v>
      </c>
      <c r="M11" s="68">
        <f t="shared" ref="M11:M16" si="24">N10+1</f>
        <v>21</v>
      </c>
      <c r="N11" s="69">
        <v>30</v>
      </c>
      <c r="O11" s="70">
        <f t="shared" ref="O11:O16" si="25">(B11-B10)/10</f>
        <v>0.008</v>
      </c>
      <c r="Q11" s="38">
        <v>9</v>
      </c>
      <c r="R11" s="38" t="s">
        <v>93</v>
      </c>
      <c r="S11" s="56">
        <f t="shared" si="3"/>
        <v>129.8</v>
      </c>
      <c r="T11" s="56">
        <f t="shared" si="4"/>
        <v>24.78</v>
      </c>
      <c r="U11" s="56">
        <f t="shared" si="5"/>
        <v>21.24</v>
      </c>
      <c r="V11" s="56">
        <f t="shared" si="6"/>
        <v>5.31</v>
      </c>
      <c r="W11" s="56">
        <f t="shared" si="7"/>
        <v>5.31</v>
      </c>
      <c r="X11" s="56">
        <f t="shared" si="8"/>
        <v>11.8</v>
      </c>
      <c r="Y11" s="4">
        <v>1</v>
      </c>
      <c r="Z11" s="4">
        <v>0</v>
      </c>
      <c r="AB11" s="74">
        <f t="shared" si="9"/>
        <v>9</v>
      </c>
      <c r="AC11" s="74">
        <f t="shared" si="10"/>
        <v>1</v>
      </c>
      <c r="AD11" s="74">
        <f t="shared" si="11"/>
        <v>129</v>
      </c>
      <c r="AE11" s="74">
        <f t="shared" si="12"/>
        <v>24</v>
      </c>
      <c r="AF11" s="74">
        <f t="shared" si="13"/>
        <v>21</v>
      </c>
      <c r="AG11" s="74">
        <f t="shared" si="14"/>
        <v>5</v>
      </c>
      <c r="AH11" s="74">
        <f t="shared" si="15"/>
        <v>5</v>
      </c>
      <c r="AI11" s="74">
        <f t="shared" si="16"/>
        <v>11</v>
      </c>
      <c r="AJ11" s="74">
        <f t="shared" si="17"/>
        <v>1</v>
      </c>
      <c r="AK11" s="74">
        <f t="shared" si="18"/>
        <v>0</v>
      </c>
      <c r="AL11" s="4">
        <f t="shared" si="19"/>
        <v>602</v>
      </c>
    </row>
    <row r="12" spans="1:38">
      <c r="A12" s="4" t="s">
        <v>101</v>
      </c>
      <c r="B12" s="63">
        <v>0.33</v>
      </c>
      <c r="C12" s="63">
        <f t="shared" si="23"/>
        <v>0.1</v>
      </c>
      <c r="D12" s="4">
        <f t="shared" si="22"/>
        <v>330</v>
      </c>
      <c r="E12" s="4">
        <f t="shared" si="21"/>
        <v>99</v>
      </c>
      <c r="F12" s="4">
        <f t="shared" si="21"/>
        <v>66</v>
      </c>
      <c r="G12" s="4">
        <f t="shared" si="21"/>
        <v>66</v>
      </c>
      <c r="H12" s="4">
        <f t="shared" si="21"/>
        <v>66</v>
      </c>
      <c r="I12" s="4">
        <f t="shared" si="21"/>
        <v>33</v>
      </c>
      <c r="M12" s="68">
        <f t="shared" si="24"/>
        <v>31</v>
      </c>
      <c r="N12" s="69">
        <v>40</v>
      </c>
      <c r="O12" s="70">
        <f t="shared" si="25"/>
        <v>0.01</v>
      </c>
      <c r="Q12" s="38">
        <v>10</v>
      </c>
      <c r="R12" s="38" t="s">
        <v>93</v>
      </c>
      <c r="S12" s="56">
        <f t="shared" si="3"/>
        <v>139.15</v>
      </c>
      <c r="T12" s="56">
        <f t="shared" si="4"/>
        <v>26.565</v>
      </c>
      <c r="U12" s="56">
        <f t="shared" si="5"/>
        <v>22.77</v>
      </c>
      <c r="V12" s="56">
        <f t="shared" si="6"/>
        <v>5.6925</v>
      </c>
      <c r="W12" s="56">
        <f t="shared" si="7"/>
        <v>5.6925</v>
      </c>
      <c r="X12" s="56">
        <f t="shared" si="8"/>
        <v>12.65</v>
      </c>
      <c r="Y12" s="4">
        <v>1</v>
      </c>
      <c r="Z12" s="4">
        <v>0</v>
      </c>
      <c r="AB12" s="74">
        <f t="shared" si="9"/>
        <v>10</v>
      </c>
      <c r="AC12" s="74">
        <f t="shared" si="10"/>
        <v>1</v>
      </c>
      <c r="AD12" s="74">
        <f t="shared" si="11"/>
        <v>139</v>
      </c>
      <c r="AE12" s="74">
        <f t="shared" si="12"/>
        <v>26</v>
      </c>
      <c r="AF12" s="74">
        <f t="shared" si="13"/>
        <v>22</v>
      </c>
      <c r="AG12" s="74">
        <f t="shared" si="14"/>
        <v>5</v>
      </c>
      <c r="AH12" s="74">
        <f t="shared" si="15"/>
        <v>5</v>
      </c>
      <c r="AI12" s="74">
        <f t="shared" si="16"/>
        <v>12</v>
      </c>
      <c r="AJ12" s="74">
        <f t="shared" si="17"/>
        <v>1</v>
      </c>
      <c r="AK12" s="74">
        <f t="shared" si="18"/>
        <v>0</v>
      </c>
      <c r="AL12" s="4">
        <f t="shared" si="19"/>
        <v>644</v>
      </c>
    </row>
    <row r="13" spans="1:38">
      <c r="A13" s="4" t="s">
        <v>102</v>
      </c>
      <c r="B13" s="63">
        <v>0.45</v>
      </c>
      <c r="C13" s="63">
        <f t="shared" si="23"/>
        <v>0.12</v>
      </c>
      <c r="D13" s="4">
        <f t="shared" si="22"/>
        <v>450</v>
      </c>
      <c r="E13" s="4">
        <f t="shared" si="21"/>
        <v>135</v>
      </c>
      <c r="F13" s="4">
        <f t="shared" si="21"/>
        <v>90</v>
      </c>
      <c r="G13" s="4">
        <f t="shared" si="21"/>
        <v>90</v>
      </c>
      <c r="H13" s="4">
        <f t="shared" si="21"/>
        <v>90</v>
      </c>
      <c r="I13" s="4">
        <f t="shared" si="21"/>
        <v>45</v>
      </c>
      <c r="M13" s="68">
        <f t="shared" si="24"/>
        <v>41</v>
      </c>
      <c r="N13" s="69">
        <v>50</v>
      </c>
      <c r="O13" s="70">
        <f t="shared" si="25"/>
        <v>0.012</v>
      </c>
      <c r="Q13" s="38">
        <v>11</v>
      </c>
      <c r="R13" s="38" t="s">
        <v>93</v>
      </c>
      <c r="S13" s="56">
        <f t="shared" si="3"/>
        <v>146.3</v>
      </c>
      <c r="T13" s="56">
        <f t="shared" si="4"/>
        <v>27.93</v>
      </c>
      <c r="U13" s="56">
        <f t="shared" si="5"/>
        <v>23.94</v>
      </c>
      <c r="V13" s="56">
        <f t="shared" si="6"/>
        <v>5.985</v>
      </c>
      <c r="W13" s="56">
        <f t="shared" si="7"/>
        <v>5.985</v>
      </c>
      <c r="X13" s="56">
        <f t="shared" si="8"/>
        <v>13.3</v>
      </c>
      <c r="Y13" s="4">
        <v>1</v>
      </c>
      <c r="Z13" s="4">
        <v>0</v>
      </c>
      <c r="AB13" s="74">
        <f t="shared" si="9"/>
        <v>11</v>
      </c>
      <c r="AC13" s="74">
        <f t="shared" si="10"/>
        <v>1</v>
      </c>
      <c r="AD13" s="74">
        <f t="shared" si="11"/>
        <v>146</v>
      </c>
      <c r="AE13" s="74">
        <f t="shared" si="12"/>
        <v>27</v>
      </c>
      <c r="AF13" s="74">
        <f t="shared" si="13"/>
        <v>23</v>
      </c>
      <c r="AG13" s="74">
        <f t="shared" si="14"/>
        <v>5</v>
      </c>
      <c r="AH13" s="74">
        <f t="shared" si="15"/>
        <v>5</v>
      </c>
      <c r="AI13" s="74">
        <f t="shared" si="16"/>
        <v>13</v>
      </c>
      <c r="AJ13" s="74">
        <f t="shared" si="17"/>
        <v>1</v>
      </c>
      <c r="AK13" s="74">
        <f t="shared" si="18"/>
        <v>0</v>
      </c>
      <c r="AL13" s="4">
        <f t="shared" si="19"/>
        <v>679</v>
      </c>
    </row>
    <row r="14" spans="1:38">
      <c r="A14" s="4" t="s">
        <v>103</v>
      </c>
      <c r="B14" s="63">
        <v>0.6</v>
      </c>
      <c r="C14" s="63">
        <f t="shared" si="23"/>
        <v>0.15</v>
      </c>
      <c r="D14" s="4">
        <f t="shared" si="22"/>
        <v>600</v>
      </c>
      <c r="E14" s="4">
        <f t="shared" si="21"/>
        <v>180</v>
      </c>
      <c r="F14" s="4">
        <f t="shared" si="21"/>
        <v>120</v>
      </c>
      <c r="G14" s="4">
        <f t="shared" si="21"/>
        <v>120</v>
      </c>
      <c r="H14" s="4">
        <f t="shared" si="21"/>
        <v>120</v>
      </c>
      <c r="I14" s="4">
        <f t="shared" si="21"/>
        <v>60</v>
      </c>
      <c r="M14" s="68">
        <f t="shared" si="24"/>
        <v>51</v>
      </c>
      <c r="N14" s="69">
        <v>60</v>
      </c>
      <c r="O14" s="70">
        <f t="shared" si="25"/>
        <v>0.015</v>
      </c>
      <c r="Q14" s="38">
        <v>12</v>
      </c>
      <c r="R14" s="38" t="s">
        <v>93</v>
      </c>
      <c r="S14" s="56">
        <f t="shared" si="3"/>
        <v>153.45</v>
      </c>
      <c r="T14" s="56">
        <f t="shared" si="4"/>
        <v>29.295</v>
      </c>
      <c r="U14" s="56">
        <f t="shared" si="5"/>
        <v>25.11</v>
      </c>
      <c r="V14" s="56">
        <f t="shared" si="6"/>
        <v>6.2775</v>
      </c>
      <c r="W14" s="56">
        <f t="shared" si="7"/>
        <v>6.2775</v>
      </c>
      <c r="X14" s="56">
        <f t="shared" si="8"/>
        <v>13.95</v>
      </c>
      <c r="Y14" s="4">
        <v>1</v>
      </c>
      <c r="Z14" s="4">
        <v>0</v>
      </c>
      <c r="AB14" s="74">
        <f t="shared" si="9"/>
        <v>12</v>
      </c>
      <c r="AC14" s="74">
        <f t="shared" si="10"/>
        <v>1</v>
      </c>
      <c r="AD14" s="74">
        <f t="shared" si="11"/>
        <v>153</v>
      </c>
      <c r="AE14" s="74">
        <f t="shared" si="12"/>
        <v>29</v>
      </c>
      <c r="AF14" s="74">
        <f t="shared" si="13"/>
        <v>25</v>
      </c>
      <c r="AG14" s="74">
        <f t="shared" si="14"/>
        <v>6</v>
      </c>
      <c r="AH14" s="74">
        <f t="shared" si="15"/>
        <v>6</v>
      </c>
      <c r="AI14" s="74">
        <f t="shared" si="16"/>
        <v>13</v>
      </c>
      <c r="AJ14" s="74">
        <f t="shared" si="17"/>
        <v>1</v>
      </c>
      <c r="AK14" s="74">
        <f t="shared" si="18"/>
        <v>0</v>
      </c>
      <c r="AL14" s="4">
        <f t="shared" si="19"/>
        <v>715</v>
      </c>
    </row>
    <row r="15" spans="1:38">
      <c r="A15" s="4" t="s">
        <v>104</v>
      </c>
      <c r="B15" s="63">
        <v>0.78</v>
      </c>
      <c r="C15" s="63">
        <f t="shared" si="23"/>
        <v>0.18</v>
      </c>
      <c r="D15" s="4">
        <f t="shared" si="22"/>
        <v>780</v>
      </c>
      <c r="E15" s="4">
        <f t="shared" si="21"/>
        <v>234</v>
      </c>
      <c r="F15" s="4">
        <f t="shared" si="21"/>
        <v>156</v>
      </c>
      <c r="G15" s="4">
        <f t="shared" si="21"/>
        <v>156</v>
      </c>
      <c r="H15" s="4">
        <f t="shared" si="21"/>
        <v>156</v>
      </c>
      <c r="I15" s="4">
        <f t="shared" si="21"/>
        <v>78</v>
      </c>
      <c r="M15" s="68">
        <f t="shared" si="24"/>
        <v>61</v>
      </c>
      <c r="N15" s="69">
        <v>70</v>
      </c>
      <c r="O15" s="70">
        <f t="shared" si="25"/>
        <v>0.018</v>
      </c>
      <c r="Q15" s="38">
        <v>13</v>
      </c>
      <c r="R15" s="38" t="s">
        <v>93</v>
      </c>
      <c r="S15" s="56">
        <f t="shared" si="3"/>
        <v>160.6</v>
      </c>
      <c r="T15" s="56">
        <f t="shared" si="4"/>
        <v>30.66</v>
      </c>
      <c r="U15" s="56">
        <f t="shared" si="5"/>
        <v>26.28</v>
      </c>
      <c r="V15" s="56">
        <f t="shared" si="6"/>
        <v>6.57</v>
      </c>
      <c r="W15" s="56">
        <f t="shared" si="7"/>
        <v>6.57</v>
      </c>
      <c r="X15" s="56">
        <f t="shared" si="8"/>
        <v>14.6</v>
      </c>
      <c r="Y15" s="4">
        <v>1</v>
      </c>
      <c r="Z15" s="4">
        <v>0</v>
      </c>
      <c r="AB15" s="74">
        <f t="shared" si="9"/>
        <v>13</v>
      </c>
      <c r="AC15" s="74">
        <f t="shared" si="10"/>
        <v>1</v>
      </c>
      <c r="AD15" s="74">
        <f t="shared" si="11"/>
        <v>160</v>
      </c>
      <c r="AE15" s="74">
        <f t="shared" si="12"/>
        <v>30</v>
      </c>
      <c r="AF15" s="74">
        <f t="shared" si="13"/>
        <v>26</v>
      </c>
      <c r="AG15" s="74">
        <f t="shared" si="14"/>
        <v>6</v>
      </c>
      <c r="AH15" s="74">
        <f t="shared" si="15"/>
        <v>6</v>
      </c>
      <c r="AI15" s="74">
        <f t="shared" si="16"/>
        <v>14</v>
      </c>
      <c r="AJ15" s="74">
        <f t="shared" si="17"/>
        <v>1</v>
      </c>
      <c r="AK15" s="74">
        <f t="shared" si="18"/>
        <v>0</v>
      </c>
      <c r="AL15" s="4">
        <f t="shared" si="19"/>
        <v>750</v>
      </c>
    </row>
    <row r="16" ht="15" spans="1:38">
      <c r="A16" s="4" t="s">
        <v>105</v>
      </c>
      <c r="B16" s="63">
        <v>1</v>
      </c>
      <c r="C16" s="63">
        <f t="shared" si="23"/>
        <v>0.22</v>
      </c>
      <c r="D16" s="4">
        <f t="shared" si="22"/>
        <v>1000</v>
      </c>
      <c r="E16" s="4">
        <f t="shared" si="21"/>
        <v>300</v>
      </c>
      <c r="F16" s="4">
        <f t="shared" si="21"/>
        <v>200</v>
      </c>
      <c r="G16" s="4">
        <f t="shared" si="21"/>
        <v>200</v>
      </c>
      <c r="H16" s="4">
        <f t="shared" si="21"/>
        <v>200</v>
      </c>
      <c r="I16" s="4">
        <f t="shared" si="21"/>
        <v>100</v>
      </c>
      <c r="M16" s="71">
        <f t="shared" si="24"/>
        <v>71</v>
      </c>
      <c r="N16" s="72">
        <v>80</v>
      </c>
      <c r="O16" s="73">
        <f t="shared" si="25"/>
        <v>0.022</v>
      </c>
      <c r="Q16" s="38">
        <v>14</v>
      </c>
      <c r="R16" s="38" t="s">
        <v>93</v>
      </c>
      <c r="S16" s="56">
        <f t="shared" si="3"/>
        <v>167.75</v>
      </c>
      <c r="T16" s="56">
        <f t="shared" si="4"/>
        <v>32.025</v>
      </c>
      <c r="U16" s="56">
        <f t="shared" si="5"/>
        <v>27.45</v>
      </c>
      <c r="V16" s="56">
        <f t="shared" si="6"/>
        <v>6.8625</v>
      </c>
      <c r="W16" s="56">
        <f t="shared" si="7"/>
        <v>6.8625</v>
      </c>
      <c r="X16" s="56">
        <f t="shared" si="8"/>
        <v>15.25</v>
      </c>
      <c r="Y16" s="4">
        <v>1</v>
      </c>
      <c r="Z16" s="4">
        <v>0</v>
      </c>
      <c r="AB16" s="74">
        <f t="shared" si="9"/>
        <v>14</v>
      </c>
      <c r="AC16" s="74">
        <f t="shared" si="10"/>
        <v>1</v>
      </c>
      <c r="AD16" s="74">
        <f t="shared" si="11"/>
        <v>167</v>
      </c>
      <c r="AE16" s="74">
        <f t="shared" si="12"/>
        <v>32</v>
      </c>
      <c r="AF16" s="74">
        <f t="shared" si="13"/>
        <v>27</v>
      </c>
      <c r="AG16" s="74">
        <f t="shared" si="14"/>
        <v>6</v>
      </c>
      <c r="AH16" s="74">
        <f t="shared" si="15"/>
        <v>6</v>
      </c>
      <c r="AI16" s="74">
        <f t="shared" si="16"/>
        <v>15</v>
      </c>
      <c r="AJ16" s="74">
        <f t="shared" si="17"/>
        <v>1</v>
      </c>
      <c r="AK16" s="74">
        <f t="shared" si="18"/>
        <v>0</v>
      </c>
      <c r="AL16" s="4">
        <f t="shared" si="19"/>
        <v>786</v>
      </c>
    </row>
    <row r="17" spans="17:38">
      <c r="Q17" s="38">
        <v>15</v>
      </c>
      <c r="R17" s="38" t="s">
        <v>93</v>
      </c>
      <c r="S17" s="56">
        <f t="shared" si="3"/>
        <v>174.9</v>
      </c>
      <c r="T17" s="56">
        <f t="shared" si="4"/>
        <v>33.39</v>
      </c>
      <c r="U17" s="56">
        <f t="shared" si="5"/>
        <v>28.62</v>
      </c>
      <c r="V17" s="56">
        <f t="shared" si="6"/>
        <v>7.155</v>
      </c>
      <c r="W17" s="56">
        <f t="shared" si="7"/>
        <v>7.155</v>
      </c>
      <c r="X17" s="56">
        <f t="shared" si="8"/>
        <v>15.9</v>
      </c>
      <c r="Y17" s="4">
        <v>1</v>
      </c>
      <c r="Z17" s="4">
        <v>0</v>
      </c>
      <c r="AB17" s="74">
        <f t="shared" si="9"/>
        <v>15</v>
      </c>
      <c r="AC17" s="74">
        <f t="shared" si="10"/>
        <v>1</v>
      </c>
      <c r="AD17" s="74">
        <f t="shared" si="11"/>
        <v>174</v>
      </c>
      <c r="AE17" s="74">
        <f t="shared" si="12"/>
        <v>33</v>
      </c>
      <c r="AF17" s="74">
        <f t="shared" si="13"/>
        <v>28</v>
      </c>
      <c r="AG17" s="74">
        <f t="shared" si="14"/>
        <v>7</v>
      </c>
      <c r="AH17" s="74">
        <f t="shared" si="15"/>
        <v>7</v>
      </c>
      <c r="AI17" s="74">
        <f t="shared" si="16"/>
        <v>15</v>
      </c>
      <c r="AJ17" s="74">
        <f t="shared" si="17"/>
        <v>1</v>
      </c>
      <c r="AK17" s="74">
        <f t="shared" si="18"/>
        <v>0</v>
      </c>
      <c r="AL17" s="4">
        <f t="shared" si="19"/>
        <v>811</v>
      </c>
    </row>
    <row r="18" spans="17:38">
      <c r="Q18" s="38">
        <v>16</v>
      </c>
      <c r="R18" s="38" t="s">
        <v>93</v>
      </c>
      <c r="S18" s="56">
        <f t="shared" si="3"/>
        <v>182.05</v>
      </c>
      <c r="T18" s="56">
        <f t="shared" si="4"/>
        <v>34.755</v>
      </c>
      <c r="U18" s="56">
        <f t="shared" si="5"/>
        <v>29.79</v>
      </c>
      <c r="V18" s="56">
        <f t="shared" si="6"/>
        <v>7.4475</v>
      </c>
      <c r="W18" s="56">
        <f t="shared" si="7"/>
        <v>7.4475</v>
      </c>
      <c r="X18" s="56">
        <f t="shared" si="8"/>
        <v>16.55</v>
      </c>
      <c r="Y18" s="4">
        <v>1</v>
      </c>
      <c r="Z18" s="4">
        <v>0</v>
      </c>
      <c r="AB18" s="74">
        <f t="shared" si="9"/>
        <v>16</v>
      </c>
      <c r="AC18" s="74">
        <f t="shared" si="10"/>
        <v>1</v>
      </c>
      <c r="AD18" s="74">
        <f t="shared" si="11"/>
        <v>182</v>
      </c>
      <c r="AE18" s="74">
        <f t="shared" si="12"/>
        <v>34</v>
      </c>
      <c r="AF18" s="74">
        <f t="shared" si="13"/>
        <v>29</v>
      </c>
      <c r="AG18" s="74">
        <f t="shared" si="14"/>
        <v>7</v>
      </c>
      <c r="AH18" s="74">
        <f t="shared" si="15"/>
        <v>7</v>
      </c>
      <c r="AI18" s="74">
        <f t="shared" si="16"/>
        <v>16</v>
      </c>
      <c r="AJ18" s="74">
        <f t="shared" si="17"/>
        <v>1</v>
      </c>
      <c r="AK18" s="74">
        <f t="shared" si="18"/>
        <v>0</v>
      </c>
      <c r="AL18" s="4">
        <f t="shared" si="19"/>
        <v>848</v>
      </c>
    </row>
    <row r="19" spans="17:38">
      <c r="Q19" s="38">
        <v>17</v>
      </c>
      <c r="R19" s="38" t="s">
        <v>93</v>
      </c>
      <c r="S19" s="56">
        <f t="shared" si="3"/>
        <v>189.2</v>
      </c>
      <c r="T19" s="56">
        <f t="shared" si="4"/>
        <v>36.12</v>
      </c>
      <c r="U19" s="56">
        <f t="shared" si="5"/>
        <v>30.96</v>
      </c>
      <c r="V19" s="56">
        <f t="shared" si="6"/>
        <v>7.74</v>
      </c>
      <c r="W19" s="56">
        <f t="shared" si="7"/>
        <v>7.74</v>
      </c>
      <c r="X19" s="56">
        <f t="shared" si="8"/>
        <v>17.2</v>
      </c>
      <c r="Y19" s="4">
        <v>1</v>
      </c>
      <c r="Z19" s="4">
        <v>0</v>
      </c>
      <c r="AB19" s="74">
        <f t="shared" si="9"/>
        <v>17</v>
      </c>
      <c r="AC19" s="74">
        <f t="shared" si="10"/>
        <v>1</v>
      </c>
      <c r="AD19" s="74">
        <f t="shared" si="11"/>
        <v>189</v>
      </c>
      <c r="AE19" s="74">
        <f t="shared" si="12"/>
        <v>36</v>
      </c>
      <c r="AF19" s="74">
        <f t="shared" si="13"/>
        <v>30</v>
      </c>
      <c r="AG19" s="74">
        <f t="shared" si="14"/>
        <v>7</v>
      </c>
      <c r="AH19" s="74">
        <f t="shared" si="15"/>
        <v>7</v>
      </c>
      <c r="AI19" s="74">
        <f t="shared" si="16"/>
        <v>17</v>
      </c>
      <c r="AJ19" s="74">
        <f t="shared" si="17"/>
        <v>1</v>
      </c>
      <c r="AK19" s="74">
        <f t="shared" si="18"/>
        <v>0</v>
      </c>
      <c r="AL19" s="4">
        <f t="shared" si="19"/>
        <v>884</v>
      </c>
    </row>
    <row r="20" spans="3:38">
      <c r="C20" s="41"/>
      <c r="D20" s="41" t="s">
        <v>10</v>
      </c>
      <c r="E20" s="41" t="s">
        <v>106</v>
      </c>
      <c r="F20" s="41" t="s">
        <v>17</v>
      </c>
      <c r="Q20" s="38">
        <v>18</v>
      </c>
      <c r="R20" s="38" t="s">
        <v>93</v>
      </c>
      <c r="S20" s="56">
        <f t="shared" si="3"/>
        <v>196.35</v>
      </c>
      <c r="T20" s="56">
        <f t="shared" si="4"/>
        <v>37.485</v>
      </c>
      <c r="U20" s="56">
        <f t="shared" si="5"/>
        <v>32.13</v>
      </c>
      <c r="V20" s="56">
        <f t="shared" si="6"/>
        <v>8.0325</v>
      </c>
      <c r="W20" s="56">
        <f t="shared" si="7"/>
        <v>8.0325</v>
      </c>
      <c r="X20" s="56">
        <f t="shared" si="8"/>
        <v>17.85</v>
      </c>
      <c r="Y20" s="4">
        <v>1</v>
      </c>
      <c r="Z20" s="4">
        <v>0</v>
      </c>
      <c r="AB20" s="74">
        <f t="shared" si="9"/>
        <v>18</v>
      </c>
      <c r="AC20" s="74">
        <f t="shared" si="10"/>
        <v>1</v>
      </c>
      <c r="AD20" s="74">
        <f t="shared" si="11"/>
        <v>196</v>
      </c>
      <c r="AE20" s="74">
        <f t="shared" si="12"/>
        <v>37</v>
      </c>
      <c r="AF20" s="74">
        <f t="shared" si="13"/>
        <v>32</v>
      </c>
      <c r="AG20" s="74">
        <f t="shared" si="14"/>
        <v>8</v>
      </c>
      <c r="AH20" s="74">
        <f t="shared" si="15"/>
        <v>8</v>
      </c>
      <c r="AI20" s="74">
        <f t="shared" si="16"/>
        <v>17</v>
      </c>
      <c r="AJ20" s="74">
        <f t="shared" si="17"/>
        <v>1</v>
      </c>
      <c r="AK20" s="74">
        <f t="shared" si="18"/>
        <v>0</v>
      </c>
      <c r="AL20" s="4">
        <f t="shared" si="19"/>
        <v>919</v>
      </c>
    </row>
    <row r="21" spans="3:38">
      <c r="C21" s="41" t="s">
        <v>93</v>
      </c>
      <c r="D21" s="41">
        <f>$D$3*D4</f>
        <v>1100</v>
      </c>
      <c r="E21" s="41">
        <f>$F$3*MAX(F4:H4)</f>
        <v>180</v>
      </c>
      <c r="F21" s="41">
        <f>$I$3*I4</f>
        <v>100</v>
      </c>
      <c r="Q21" s="38">
        <v>19</v>
      </c>
      <c r="R21" s="38" t="s">
        <v>93</v>
      </c>
      <c r="S21" s="56">
        <f t="shared" si="3"/>
        <v>203.5</v>
      </c>
      <c r="T21" s="56">
        <f t="shared" si="4"/>
        <v>38.85</v>
      </c>
      <c r="U21" s="56">
        <f t="shared" si="5"/>
        <v>33.3</v>
      </c>
      <c r="V21" s="56">
        <f t="shared" si="6"/>
        <v>8.325</v>
      </c>
      <c r="W21" s="56">
        <f t="shared" si="7"/>
        <v>8.325</v>
      </c>
      <c r="X21" s="56">
        <f t="shared" si="8"/>
        <v>18.5</v>
      </c>
      <c r="Y21" s="4">
        <v>1</v>
      </c>
      <c r="Z21" s="4">
        <v>0</v>
      </c>
      <c r="AB21" s="74">
        <f t="shared" si="9"/>
        <v>19</v>
      </c>
      <c r="AC21" s="74">
        <f t="shared" si="10"/>
        <v>1</v>
      </c>
      <c r="AD21" s="74">
        <f t="shared" si="11"/>
        <v>203</v>
      </c>
      <c r="AE21" s="74">
        <f t="shared" si="12"/>
        <v>38</v>
      </c>
      <c r="AF21" s="74">
        <f t="shared" si="13"/>
        <v>33</v>
      </c>
      <c r="AG21" s="74">
        <f t="shared" si="14"/>
        <v>8</v>
      </c>
      <c r="AH21" s="74">
        <f t="shared" si="15"/>
        <v>8</v>
      </c>
      <c r="AI21" s="74">
        <f t="shared" si="16"/>
        <v>18</v>
      </c>
      <c r="AJ21" s="74">
        <f t="shared" si="17"/>
        <v>1</v>
      </c>
      <c r="AK21" s="74">
        <f t="shared" si="18"/>
        <v>0</v>
      </c>
      <c r="AL21" s="4">
        <f t="shared" si="19"/>
        <v>954</v>
      </c>
    </row>
    <row r="22" spans="3:38">
      <c r="C22" s="41" t="s">
        <v>94</v>
      </c>
      <c r="D22" s="41">
        <f t="shared" ref="D22:D23" si="26">$D$3*D5</f>
        <v>900</v>
      </c>
      <c r="E22" s="41">
        <f t="shared" ref="E22:E23" si="27">$F$3*MAX(F5:H5)</f>
        <v>240</v>
      </c>
      <c r="F22" s="41">
        <f t="shared" ref="F22:F23" si="28">$I$3*I5</f>
        <v>90</v>
      </c>
      <c r="M22" s="4">
        <v>4</v>
      </c>
      <c r="N22" s="4">
        <v>2</v>
      </c>
      <c r="Q22" s="38">
        <v>20</v>
      </c>
      <c r="R22" s="38" t="s">
        <v>93</v>
      </c>
      <c r="S22" s="56">
        <f t="shared" si="3"/>
        <v>210.65</v>
      </c>
      <c r="T22" s="56">
        <f t="shared" si="4"/>
        <v>40.215</v>
      </c>
      <c r="U22" s="56">
        <f t="shared" si="5"/>
        <v>34.47</v>
      </c>
      <c r="V22" s="56">
        <f t="shared" si="6"/>
        <v>8.6175</v>
      </c>
      <c r="W22" s="56">
        <f t="shared" si="7"/>
        <v>8.6175</v>
      </c>
      <c r="X22" s="56">
        <f t="shared" si="8"/>
        <v>19.15</v>
      </c>
      <c r="Y22" s="4">
        <v>1</v>
      </c>
      <c r="Z22" s="4">
        <v>0</v>
      </c>
      <c r="AB22" s="74">
        <f t="shared" si="9"/>
        <v>20</v>
      </c>
      <c r="AC22" s="74">
        <f t="shared" si="10"/>
        <v>1</v>
      </c>
      <c r="AD22" s="74">
        <f t="shared" si="11"/>
        <v>210</v>
      </c>
      <c r="AE22" s="74">
        <f t="shared" si="12"/>
        <v>40</v>
      </c>
      <c r="AF22" s="74">
        <f t="shared" si="13"/>
        <v>34</v>
      </c>
      <c r="AG22" s="74">
        <f t="shared" si="14"/>
        <v>8</v>
      </c>
      <c r="AH22" s="74">
        <f t="shared" si="15"/>
        <v>8</v>
      </c>
      <c r="AI22" s="74">
        <f t="shared" si="16"/>
        <v>19</v>
      </c>
      <c r="AJ22" s="74">
        <f t="shared" si="17"/>
        <v>1</v>
      </c>
      <c r="AK22" s="74">
        <f t="shared" si="18"/>
        <v>0</v>
      </c>
      <c r="AL22" s="4">
        <f t="shared" si="19"/>
        <v>990</v>
      </c>
    </row>
    <row r="23" spans="3:38">
      <c r="C23" s="41" t="s">
        <v>95</v>
      </c>
      <c r="D23" s="41">
        <f t="shared" si="26"/>
        <v>1000</v>
      </c>
      <c r="E23" s="41">
        <f t="shared" si="27"/>
        <v>180</v>
      </c>
      <c r="F23" s="41">
        <f t="shared" si="28"/>
        <v>110</v>
      </c>
      <c r="M23" s="4">
        <v>2</v>
      </c>
      <c r="N23" s="4">
        <v>4</v>
      </c>
      <c r="Q23" s="38">
        <v>21</v>
      </c>
      <c r="R23" s="38" t="s">
        <v>93</v>
      </c>
      <c r="S23" s="56">
        <f t="shared" si="3"/>
        <v>219.45</v>
      </c>
      <c r="T23" s="56">
        <f t="shared" si="4"/>
        <v>41.895</v>
      </c>
      <c r="U23" s="56">
        <f t="shared" si="5"/>
        <v>35.91</v>
      </c>
      <c r="V23" s="56">
        <f t="shared" si="6"/>
        <v>8.9775</v>
      </c>
      <c r="W23" s="56">
        <f t="shared" si="7"/>
        <v>8.9775</v>
      </c>
      <c r="X23" s="56">
        <f t="shared" si="8"/>
        <v>19.95</v>
      </c>
      <c r="Y23" s="4">
        <v>1</v>
      </c>
      <c r="Z23" s="4">
        <v>0</v>
      </c>
      <c r="AB23" s="74">
        <f t="shared" si="9"/>
        <v>21</v>
      </c>
      <c r="AC23" s="74">
        <f t="shared" si="10"/>
        <v>1</v>
      </c>
      <c r="AD23" s="74">
        <f t="shared" si="11"/>
        <v>219</v>
      </c>
      <c r="AE23" s="74">
        <f t="shared" si="12"/>
        <v>41</v>
      </c>
      <c r="AF23" s="74">
        <f t="shared" si="13"/>
        <v>35</v>
      </c>
      <c r="AG23" s="74">
        <f t="shared" si="14"/>
        <v>8</v>
      </c>
      <c r="AH23" s="74">
        <f t="shared" si="15"/>
        <v>8</v>
      </c>
      <c r="AI23" s="74">
        <f t="shared" si="16"/>
        <v>19</v>
      </c>
      <c r="AJ23" s="74">
        <f t="shared" si="17"/>
        <v>1</v>
      </c>
      <c r="AK23" s="74">
        <f t="shared" si="18"/>
        <v>0</v>
      </c>
      <c r="AL23" s="4">
        <f t="shared" si="19"/>
        <v>1019</v>
      </c>
    </row>
    <row r="24" spans="13:38">
      <c r="M24" s="4">
        <v>1</v>
      </c>
      <c r="N24" s="4">
        <v>8</v>
      </c>
      <c r="Q24" s="38">
        <v>22</v>
      </c>
      <c r="R24" s="38" t="s">
        <v>93</v>
      </c>
      <c r="S24" s="56">
        <f t="shared" si="3"/>
        <v>228.25</v>
      </c>
      <c r="T24" s="56">
        <f t="shared" si="4"/>
        <v>43.575</v>
      </c>
      <c r="U24" s="56">
        <f t="shared" si="5"/>
        <v>37.35</v>
      </c>
      <c r="V24" s="56">
        <f t="shared" si="6"/>
        <v>9.3375</v>
      </c>
      <c r="W24" s="56">
        <f t="shared" si="7"/>
        <v>9.3375</v>
      </c>
      <c r="X24" s="56">
        <f t="shared" si="8"/>
        <v>20.75</v>
      </c>
      <c r="Y24" s="4">
        <v>1</v>
      </c>
      <c r="Z24" s="4">
        <v>0</v>
      </c>
      <c r="AB24" s="74">
        <f t="shared" si="9"/>
        <v>22</v>
      </c>
      <c r="AC24" s="74">
        <f t="shared" si="10"/>
        <v>1</v>
      </c>
      <c r="AD24" s="74">
        <f t="shared" si="11"/>
        <v>228</v>
      </c>
      <c r="AE24" s="74">
        <f t="shared" si="12"/>
        <v>43</v>
      </c>
      <c r="AF24" s="74">
        <f t="shared" si="13"/>
        <v>37</v>
      </c>
      <c r="AG24" s="74">
        <f t="shared" si="14"/>
        <v>9</v>
      </c>
      <c r="AH24" s="74">
        <f t="shared" si="15"/>
        <v>9</v>
      </c>
      <c r="AI24" s="74">
        <f t="shared" si="16"/>
        <v>20</v>
      </c>
      <c r="AJ24" s="74">
        <f t="shared" si="17"/>
        <v>1</v>
      </c>
      <c r="AK24" s="74">
        <f t="shared" si="18"/>
        <v>0</v>
      </c>
      <c r="AL24" s="4">
        <f t="shared" si="19"/>
        <v>1069</v>
      </c>
    </row>
    <row r="25" spans="2:38">
      <c r="B25" s="4" t="s">
        <v>107</v>
      </c>
      <c r="C25" s="41"/>
      <c r="D25" s="41" t="s">
        <v>93</v>
      </c>
      <c r="E25" s="41" t="s">
        <v>94</v>
      </c>
      <c r="F25" s="41" t="s">
        <v>95</v>
      </c>
      <c r="Q25" s="38">
        <v>23</v>
      </c>
      <c r="R25" s="38" t="s">
        <v>93</v>
      </c>
      <c r="S25" s="56">
        <f t="shared" si="3"/>
        <v>237.05</v>
      </c>
      <c r="T25" s="56">
        <f t="shared" si="4"/>
        <v>45.255</v>
      </c>
      <c r="U25" s="56">
        <f t="shared" si="5"/>
        <v>38.79</v>
      </c>
      <c r="V25" s="56">
        <f t="shared" si="6"/>
        <v>9.6975</v>
      </c>
      <c r="W25" s="56">
        <f t="shared" si="7"/>
        <v>9.6975</v>
      </c>
      <c r="X25" s="56">
        <f t="shared" si="8"/>
        <v>21.55</v>
      </c>
      <c r="Y25" s="4">
        <v>1</v>
      </c>
      <c r="Z25" s="4">
        <v>0</v>
      </c>
      <c r="AB25" s="74">
        <f t="shared" si="9"/>
        <v>23</v>
      </c>
      <c r="AC25" s="74">
        <f t="shared" si="10"/>
        <v>1</v>
      </c>
      <c r="AD25" s="74">
        <f t="shared" si="11"/>
        <v>237</v>
      </c>
      <c r="AE25" s="74">
        <f t="shared" si="12"/>
        <v>45</v>
      </c>
      <c r="AF25" s="74">
        <f t="shared" si="13"/>
        <v>38</v>
      </c>
      <c r="AG25" s="74">
        <f t="shared" si="14"/>
        <v>9</v>
      </c>
      <c r="AH25" s="74">
        <f t="shared" si="15"/>
        <v>9</v>
      </c>
      <c r="AI25" s="74">
        <f t="shared" si="16"/>
        <v>21</v>
      </c>
      <c r="AJ25" s="74">
        <f t="shared" si="17"/>
        <v>1</v>
      </c>
      <c r="AK25" s="74">
        <f t="shared" si="18"/>
        <v>0</v>
      </c>
      <c r="AL25" s="4">
        <f t="shared" si="19"/>
        <v>1109</v>
      </c>
    </row>
    <row r="26" spans="3:38">
      <c r="C26" s="41" t="s">
        <v>93</v>
      </c>
      <c r="D26" s="41">
        <f>(VLOOKUP($C26,$C$20:$F$23,2,0)*(VLOOKUP(D$25,$C$20:$F$23,3,0)-VLOOKUP($C26,$C$20:$F$23,4,0)))/(VLOOKUP(D$25,$C$20:$F$23,2,0)*(VLOOKUP($C26,$C$20:$F$23,3,0)-VLOOKUP(D$25,$C$20:$F$23,4,0)))</f>
        <v>1</v>
      </c>
      <c r="E26" s="41">
        <f t="shared" ref="E26:F28" si="29">(VLOOKUP($C26,$C$20:$F$23,2,0)*(VLOOKUP(E$25,$C$20:$F$23,3,0)-VLOOKUP($C26,$C$20:$F$23,4,0)))/(VLOOKUP(E$25,$C$20:$F$23,2,0)*(VLOOKUP($C26,$C$20:$F$23,3,0)-VLOOKUP(E$25,$C$20:$F$23,4,0)))</f>
        <v>1.90123456790123</v>
      </c>
      <c r="F26" s="41">
        <f t="shared" si="29"/>
        <v>1.25714285714286</v>
      </c>
      <c r="Q26" s="38">
        <v>24</v>
      </c>
      <c r="R26" s="38" t="s">
        <v>93</v>
      </c>
      <c r="S26" s="56">
        <f t="shared" si="3"/>
        <v>245.85</v>
      </c>
      <c r="T26" s="56">
        <f t="shared" si="4"/>
        <v>46.935</v>
      </c>
      <c r="U26" s="56">
        <f t="shared" si="5"/>
        <v>40.23</v>
      </c>
      <c r="V26" s="56">
        <f t="shared" si="6"/>
        <v>10.0575</v>
      </c>
      <c r="W26" s="56">
        <f t="shared" si="7"/>
        <v>10.0575</v>
      </c>
      <c r="X26" s="56">
        <f t="shared" si="8"/>
        <v>22.35</v>
      </c>
      <c r="Y26" s="4">
        <v>1</v>
      </c>
      <c r="Z26" s="4">
        <v>0</v>
      </c>
      <c r="AB26" s="74">
        <f t="shared" si="9"/>
        <v>24</v>
      </c>
      <c r="AC26" s="74">
        <f t="shared" si="10"/>
        <v>1</v>
      </c>
      <c r="AD26" s="74">
        <f t="shared" si="11"/>
        <v>245</v>
      </c>
      <c r="AE26" s="74">
        <f t="shared" si="12"/>
        <v>46</v>
      </c>
      <c r="AF26" s="74">
        <f t="shared" si="13"/>
        <v>40</v>
      </c>
      <c r="AG26" s="74">
        <f t="shared" si="14"/>
        <v>10</v>
      </c>
      <c r="AH26" s="74">
        <f t="shared" si="15"/>
        <v>10</v>
      </c>
      <c r="AI26" s="74">
        <f t="shared" si="16"/>
        <v>22</v>
      </c>
      <c r="AJ26" s="74">
        <f t="shared" si="17"/>
        <v>1</v>
      </c>
      <c r="AK26" s="74">
        <f t="shared" si="18"/>
        <v>0</v>
      </c>
      <c r="AL26" s="4">
        <f t="shared" si="19"/>
        <v>1156</v>
      </c>
    </row>
    <row r="27" spans="3:38">
      <c r="C27" s="41" t="s">
        <v>94</v>
      </c>
      <c r="D27" s="41">
        <f t="shared" ref="D27:D28" si="30">(VLOOKUP($C27,$C$20:$F$23,2,0)*(VLOOKUP(D$25,$C$20:$F$23,3,0)-VLOOKUP($C27,$C$20:$F$23,4,0)))/(VLOOKUP(D$25,$C$20:$F$23,2,0)*(VLOOKUP($C27,$C$20:$F$23,3,0)-VLOOKUP(D$25,$C$20:$F$23,4,0)))</f>
        <v>0.525974025974026</v>
      </c>
      <c r="E27" s="41">
        <f t="shared" si="29"/>
        <v>1</v>
      </c>
      <c r="F27" s="41">
        <f t="shared" si="29"/>
        <v>0.623076923076923</v>
      </c>
      <c r="Q27" s="38">
        <v>25</v>
      </c>
      <c r="R27" s="38" t="s">
        <v>93</v>
      </c>
      <c r="S27" s="56">
        <f t="shared" si="3"/>
        <v>254.65</v>
      </c>
      <c r="T27" s="56">
        <f t="shared" si="4"/>
        <v>48.615</v>
      </c>
      <c r="U27" s="56">
        <f t="shared" si="5"/>
        <v>41.67</v>
      </c>
      <c r="V27" s="56">
        <f t="shared" si="6"/>
        <v>10.4175</v>
      </c>
      <c r="W27" s="56">
        <f t="shared" si="7"/>
        <v>10.4175</v>
      </c>
      <c r="X27" s="56">
        <f t="shared" si="8"/>
        <v>23.15</v>
      </c>
      <c r="Y27" s="4">
        <v>1</v>
      </c>
      <c r="Z27" s="4">
        <v>0</v>
      </c>
      <c r="AB27" s="74">
        <f t="shared" si="9"/>
        <v>25</v>
      </c>
      <c r="AC27" s="74">
        <f t="shared" si="10"/>
        <v>1</v>
      </c>
      <c r="AD27" s="74">
        <f t="shared" si="11"/>
        <v>254</v>
      </c>
      <c r="AE27" s="74">
        <f t="shared" si="12"/>
        <v>48</v>
      </c>
      <c r="AF27" s="74">
        <f t="shared" si="13"/>
        <v>41</v>
      </c>
      <c r="AG27" s="74">
        <f t="shared" si="14"/>
        <v>10</v>
      </c>
      <c r="AH27" s="74">
        <f t="shared" si="15"/>
        <v>10</v>
      </c>
      <c r="AI27" s="74">
        <f t="shared" si="16"/>
        <v>23</v>
      </c>
      <c r="AJ27" s="74">
        <f t="shared" si="17"/>
        <v>1</v>
      </c>
      <c r="AK27" s="74">
        <f t="shared" si="18"/>
        <v>0</v>
      </c>
      <c r="AL27" s="4">
        <f t="shared" si="19"/>
        <v>1196</v>
      </c>
    </row>
    <row r="28" spans="3:38">
      <c r="C28" s="41" t="s">
        <v>95</v>
      </c>
      <c r="D28" s="41">
        <f t="shared" si="30"/>
        <v>0.795454545454545</v>
      </c>
      <c r="E28" s="41">
        <f t="shared" si="29"/>
        <v>1.60493827160494</v>
      </c>
      <c r="F28" s="41">
        <f t="shared" si="29"/>
        <v>1</v>
      </c>
      <c r="Q28" s="38">
        <v>26</v>
      </c>
      <c r="R28" s="38" t="s">
        <v>93</v>
      </c>
      <c r="S28" s="56">
        <f t="shared" si="3"/>
        <v>263.45</v>
      </c>
      <c r="T28" s="56">
        <f t="shared" si="4"/>
        <v>50.295</v>
      </c>
      <c r="U28" s="56">
        <f t="shared" si="5"/>
        <v>43.11</v>
      </c>
      <c r="V28" s="56">
        <f t="shared" si="6"/>
        <v>10.7775</v>
      </c>
      <c r="W28" s="56">
        <f t="shared" si="7"/>
        <v>10.7775</v>
      </c>
      <c r="X28" s="56">
        <f t="shared" si="8"/>
        <v>23.95</v>
      </c>
      <c r="Y28" s="4">
        <v>1</v>
      </c>
      <c r="Z28" s="4">
        <v>0</v>
      </c>
      <c r="AB28" s="74">
        <f t="shared" si="9"/>
        <v>26</v>
      </c>
      <c r="AC28" s="74">
        <f t="shared" si="10"/>
        <v>1</v>
      </c>
      <c r="AD28" s="74">
        <f t="shared" si="11"/>
        <v>263</v>
      </c>
      <c r="AE28" s="74">
        <f t="shared" si="12"/>
        <v>50</v>
      </c>
      <c r="AF28" s="74">
        <f t="shared" si="13"/>
        <v>43</v>
      </c>
      <c r="AG28" s="74">
        <f t="shared" si="14"/>
        <v>10</v>
      </c>
      <c r="AH28" s="74">
        <f t="shared" si="15"/>
        <v>10</v>
      </c>
      <c r="AI28" s="74">
        <f t="shared" si="16"/>
        <v>23</v>
      </c>
      <c r="AJ28" s="74">
        <f t="shared" si="17"/>
        <v>1</v>
      </c>
      <c r="AK28" s="74">
        <f t="shared" si="18"/>
        <v>0</v>
      </c>
      <c r="AL28" s="4">
        <f t="shared" si="19"/>
        <v>1236</v>
      </c>
    </row>
    <row r="29" spans="17:38">
      <c r="Q29" s="38">
        <v>27</v>
      </c>
      <c r="R29" s="38" t="s">
        <v>93</v>
      </c>
      <c r="S29" s="56">
        <f t="shared" si="3"/>
        <v>272.25</v>
      </c>
      <c r="T29" s="56">
        <f t="shared" si="4"/>
        <v>51.975</v>
      </c>
      <c r="U29" s="56">
        <f t="shared" si="5"/>
        <v>44.55</v>
      </c>
      <c r="V29" s="56">
        <f t="shared" si="6"/>
        <v>11.1375</v>
      </c>
      <c r="W29" s="56">
        <f t="shared" si="7"/>
        <v>11.1375</v>
      </c>
      <c r="X29" s="56">
        <f t="shared" si="8"/>
        <v>24.75</v>
      </c>
      <c r="Y29" s="4">
        <v>1</v>
      </c>
      <c r="Z29" s="4">
        <v>0</v>
      </c>
      <c r="AB29" s="74">
        <f t="shared" si="9"/>
        <v>27</v>
      </c>
      <c r="AC29" s="74">
        <f t="shared" si="10"/>
        <v>1</v>
      </c>
      <c r="AD29" s="74">
        <f t="shared" si="11"/>
        <v>272</v>
      </c>
      <c r="AE29" s="74">
        <f t="shared" si="12"/>
        <v>51</v>
      </c>
      <c r="AF29" s="74">
        <f t="shared" si="13"/>
        <v>44</v>
      </c>
      <c r="AG29" s="74">
        <f t="shared" si="14"/>
        <v>11</v>
      </c>
      <c r="AH29" s="74">
        <f t="shared" si="15"/>
        <v>11</v>
      </c>
      <c r="AI29" s="74">
        <f t="shared" si="16"/>
        <v>24</v>
      </c>
      <c r="AJ29" s="74">
        <f t="shared" si="17"/>
        <v>1</v>
      </c>
      <c r="AK29" s="74">
        <f t="shared" si="18"/>
        <v>0</v>
      </c>
      <c r="AL29" s="4">
        <f t="shared" si="19"/>
        <v>1275</v>
      </c>
    </row>
    <row r="30" spans="3:38">
      <c r="C30" s="64"/>
      <c r="D30" s="64" t="s">
        <v>93</v>
      </c>
      <c r="E30" s="64" t="s">
        <v>94</v>
      </c>
      <c r="F30" s="64" t="s">
        <v>95</v>
      </c>
      <c r="H30" s="64" t="s">
        <v>93</v>
      </c>
      <c r="I30" s="64" t="s">
        <v>94</v>
      </c>
      <c r="J30" s="64" t="s">
        <v>95</v>
      </c>
      <c r="Q30" s="38">
        <v>28</v>
      </c>
      <c r="R30" s="38" t="s">
        <v>93</v>
      </c>
      <c r="S30" s="56">
        <f t="shared" si="3"/>
        <v>281.05</v>
      </c>
      <c r="T30" s="56">
        <f t="shared" si="4"/>
        <v>53.655</v>
      </c>
      <c r="U30" s="56">
        <f t="shared" si="5"/>
        <v>45.99</v>
      </c>
      <c r="V30" s="56">
        <f t="shared" si="6"/>
        <v>11.4975</v>
      </c>
      <c r="W30" s="56">
        <f t="shared" si="7"/>
        <v>11.4975</v>
      </c>
      <c r="X30" s="56">
        <f t="shared" si="8"/>
        <v>25.55</v>
      </c>
      <c r="Y30" s="4">
        <v>1</v>
      </c>
      <c r="Z30" s="4">
        <v>0</v>
      </c>
      <c r="AB30" s="74">
        <f t="shared" si="9"/>
        <v>28</v>
      </c>
      <c r="AC30" s="74">
        <f t="shared" si="10"/>
        <v>1</v>
      </c>
      <c r="AD30" s="74">
        <f t="shared" si="11"/>
        <v>281</v>
      </c>
      <c r="AE30" s="74">
        <f t="shared" si="12"/>
        <v>53</v>
      </c>
      <c r="AF30" s="74">
        <f t="shared" si="13"/>
        <v>45</v>
      </c>
      <c r="AG30" s="74">
        <f t="shared" si="14"/>
        <v>11</v>
      </c>
      <c r="AH30" s="74">
        <f t="shared" si="15"/>
        <v>11</v>
      </c>
      <c r="AI30" s="74">
        <f t="shared" si="16"/>
        <v>25</v>
      </c>
      <c r="AJ30" s="74">
        <f t="shared" si="17"/>
        <v>1</v>
      </c>
      <c r="AK30" s="74">
        <f t="shared" si="18"/>
        <v>0</v>
      </c>
      <c r="AL30" s="4">
        <f t="shared" si="19"/>
        <v>1315</v>
      </c>
    </row>
    <row r="31" spans="3:38">
      <c r="C31" s="64" t="s">
        <v>93</v>
      </c>
      <c r="D31" s="64">
        <f>E21-F$21</f>
        <v>80</v>
      </c>
      <c r="E31" s="64">
        <f>E21-F22</f>
        <v>90</v>
      </c>
      <c r="F31" s="64">
        <f>E21-F23</f>
        <v>70</v>
      </c>
      <c r="H31" s="4">
        <f>D21/D31</f>
        <v>13.75</v>
      </c>
      <c r="I31" s="4">
        <f>D22/E31</f>
        <v>10</v>
      </c>
      <c r="J31" s="4">
        <f>D23/F31</f>
        <v>14.2857142857143</v>
      </c>
      <c r="Q31" s="38">
        <v>29</v>
      </c>
      <c r="R31" s="38" t="s">
        <v>93</v>
      </c>
      <c r="S31" s="56">
        <f t="shared" si="3"/>
        <v>289.85</v>
      </c>
      <c r="T31" s="56">
        <f t="shared" si="4"/>
        <v>55.335</v>
      </c>
      <c r="U31" s="56">
        <f t="shared" si="5"/>
        <v>47.43</v>
      </c>
      <c r="V31" s="56">
        <f t="shared" si="6"/>
        <v>11.8575</v>
      </c>
      <c r="W31" s="56">
        <f t="shared" si="7"/>
        <v>11.8575</v>
      </c>
      <c r="X31" s="56">
        <f t="shared" si="8"/>
        <v>26.35</v>
      </c>
      <c r="Y31" s="4">
        <v>1</v>
      </c>
      <c r="Z31" s="4">
        <v>0</v>
      </c>
      <c r="AB31" s="74">
        <f t="shared" si="9"/>
        <v>29</v>
      </c>
      <c r="AC31" s="74">
        <f t="shared" si="10"/>
        <v>1</v>
      </c>
      <c r="AD31" s="74">
        <f t="shared" si="11"/>
        <v>289</v>
      </c>
      <c r="AE31" s="74">
        <f t="shared" si="12"/>
        <v>55</v>
      </c>
      <c r="AF31" s="74">
        <f t="shared" si="13"/>
        <v>47</v>
      </c>
      <c r="AG31" s="74">
        <f t="shared" si="14"/>
        <v>11</v>
      </c>
      <c r="AH31" s="74">
        <f t="shared" si="15"/>
        <v>11</v>
      </c>
      <c r="AI31" s="74">
        <f t="shared" si="16"/>
        <v>26</v>
      </c>
      <c r="AJ31" s="74">
        <f t="shared" si="17"/>
        <v>1</v>
      </c>
      <c r="AK31" s="74">
        <f t="shared" si="18"/>
        <v>0</v>
      </c>
      <c r="AL31" s="4">
        <f t="shared" si="19"/>
        <v>1363</v>
      </c>
    </row>
    <row r="32" spans="3:38">
      <c r="C32" s="64" t="s">
        <v>94</v>
      </c>
      <c r="D32" s="64">
        <f>E22-F$21</f>
        <v>140</v>
      </c>
      <c r="E32" s="64">
        <f>E22-F22</f>
        <v>150</v>
      </c>
      <c r="F32" s="64">
        <f>E22-F23</f>
        <v>130</v>
      </c>
      <c r="H32" s="4">
        <f>D21/D32</f>
        <v>7.85714285714286</v>
      </c>
      <c r="I32" s="4">
        <f>D22/D32</f>
        <v>6.42857142857143</v>
      </c>
      <c r="J32" s="4">
        <f>D23/F32</f>
        <v>7.69230769230769</v>
      </c>
      <c r="Q32" s="38">
        <v>30</v>
      </c>
      <c r="R32" s="38" t="s">
        <v>93</v>
      </c>
      <c r="S32" s="56">
        <f t="shared" si="3"/>
        <v>298.65</v>
      </c>
      <c r="T32" s="56">
        <f t="shared" si="4"/>
        <v>57.015</v>
      </c>
      <c r="U32" s="56">
        <f t="shared" si="5"/>
        <v>48.87</v>
      </c>
      <c r="V32" s="56">
        <f t="shared" si="6"/>
        <v>12.2175</v>
      </c>
      <c r="W32" s="56">
        <f t="shared" si="7"/>
        <v>12.2175</v>
      </c>
      <c r="X32" s="56">
        <f t="shared" si="8"/>
        <v>27.15</v>
      </c>
      <c r="Y32" s="4">
        <v>1</v>
      </c>
      <c r="Z32" s="4">
        <v>0</v>
      </c>
      <c r="AB32" s="74">
        <f t="shared" si="9"/>
        <v>30</v>
      </c>
      <c r="AC32" s="74">
        <f t="shared" si="10"/>
        <v>1</v>
      </c>
      <c r="AD32" s="74">
        <f t="shared" si="11"/>
        <v>298</v>
      </c>
      <c r="AE32" s="74">
        <f t="shared" si="12"/>
        <v>57</v>
      </c>
      <c r="AF32" s="74">
        <f t="shared" si="13"/>
        <v>48</v>
      </c>
      <c r="AG32" s="74">
        <f t="shared" si="14"/>
        <v>12</v>
      </c>
      <c r="AH32" s="74">
        <f t="shared" si="15"/>
        <v>12</v>
      </c>
      <c r="AI32" s="74">
        <f t="shared" si="16"/>
        <v>27</v>
      </c>
      <c r="AJ32" s="74">
        <f t="shared" si="17"/>
        <v>1</v>
      </c>
      <c r="AK32" s="74">
        <f t="shared" si="18"/>
        <v>0</v>
      </c>
      <c r="AL32" s="4">
        <f t="shared" si="19"/>
        <v>1403</v>
      </c>
    </row>
    <row r="33" spans="3:38">
      <c r="C33" s="64" t="s">
        <v>95</v>
      </c>
      <c r="D33" s="64">
        <f>E23-F$21</f>
        <v>80</v>
      </c>
      <c r="E33" s="64">
        <f>E23-F22</f>
        <v>90</v>
      </c>
      <c r="F33" s="64">
        <f>E23-F23</f>
        <v>70</v>
      </c>
      <c r="H33" s="4">
        <f>D21/D33</f>
        <v>13.75</v>
      </c>
      <c r="I33" s="4">
        <f>D22/E33</f>
        <v>10</v>
      </c>
      <c r="J33" s="4">
        <f>D23/D33</f>
        <v>12.5</v>
      </c>
      <c r="Q33" s="38">
        <v>31</v>
      </c>
      <c r="R33" s="38" t="s">
        <v>93</v>
      </c>
      <c r="S33" s="56">
        <f t="shared" si="3"/>
        <v>309.65</v>
      </c>
      <c r="T33" s="56">
        <f t="shared" si="4"/>
        <v>59.115</v>
      </c>
      <c r="U33" s="56">
        <f t="shared" si="5"/>
        <v>50.67</v>
      </c>
      <c r="V33" s="56">
        <f t="shared" si="6"/>
        <v>12.6675</v>
      </c>
      <c r="W33" s="56">
        <f t="shared" si="7"/>
        <v>12.6675</v>
      </c>
      <c r="X33" s="56">
        <f t="shared" si="8"/>
        <v>28.15</v>
      </c>
      <c r="Y33" s="4">
        <v>1</v>
      </c>
      <c r="Z33" s="4">
        <v>0</v>
      </c>
      <c r="AB33" s="74">
        <f t="shared" si="9"/>
        <v>31</v>
      </c>
      <c r="AC33" s="74">
        <f t="shared" si="10"/>
        <v>1</v>
      </c>
      <c r="AD33" s="74">
        <f t="shared" si="11"/>
        <v>309</v>
      </c>
      <c r="AE33" s="74">
        <f t="shared" si="12"/>
        <v>59</v>
      </c>
      <c r="AF33" s="74">
        <f t="shared" si="13"/>
        <v>50</v>
      </c>
      <c r="AG33" s="74">
        <f t="shared" si="14"/>
        <v>12</v>
      </c>
      <c r="AH33" s="74">
        <f t="shared" si="15"/>
        <v>12</v>
      </c>
      <c r="AI33" s="74">
        <f t="shared" si="16"/>
        <v>28</v>
      </c>
      <c r="AJ33" s="74">
        <f t="shared" si="17"/>
        <v>1</v>
      </c>
      <c r="AK33" s="74">
        <f t="shared" si="18"/>
        <v>0</v>
      </c>
      <c r="AL33" s="4">
        <f t="shared" si="19"/>
        <v>1457</v>
      </c>
    </row>
    <row r="34" spans="17:38">
      <c r="Q34" s="38">
        <v>32</v>
      </c>
      <c r="R34" s="38" t="s">
        <v>93</v>
      </c>
      <c r="S34" s="56">
        <f t="shared" si="3"/>
        <v>320.65</v>
      </c>
      <c r="T34" s="56">
        <f t="shared" si="4"/>
        <v>61.215</v>
      </c>
      <c r="U34" s="56">
        <f t="shared" si="5"/>
        <v>52.47</v>
      </c>
      <c r="V34" s="56">
        <f t="shared" si="6"/>
        <v>13.1175</v>
      </c>
      <c r="W34" s="56">
        <f t="shared" si="7"/>
        <v>13.1175</v>
      </c>
      <c r="X34" s="56">
        <f t="shared" si="8"/>
        <v>29.15</v>
      </c>
      <c r="Y34" s="4">
        <v>1</v>
      </c>
      <c r="Z34" s="4">
        <v>0</v>
      </c>
      <c r="AB34" s="74">
        <f t="shared" si="9"/>
        <v>32</v>
      </c>
      <c r="AC34" s="74">
        <f t="shared" si="10"/>
        <v>1</v>
      </c>
      <c r="AD34" s="74">
        <f t="shared" si="11"/>
        <v>320</v>
      </c>
      <c r="AE34" s="74">
        <f t="shared" si="12"/>
        <v>61</v>
      </c>
      <c r="AF34" s="74">
        <f t="shared" si="13"/>
        <v>52</v>
      </c>
      <c r="AG34" s="74">
        <f t="shared" si="14"/>
        <v>13</v>
      </c>
      <c r="AH34" s="74">
        <f t="shared" si="15"/>
        <v>13</v>
      </c>
      <c r="AI34" s="74">
        <f t="shared" si="16"/>
        <v>29</v>
      </c>
      <c r="AJ34" s="74">
        <f t="shared" si="17"/>
        <v>1</v>
      </c>
      <c r="AK34" s="74">
        <f t="shared" si="18"/>
        <v>0</v>
      </c>
      <c r="AL34" s="4">
        <f t="shared" si="19"/>
        <v>1511</v>
      </c>
    </row>
    <row r="35" spans="17:38">
      <c r="Q35" s="38">
        <v>33</v>
      </c>
      <c r="R35" s="38" t="s">
        <v>93</v>
      </c>
      <c r="S35" s="56">
        <f t="shared" si="3"/>
        <v>331.65</v>
      </c>
      <c r="T35" s="56">
        <f t="shared" si="4"/>
        <v>63.315</v>
      </c>
      <c r="U35" s="56">
        <f t="shared" si="5"/>
        <v>54.27</v>
      </c>
      <c r="V35" s="56">
        <f t="shared" si="6"/>
        <v>13.5675</v>
      </c>
      <c r="W35" s="56">
        <f t="shared" si="7"/>
        <v>13.5675</v>
      </c>
      <c r="X35" s="56">
        <f t="shared" si="8"/>
        <v>30.15</v>
      </c>
      <c r="Y35" s="4">
        <v>1</v>
      </c>
      <c r="Z35" s="4">
        <v>0</v>
      </c>
      <c r="AB35" s="74">
        <f t="shared" si="9"/>
        <v>33</v>
      </c>
      <c r="AC35" s="74">
        <f t="shared" si="10"/>
        <v>1</v>
      </c>
      <c r="AD35" s="74">
        <f t="shared" si="11"/>
        <v>331</v>
      </c>
      <c r="AE35" s="74">
        <f t="shared" si="12"/>
        <v>63</v>
      </c>
      <c r="AF35" s="74">
        <f t="shared" si="13"/>
        <v>54</v>
      </c>
      <c r="AG35" s="74">
        <f t="shared" si="14"/>
        <v>13</v>
      </c>
      <c r="AH35" s="74">
        <f t="shared" si="15"/>
        <v>13</v>
      </c>
      <c r="AI35" s="74">
        <f t="shared" si="16"/>
        <v>30</v>
      </c>
      <c r="AJ35" s="74">
        <f t="shared" si="17"/>
        <v>1</v>
      </c>
      <c r="AK35" s="74">
        <f t="shared" si="18"/>
        <v>0</v>
      </c>
      <c r="AL35" s="4">
        <f t="shared" si="19"/>
        <v>1565</v>
      </c>
    </row>
    <row r="36" spans="17:38">
      <c r="Q36" s="38">
        <v>34</v>
      </c>
      <c r="R36" s="38" t="s">
        <v>93</v>
      </c>
      <c r="S36" s="56">
        <f t="shared" si="3"/>
        <v>342.65</v>
      </c>
      <c r="T36" s="56">
        <f t="shared" si="4"/>
        <v>65.415</v>
      </c>
      <c r="U36" s="56">
        <f t="shared" si="5"/>
        <v>56.07</v>
      </c>
      <c r="V36" s="56">
        <f t="shared" si="6"/>
        <v>14.0175</v>
      </c>
      <c r="W36" s="56">
        <f t="shared" si="7"/>
        <v>14.0175</v>
      </c>
      <c r="X36" s="56">
        <f t="shared" si="8"/>
        <v>31.15</v>
      </c>
      <c r="Y36" s="4">
        <v>1</v>
      </c>
      <c r="Z36" s="4">
        <v>0</v>
      </c>
      <c r="AB36" s="74">
        <f t="shared" si="9"/>
        <v>34</v>
      </c>
      <c r="AC36" s="74">
        <f t="shared" si="10"/>
        <v>1</v>
      </c>
      <c r="AD36" s="74">
        <f t="shared" si="11"/>
        <v>342</v>
      </c>
      <c r="AE36" s="74">
        <f t="shared" si="12"/>
        <v>65</v>
      </c>
      <c r="AF36" s="74">
        <f t="shared" si="13"/>
        <v>56</v>
      </c>
      <c r="AG36" s="74">
        <f t="shared" si="14"/>
        <v>14</v>
      </c>
      <c r="AH36" s="74">
        <f t="shared" si="15"/>
        <v>14</v>
      </c>
      <c r="AI36" s="74">
        <f t="shared" si="16"/>
        <v>31</v>
      </c>
      <c r="AJ36" s="74">
        <f t="shared" si="17"/>
        <v>1</v>
      </c>
      <c r="AK36" s="74">
        <f t="shared" si="18"/>
        <v>0</v>
      </c>
      <c r="AL36" s="4">
        <f t="shared" si="19"/>
        <v>1619</v>
      </c>
    </row>
    <row r="37" spans="17:38">
      <c r="Q37" s="38">
        <v>35</v>
      </c>
      <c r="R37" s="38" t="s">
        <v>93</v>
      </c>
      <c r="S37" s="56">
        <f t="shared" si="3"/>
        <v>353.65</v>
      </c>
      <c r="T37" s="56">
        <f t="shared" si="4"/>
        <v>67.515</v>
      </c>
      <c r="U37" s="56">
        <f t="shared" si="5"/>
        <v>57.87</v>
      </c>
      <c r="V37" s="56">
        <f t="shared" si="6"/>
        <v>14.4675</v>
      </c>
      <c r="W37" s="56">
        <f t="shared" si="7"/>
        <v>14.4675</v>
      </c>
      <c r="X37" s="56">
        <f t="shared" si="8"/>
        <v>32.15</v>
      </c>
      <c r="Y37" s="4">
        <v>1</v>
      </c>
      <c r="Z37" s="4">
        <v>0</v>
      </c>
      <c r="AB37" s="74">
        <f t="shared" si="9"/>
        <v>35</v>
      </c>
      <c r="AC37" s="74">
        <f t="shared" si="10"/>
        <v>1</v>
      </c>
      <c r="AD37" s="74">
        <f t="shared" si="11"/>
        <v>353</v>
      </c>
      <c r="AE37" s="74">
        <f t="shared" si="12"/>
        <v>67</v>
      </c>
      <c r="AF37" s="74">
        <f t="shared" si="13"/>
        <v>57</v>
      </c>
      <c r="AG37" s="74">
        <f t="shared" si="14"/>
        <v>14</v>
      </c>
      <c r="AH37" s="74">
        <f t="shared" si="15"/>
        <v>14</v>
      </c>
      <c r="AI37" s="74">
        <f t="shared" si="16"/>
        <v>32</v>
      </c>
      <c r="AJ37" s="74">
        <f t="shared" si="17"/>
        <v>1</v>
      </c>
      <c r="AK37" s="74">
        <f t="shared" si="18"/>
        <v>0</v>
      </c>
      <c r="AL37" s="4">
        <f t="shared" si="19"/>
        <v>1663</v>
      </c>
    </row>
    <row r="38" spans="17:38">
      <c r="Q38" s="38">
        <v>36</v>
      </c>
      <c r="R38" s="38" t="s">
        <v>93</v>
      </c>
      <c r="S38" s="56">
        <f t="shared" si="3"/>
        <v>364.65</v>
      </c>
      <c r="T38" s="56">
        <f t="shared" si="4"/>
        <v>69.615</v>
      </c>
      <c r="U38" s="56">
        <f t="shared" si="5"/>
        <v>59.67</v>
      </c>
      <c r="V38" s="56">
        <f t="shared" si="6"/>
        <v>14.9175</v>
      </c>
      <c r="W38" s="56">
        <f t="shared" si="7"/>
        <v>14.9175</v>
      </c>
      <c r="X38" s="56">
        <f t="shared" si="8"/>
        <v>33.15</v>
      </c>
      <c r="Y38" s="4">
        <v>1</v>
      </c>
      <c r="Z38" s="4">
        <v>0</v>
      </c>
      <c r="AB38" s="74">
        <f t="shared" si="9"/>
        <v>36</v>
      </c>
      <c r="AC38" s="74">
        <f t="shared" si="10"/>
        <v>1</v>
      </c>
      <c r="AD38" s="74">
        <f t="shared" si="11"/>
        <v>364</v>
      </c>
      <c r="AE38" s="74">
        <f t="shared" si="12"/>
        <v>69</v>
      </c>
      <c r="AF38" s="74">
        <f t="shared" si="13"/>
        <v>59</v>
      </c>
      <c r="AG38" s="74">
        <f t="shared" si="14"/>
        <v>14</v>
      </c>
      <c r="AH38" s="74">
        <f t="shared" si="15"/>
        <v>14</v>
      </c>
      <c r="AI38" s="74">
        <f t="shared" si="16"/>
        <v>33</v>
      </c>
      <c r="AJ38" s="74">
        <f t="shared" si="17"/>
        <v>1</v>
      </c>
      <c r="AK38" s="74">
        <f t="shared" si="18"/>
        <v>0</v>
      </c>
      <c r="AL38" s="4">
        <f t="shared" si="19"/>
        <v>1717</v>
      </c>
    </row>
    <row r="39" spans="17:38">
      <c r="Q39" s="38">
        <v>37</v>
      </c>
      <c r="R39" s="38" t="s">
        <v>93</v>
      </c>
      <c r="S39" s="56">
        <f t="shared" si="3"/>
        <v>375.65</v>
      </c>
      <c r="T39" s="56">
        <f t="shared" si="4"/>
        <v>71.715</v>
      </c>
      <c r="U39" s="56">
        <f t="shared" si="5"/>
        <v>61.4699999999999</v>
      </c>
      <c r="V39" s="56">
        <f t="shared" si="6"/>
        <v>15.3675</v>
      </c>
      <c r="W39" s="56">
        <f t="shared" si="7"/>
        <v>15.3675</v>
      </c>
      <c r="X39" s="56">
        <f t="shared" si="8"/>
        <v>34.15</v>
      </c>
      <c r="Y39" s="4">
        <v>1</v>
      </c>
      <c r="Z39" s="4">
        <v>0</v>
      </c>
      <c r="AB39" s="74">
        <f t="shared" si="9"/>
        <v>37</v>
      </c>
      <c r="AC39" s="74">
        <f t="shared" si="10"/>
        <v>1</v>
      </c>
      <c r="AD39" s="74">
        <f t="shared" si="11"/>
        <v>375</v>
      </c>
      <c r="AE39" s="74">
        <f t="shared" si="12"/>
        <v>71</v>
      </c>
      <c r="AF39" s="74">
        <f t="shared" si="13"/>
        <v>61</v>
      </c>
      <c r="AG39" s="74">
        <f t="shared" si="14"/>
        <v>15</v>
      </c>
      <c r="AH39" s="74">
        <f t="shared" si="15"/>
        <v>15</v>
      </c>
      <c r="AI39" s="74">
        <f t="shared" si="16"/>
        <v>34</v>
      </c>
      <c r="AJ39" s="74">
        <f t="shared" si="17"/>
        <v>1</v>
      </c>
      <c r="AK39" s="74">
        <f t="shared" si="18"/>
        <v>0</v>
      </c>
      <c r="AL39" s="4">
        <f t="shared" si="19"/>
        <v>1771</v>
      </c>
    </row>
    <row r="40" spans="17:38">
      <c r="Q40" s="38">
        <v>38</v>
      </c>
      <c r="R40" s="38" t="s">
        <v>93</v>
      </c>
      <c r="S40" s="56">
        <f t="shared" si="3"/>
        <v>386.65</v>
      </c>
      <c r="T40" s="56">
        <f t="shared" si="4"/>
        <v>73.815</v>
      </c>
      <c r="U40" s="56">
        <f t="shared" si="5"/>
        <v>63.2699999999999</v>
      </c>
      <c r="V40" s="56">
        <f t="shared" si="6"/>
        <v>15.8175</v>
      </c>
      <c r="W40" s="56">
        <f t="shared" si="7"/>
        <v>15.8175</v>
      </c>
      <c r="X40" s="56">
        <f t="shared" si="8"/>
        <v>35.15</v>
      </c>
      <c r="Y40" s="4">
        <v>1</v>
      </c>
      <c r="Z40" s="4">
        <v>0</v>
      </c>
      <c r="AB40" s="74">
        <f t="shared" si="9"/>
        <v>38</v>
      </c>
      <c r="AC40" s="74">
        <f t="shared" si="10"/>
        <v>1</v>
      </c>
      <c r="AD40" s="74">
        <f t="shared" si="11"/>
        <v>386</v>
      </c>
      <c r="AE40" s="74">
        <f t="shared" si="12"/>
        <v>73</v>
      </c>
      <c r="AF40" s="74">
        <f t="shared" si="13"/>
        <v>63</v>
      </c>
      <c r="AG40" s="74">
        <f t="shared" si="14"/>
        <v>15</v>
      </c>
      <c r="AH40" s="74">
        <f t="shared" si="15"/>
        <v>15</v>
      </c>
      <c r="AI40" s="74">
        <f t="shared" si="16"/>
        <v>35</v>
      </c>
      <c r="AJ40" s="74">
        <f t="shared" si="17"/>
        <v>1</v>
      </c>
      <c r="AK40" s="74">
        <f t="shared" si="18"/>
        <v>0</v>
      </c>
      <c r="AL40" s="4">
        <f t="shared" si="19"/>
        <v>1825</v>
      </c>
    </row>
    <row r="41" spans="17:38">
      <c r="Q41" s="38">
        <v>39</v>
      </c>
      <c r="R41" s="38" t="s">
        <v>93</v>
      </c>
      <c r="S41" s="56">
        <f t="shared" si="3"/>
        <v>397.65</v>
      </c>
      <c r="T41" s="56">
        <f t="shared" si="4"/>
        <v>75.915</v>
      </c>
      <c r="U41" s="56">
        <f t="shared" si="5"/>
        <v>65.07</v>
      </c>
      <c r="V41" s="56">
        <f t="shared" si="6"/>
        <v>16.2675</v>
      </c>
      <c r="W41" s="56">
        <f t="shared" si="7"/>
        <v>16.2675</v>
      </c>
      <c r="X41" s="56">
        <f t="shared" si="8"/>
        <v>36.15</v>
      </c>
      <c r="Y41" s="4">
        <v>1</v>
      </c>
      <c r="Z41" s="4">
        <v>0</v>
      </c>
      <c r="AB41" s="74">
        <f t="shared" si="9"/>
        <v>39</v>
      </c>
      <c r="AC41" s="74">
        <f t="shared" si="10"/>
        <v>1</v>
      </c>
      <c r="AD41" s="74">
        <f t="shared" si="11"/>
        <v>397</v>
      </c>
      <c r="AE41" s="74">
        <f t="shared" si="12"/>
        <v>75</v>
      </c>
      <c r="AF41" s="74">
        <f t="shared" si="13"/>
        <v>65</v>
      </c>
      <c r="AG41" s="74">
        <f t="shared" si="14"/>
        <v>16</v>
      </c>
      <c r="AH41" s="74">
        <f t="shared" si="15"/>
        <v>16</v>
      </c>
      <c r="AI41" s="74">
        <f t="shared" si="16"/>
        <v>36</v>
      </c>
      <c r="AJ41" s="74">
        <f t="shared" si="17"/>
        <v>1</v>
      </c>
      <c r="AK41" s="74">
        <f t="shared" si="18"/>
        <v>0</v>
      </c>
      <c r="AL41" s="4">
        <f t="shared" si="19"/>
        <v>1879</v>
      </c>
    </row>
    <row r="42" spans="17:38">
      <c r="Q42" s="38">
        <v>40</v>
      </c>
      <c r="R42" s="38" t="s">
        <v>93</v>
      </c>
      <c r="S42" s="56">
        <f t="shared" si="3"/>
        <v>408.65</v>
      </c>
      <c r="T42" s="56">
        <f t="shared" si="4"/>
        <v>78.015</v>
      </c>
      <c r="U42" s="56">
        <f t="shared" si="5"/>
        <v>66.8699999999999</v>
      </c>
      <c r="V42" s="56">
        <f t="shared" si="6"/>
        <v>16.7175</v>
      </c>
      <c r="W42" s="56">
        <f t="shared" si="7"/>
        <v>16.7175</v>
      </c>
      <c r="X42" s="56">
        <f t="shared" si="8"/>
        <v>37.15</v>
      </c>
      <c r="Y42" s="4">
        <v>1</v>
      </c>
      <c r="Z42" s="4">
        <v>0</v>
      </c>
      <c r="AB42" s="74">
        <f t="shared" si="9"/>
        <v>40</v>
      </c>
      <c r="AC42" s="74">
        <f t="shared" si="10"/>
        <v>1</v>
      </c>
      <c r="AD42" s="74">
        <f t="shared" si="11"/>
        <v>408</v>
      </c>
      <c r="AE42" s="74">
        <f t="shared" si="12"/>
        <v>78</v>
      </c>
      <c r="AF42" s="74">
        <f t="shared" si="13"/>
        <v>66</v>
      </c>
      <c r="AG42" s="74">
        <f t="shared" si="14"/>
        <v>16</v>
      </c>
      <c r="AH42" s="74">
        <f t="shared" si="15"/>
        <v>16</v>
      </c>
      <c r="AI42" s="74">
        <f t="shared" si="16"/>
        <v>37</v>
      </c>
      <c r="AJ42" s="74">
        <f t="shared" si="17"/>
        <v>1</v>
      </c>
      <c r="AK42" s="74">
        <f t="shared" si="18"/>
        <v>0</v>
      </c>
      <c r="AL42" s="4">
        <f t="shared" si="19"/>
        <v>1924</v>
      </c>
    </row>
    <row r="43" spans="17:38">
      <c r="Q43" s="38">
        <v>41</v>
      </c>
      <c r="R43" s="38" t="s">
        <v>93</v>
      </c>
      <c r="S43" s="56">
        <f t="shared" si="3"/>
        <v>421.85</v>
      </c>
      <c r="T43" s="56">
        <f t="shared" si="4"/>
        <v>80.535</v>
      </c>
      <c r="U43" s="56">
        <f t="shared" si="5"/>
        <v>69.0299999999999</v>
      </c>
      <c r="V43" s="56">
        <f t="shared" si="6"/>
        <v>17.2575</v>
      </c>
      <c r="W43" s="56">
        <f t="shared" si="7"/>
        <v>17.2575</v>
      </c>
      <c r="X43" s="56">
        <f t="shared" si="8"/>
        <v>38.35</v>
      </c>
      <c r="Y43" s="4">
        <v>1</v>
      </c>
      <c r="Z43" s="4">
        <v>0</v>
      </c>
      <c r="AB43" s="74">
        <f t="shared" si="9"/>
        <v>41</v>
      </c>
      <c r="AC43" s="74">
        <f t="shared" si="10"/>
        <v>1</v>
      </c>
      <c r="AD43" s="74">
        <f t="shared" si="11"/>
        <v>421</v>
      </c>
      <c r="AE43" s="74">
        <f t="shared" si="12"/>
        <v>80</v>
      </c>
      <c r="AF43" s="74">
        <f t="shared" si="13"/>
        <v>69</v>
      </c>
      <c r="AG43" s="74">
        <f t="shared" si="14"/>
        <v>17</v>
      </c>
      <c r="AH43" s="74">
        <f t="shared" si="15"/>
        <v>17</v>
      </c>
      <c r="AI43" s="74">
        <f t="shared" si="16"/>
        <v>38</v>
      </c>
      <c r="AJ43" s="74">
        <f t="shared" si="17"/>
        <v>1</v>
      </c>
      <c r="AK43" s="74">
        <f t="shared" si="18"/>
        <v>0</v>
      </c>
      <c r="AL43" s="4">
        <f t="shared" si="19"/>
        <v>1992</v>
      </c>
    </row>
    <row r="44" spans="17:38">
      <c r="Q44" s="38">
        <v>42</v>
      </c>
      <c r="R44" s="38" t="s">
        <v>93</v>
      </c>
      <c r="S44" s="56">
        <f t="shared" si="3"/>
        <v>435.05</v>
      </c>
      <c r="T44" s="56">
        <f t="shared" si="4"/>
        <v>83.055</v>
      </c>
      <c r="U44" s="56">
        <f t="shared" si="5"/>
        <v>71.1899999999999</v>
      </c>
      <c r="V44" s="56">
        <f t="shared" si="6"/>
        <v>17.7975</v>
      </c>
      <c r="W44" s="56">
        <f t="shared" si="7"/>
        <v>17.7975</v>
      </c>
      <c r="X44" s="56">
        <f t="shared" si="8"/>
        <v>39.55</v>
      </c>
      <c r="Y44" s="4">
        <v>1</v>
      </c>
      <c r="Z44" s="4">
        <v>0</v>
      </c>
      <c r="AB44" s="74">
        <f t="shared" si="9"/>
        <v>42</v>
      </c>
      <c r="AC44" s="74">
        <f t="shared" si="10"/>
        <v>1</v>
      </c>
      <c r="AD44" s="74">
        <f t="shared" si="11"/>
        <v>435</v>
      </c>
      <c r="AE44" s="74">
        <f t="shared" si="12"/>
        <v>83</v>
      </c>
      <c r="AF44" s="74">
        <f t="shared" si="13"/>
        <v>71</v>
      </c>
      <c r="AG44" s="74">
        <f t="shared" si="14"/>
        <v>17</v>
      </c>
      <c r="AH44" s="74">
        <f t="shared" si="15"/>
        <v>17</v>
      </c>
      <c r="AI44" s="74">
        <f t="shared" si="16"/>
        <v>39</v>
      </c>
      <c r="AJ44" s="74">
        <f t="shared" si="17"/>
        <v>1</v>
      </c>
      <c r="AK44" s="74">
        <f t="shared" si="18"/>
        <v>0</v>
      </c>
      <c r="AL44" s="4">
        <f t="shared" si="19"/>
        <v>2053</v>
      </c>
    </row>
    <row r="45" spans="17:38">
      <c r="Q45" s="38">
        <v>43</v>
      </c>
      <c r="R45" s="38" t="s">
        <v>93</v>
      </c>
      <c r="S45" s="56">
        <f t="shared" si="3"/>
        <v>448.25</v>
      </c>
      <c r="T45" s="56">
        <f t="shared" si="4"/>
        <v>85.575</v>
      </c>
      <c r="U45" s="56">
        <f t="shared" si="5"/>
        <v>73.3499999999999</v>
      </c>
      <c r="V45" s="56">
        <f t="shared" si="6"/>
        <v>18.3375</v>
      </c>
      <c r="W45" s="56">
        <f t="shared" si="7"/>
        <v>18.3375</v>
      </c>
      <c r="X45" s="56">
        <f t="shared" si="8"/>
        <v>40.75</v>
      </c>
      <c r="Y45" s="4">
        <v>1</v>
      </c>
      <c r="Z45" s="4">
        <v>0</v>
      </c>
      <c r="AB45" s="74">
        <f t="shared" si="9"/>
        <v>43</v>
      </c>
      <c r="AC45" s="74">
        <f t="shared" si="10"/>
        <v>1</v>
      </c>
      <c r="AD45" s="74">
        <f t="shared" si="11"/>
        <v>448</v>
      </c>
      <c r="AE45" s="74">
        <f t="shared" si="12"/>
        <v>85</v>
      </c>
      <c r="AF45" s="74">
        <f t="shared" si="13"/>
        <v>73</v>
      </c>
      <c r="AG45" s="74">
        <f t="shared" si="14"/>
        <v>18</v>
      </c>
      <c r="AH45" s="74">
        <f t="shared" si="15"/>
        <v>18</v>
      </c>
      <c r="AI45" s="74">
        <f t="shared" si="16"/>
        <v>40</v>
      </c>
      <c r="AJ45" s="74">
        <f t="shared" si="17"/>
        <v>1</v>
      </c>
      <c r="AK45" s="74">
        <f t="shared" si="18"/>
        <v>0</v>
      </c>
      <c r="AL45" s="4">
        <f t="shared" si="19"/>
        <v>2111</v>
      </c>
    </row>
    <row r="46" spans="17:38">
      <c r="Q46" s="38">
        <v>44</v>
      </c>
      <c r="R46" s="38" t="s">
        <v>93</v>
      </c>
      <c r="S46" s="56">
        <f t="shared" si="3"/>
        <v>461.45</v>
      </c>
      <c r="T46" s="56">
        <f t="shared" si="4"/>
        <v>88.095</v>
      </c>
      <c r="U46" s="56">
        <f t="shared" si="5"/>
        <v>75.5099999999999</v>
      </c>
      <c r="V46" s="56">
        <f t="shared" si="6"/>
        <v>18.8775</v>
      </c>
      <c r="W46" s="56">
        <f t="shared" si="7"/>
        <v>18.8775</v>
      </c>
      <c r="X46" s="56">
        <f t="shared" si="8"/>
        <v>41.95</v>
      </c>
      <c r="Y46" s="4">
        <v>1</v>
      </c>
      <c r="Z46" s="4">
        <v>0</v>
      </c>
      <c r="AB46" s="74">
        <f t="shared" si="9"/>
        <v>44</v>
      </c>
      <c r="AC46" s="74">
        <f t="shared" si="10"/>
        <v>1</v>
      </c>
      <c r="AD46" s="74">
        <f t="shared" si="11"/>
        <v>461</v>
      </c>
      <c r="AE46" s="74">
        <f t="shared" si="12"/>
        <v>88</v>
      </c>
      <c r="AF46" s="74">
        <f t="shared" si="13"/>
        <v>75</v>
      </c>
      <c r="AG46" s="74">
        <f t="shared" si="14"/>
        <v>18</v>
      </c>
      <c r="AH46" s="74">
        <f t="shared" si="15"/>
        <v>18</v>
      </c>
      <c r="AI46" s="74">
        <f t="shared" si="16"/>
        <v>41</v>
      </c>
      <c r="AJ46" s="74">
        <f t="shared" si="17"/>
        <v>1</v>
      </c>
      <c r="AK46" s="74">
        <f t="shared" si="18"/>
        <v>0</v>
      </c>
      <c r="AL46" s="4">
        <f t="shared" si="19"/>
        <v>2170</v>
      </c>
    </row>
    <row r="47" spans="17:38">
      <c r="Q47" s="38">
        <v>45</v>
      </c>
      <c r="R47" s="38" t="s">
        <v>93</v>
      </c>
      <c r="S47" s="56">
        <f t="shared" si="3"/>
        <v>474.65</v>
      </c>
      <c r="T47" s="56">
        <f t="shared" si="4"/>
        <v>90.615</v>
      </c>
      <c r="U47" s="56">
        <f t="shared" si="5"/>
        <v>77.6699999999999</v>
      </c>
      <c r="V47" s="56">
        <f t="shared" si="6"/>
        <v>19.4175</v>
      </c>
      <c r="W47" s="56">
        <f t="shared" si="7"/>
        <v>19.4175</v>
      </c>
      <c r="X47" s="56">
        <f t="shared" si="8"/>
        <v>43.15</v>
      </c>
      <c r="Y47" s="4">
        <v>1</v>
      </c>
      <c r="Z47" s="4">
        <v>0</v>
      </c>
      <c r="AB47" s="74">
        <f t="shared" si="9"/>
        <v>45</v>
      </c>
      <c r="AC47" s="74">
        <f t="shared" si="10"/>
        <v>1</v>
      </c>
      <c r="AD47" s="74">
        <f t="shared" si="11"/>
        <v>474</v>
      </c>
      <c r="AE47" s="74">
        <f t="shared" si="12"/>
        <v>90</v>
      </c>
      <c r="AF47" s="74">
        <f t="shared" si="13"/>
        <v>77</v>
      </c>
      <c r="AG47" s="74">
        <f t="shared" si="14"/>
        <v>19</v>
      </c>
      <c r="AH47" s="74">
        <f t="shared" si="15"/>
        <v>19</v>
      </c>
      <c r="AI47" s="74">
        <f t="shared" si="16"/>
        <v>43</v>
      </c>
      <c r="AJ47" s="74">
        <f t="shared" si="17"/>
        <v>1</v>
      </c>
      <c r="AK47" s="74">
        <f t="shared" si="18"/>
        <v>0</v>
      </c>
      <c r="AL47" s="4">
        <f t="shared" si="19"/>
        <v>2238</v>
      </c>
    </row>
    <row r="48" spans="17:38">
      <c r="Q48" s="38">
        <v>46</v>
      </c>
      <c r="R48" s="38" t="s">
        <v>93</v>
      </c>
      <c r="S48" s="56">
        <f t="shared" si="3"/>
        <v>487.85</v>
      </c>
      <c r="T48" s="56">
        <f t="shared" si="4"/>
        <v>93.1349999999999</v>
      </c>
      <c r="U48" s="56">
        <f t="shared" si="5"/>
        <v>79.8299999999999</v>
      </c>
      <c r="V48" s="56">
        <f t="shared" si="6"/>
        <v>19.9575</v>
      </c>
      <c r="W48" s="56">
        <f t="shared" si="7"/>
        <v>19.9575</v>
      </c>
      <c r="X48" s="56">
        <f t="shared" si="8"/>
        <v>44.35</v>
      </c>
      <c r="Y48" s="4">
        <v>1</v>
      </c>
      <c r="Z48" s="4">
        <v>0</v>
      </c>
      <c r="AB48" s="74">
        <f t="shared" si="9"/>
        <v>46</v>
      </c>
      <c r="AC48" s="74">
        <f t="shared" si="10"/>
        <v>1</v>
      </c>
      <c r="AD48" s="74">
        <f t="shared" si="11"/>
        <v>487</v>
      </c>
      <c r="AE48" s="74">
        <f t="shared" si="12"/>
        <v>93</v>
      </c>
      <c r="AF48" s="74">
        <f t="shared" si="13"/>
        <v>79</v>
      </c>
      <c r="AG48" s="74">
        <f t="shared" si="14"/>
        <v>19</v>
      </c>
      <c r="AH48" s="74">
        <f t="shared" si="15"/>
        <v>19</v>
      </c>
      <c r="AI48" s="74">
        <f t="shared" si="16"/>
        <v>44</v>
      </c>
      <c r="AJ48" s="74">
        <f t="shared" si="17"/>
        <v>1</v>
      </c>
      <c r="AK48" s="74">
        <f t="shared" si="18"/>
        <v>0</v>
      </c>
      <c r="AL48" s="4">
        <f t="shared" si="19"/>
        <v>2297</v>
      </c>
    </row>
    <row r="49" spans="17:38">
      <c r="Q49" s="38">
        <v>47</v>
      </c>
      <c r="R49" s="38" t="s">
        <v>93</v>
      </c>
      <c r="S49" s="56">
        <f t="shared" si="3"/>
        <v>501.05</v>
      </c>
      <c r="T49" s="56">
        <f t="shared" si="4"/>
        <v>95.6549999999999</v>
      </c>
      <c r="U49" s="56">
        <f t="shared" si="5"/>
        <v>81.9899999999999</v>
      </c>
      <c r="V49" s="56">
        <f t="shared" si="6"/>
        <v>20.4975</v>
      </c>
      <c r="W49" s="56">
        <f t="shared" si="7"/>
        <v>20.4975</v>
      </c>
      <c r="X49" s="56">
        <f t="shared" si="8"/>
        <v>45.55</v>
      </c>
      <c r="Y49" s="4">
        <v>1</v>
      </c>
      <c r="Z49" s="4">
        <v>0</v>
      </c>
      <c r="AB49" s="74">
        <f t="shared" si="9"/>
        <v>47</v>
      </c>
      <c r="AC49" s="74">
        <f t="shared" si="10"/>
        <v>1</v>
      </c>
      <c r="AD49" s="74">
        <f t="shared" si="11"/>
        <v>501</v>
      </c>
      <c r="AE49" s="74">
        <f t="shared" si="12"/>
        <v>95</v>
      </c>
      <c r="AF49" s="74">
        <f t="shared" si="13"/>
        <v>81</v>
      </c>
      <c r="AG49" s="74">
        <f t="shared" si="14"/>
        <v>20</v>
      </c>
      <c r="AH49" s="74">
        <f t="shared" si="15"/>
        <v>20</v>
      </c>
      <c r="AI49" s="74">
        <f t="shared" si="16"/>
        <v>45</v>
      </c>
      <c r="AJ49" s="74">
        <f t="shared" si="17"/>
        <v>1</v>
      </c>
      <c r="AK49" s="74">
        <f t="shared" si="18"/>
        <v>0</v>
      </c>
      <c r="AL49" s="4">
        <f t="shared" si="19"/>
        <v>2357</v>
      </c>
    </row>
    <row r="50" spans="17:38">
      <c r="Q50" s="38">
        <v>48</v>
      </c>
      <c r="R50" s="38" t="s">
        <v>93</v>
      </c>
      <c r="S50" s="56">
        <f t="shared" si="3"/>
        <v>514.25</v>
      </c>
      <c r="T50" s="56">
        <f t="shared" si="4"/>
        <v>98.1749999999999</v>
      </c>
      <c r="U50" s="56">
        <f t="shared" si="5"/>
        <v>84.1499999999999</v>
      </c>
      <c r="V50" s="56">
        <f t="shared" si="6"/>
        <v>21.0375</v>
      </c>
      <c r="W50" s="56">
        <f t="shared" si="7"/>
        <v>21.0375</v>
      </c>
      <c r="X50" s="56">
        <f t="shared" si="8"/>
        <v>46.75</v>
      </c>
      <c r="Y50" s="4">
        <v>1</v>
      </c>
      <c r="Z50" s="4">
        <v>0</v>
      </c>
      <c r="AB50" s="74">
        <f t="shared" si="9"/>
        <v>48</v>
      </c>
      <c r="AC50" s="74">
        <f t="shared" si="10"/>
        <v>1</v>
      </c>
      <c r="AD50" s="74">
        <f t="shared" si="11"/>
        <v>514</v>
      </c>
      <c r="AE50" s="74">
        <f t="shared" si="12"/>
        <v>98</v>
      </c>
      <c r="AF50" s="74">
        <f t="shared" si="13"/>
        <v>84</v>
      </c>
      <c r="AG50" s="74">
        <f t="shared" si="14"/>
        <v>21</v>
      </c>
      <c r="AH50" s="74">
        <f t="shared" si="15"/>
        <v>21</v>
      </c>
      <c r="AI50" s="74">
        <f t="shared" si="16"/>
        <v>46</v>
      </c>
      <c r="AJ50" s="74">
        <f t="shared" si="17"/>
        <v>1</v>
      </c>
      <c r="AK50" s="74">
        <f t="shared" si="18"/>
        <v>0</v>
      </c>
      <c r="AL50" s="4">
        <f t="shared" si="19"/>
        <v>2426</v>
      </c>
    </row>
    <row r="51" spans="17:38">
      <c r="Q51" s="38">
        <v>49</v>
      </c>
      <c r="R51" s="38" t="s">
        <v>93</v>
      </c>
      <c r="S51" s="56">
        <f t="shared" si="3"/>
        <v>527.45</v>
      </c>
      <c r="T51" s="56">
        <f t="shared" si="4"/>
        <v>100.695</v>
      </c>
      <c r="U51" s="56">
        <f t="shared" si="5"/>
        <v>86.3099999999999</v>
      </c>
      <c r="V51" s="56">
        <f t="shared" si="6"/>
        <v>21.5775</v>
      </c>
      <c r="W51" s="56">
        <f t="shared" si="7"/>
        <v>21.5775</v>
      </c>
      <c r="X51" s="56">
        <f t="shared" si="8"/>
        <v>47.95</v>
      </c>
      <c r="Y51" s="4">
        <v>1</v>
      </c>
      <c r="Z51" s="4">
        <v>0</v>
      </c>
      <c r="AB51" s="74">
        <f t="shared" si="9"/>
        <v>49</v>
      </c>
      <c r="AC51" s="74">
        <f t="shared" si="10"/>
        <v>1</v>
      </c>
      <c r="AD51" s="74">
        <f t="shared" si="11"/>
        <v>527</v>
      </c>
      <c r="AE51" s="74">
        <f t="shared" si="12"/>
        <v>100</v>
      </c>
      <c r="AF51" s="74">
        <f t="shared" si="13"/>
        <v>86</v>
      </c>
      <c r="AG51" s="74">
        <f t="shared" si="14"/>
        <v>21</v>
      </c>
      <c r="AH51" s="74">
        <f t="shared" si="15"/>
        <v>21</v>
      </c>
      <c r="AI51" s="74">
        <f t="shared" si="16"/>
        <v>47</v>
      </c>
      <c r="AJ51" s="74">
        <f t="shared" si="17"/>
        <v>1</v>
      </c>
      <c r="AK51" s="74">
        <f t="shared" si="18"/>
        <v>0</v>
      </c>
      <c r="AL51" s="4">
        <f t="shared" si="19"/>
        <v>2484</v>
      </c>
    </row>
    <row r="52" spans="17:38">
      <c r="Q52" s="38">
        <v>50</v>
      </c>
      <c r="R52" s="38" t="s">
        <v>93</v>
      </c>
      <c r="S52" s="56">
        <f t="shared" si="3"/>
        <v>540.65</v>
      </c>
      <c r="T52" s="56">
        <f t="shared" si="4"/>
        <v>103.215</v>
      </c>
      <c r="U52" s="56">
        <f t="shared" si="5"/>
        <v>88.4699999999999</v>
      </c>
      <c r="V52" s="56">
        <f t="shared" si="6"/>
        <v>22.1175</v>
      </c>
      <c r="W52" s="56">
        <f t="shared" si="7"/>
        <v>22.1175</v>
      </c>
      <c r="X52" s="56">
        <f t="shared" si="8"/>
        <v>49.15</v>
      </c>
      <c r="Y52" s="4">
        <v>1</v>
      </c>
      <c r="Z52" s="4">
        <v>0</v>
      </c>
      <c r="AB52" s="74">
        <f t="shared" si="9"/>
        <v>50</v>
      </c>
      <c r="AC52" s="74">
        <f t="shared" si="10"/>
        <v>1</v>
      </c>
      <c r="AD52" s="74">
        <f t="shared" si="11"/>
        <v>540</v>
      </c>
      <c r="AE52" s="74">
        <f t="shared" si="12"/>
        <v>103</v>
      </c>
      <c r="AF52" s="74">
        <f t="shared" si="13"/>
        <v>88</v>
      </c>
      <c r="AG52" s="74">
        <f t="shared" si="14"/>
        <v>22</v>
      </c>
      <c r="AH52" s="74">
        <f t="shared" si="15"/>
        <v>22</v>
      </c>
      <c r="AI52" s="74">
        <f t="shared" si="16"/>
        <v>49</v>
      </c>
      <c r="AJ52" s="74">
        <f t="shared" si="17"/>
        <v>1</v>
      </c>
      <c r="AK52" s="74">
        <f t="shared" si="18"/>
        <v>0</v>
      </c>
      <c r="AL52" s="4">
        <f t="shared" si="19"/>
        <v>2553</v>
      </c>
    </row>
    <row r="53" spans="17:38">
      <c r="Q53" s="38">
        <v>51</v>
      </c>
      <c r="R53" s="38" t="s">
        <v>93</v>
      </c>
      <c r="S53" s="56">
        <f t="shared" si="3"/>
        <v>557.15</v>
      </c>
      <c r="T53" s="56">
        <f t="shared" si="4"/>
        <v>106.365</v>
      </c>
      <c r="U53" s="56">
        <f t="shared" si="5"/>
        <v>91.1699999999999</v>
      </c>
      <c r="V53" s="56">
        <f t="shared" si="6"/>
        <v>22.7925</v>
      </c>
      <c r="W53" s="56">
        <f t="shared" si="7"/>
        <v>22.7925</v>
      </c>
      <c r="X53" s="56">
        <f t="shared" si="8"/>
        <v>50.65</v>
      </c>
      <c r="Y53" s="4">
        <v>1</v>
      </c>
      <c r="Z53" s="4">
        <v>0</v>
      </c>
      <c r="AB53" s="74">
        <f t="shared" si="9"/>
        <v>51</v>
      </c>
      <c r="AC53" s="74">
        <f t="shared" si="10"/>
        <v>1</v>
      </c>
      <c r="AD53" s="74">
        <f t="shared" si="11"/>
        <v>557</v>
      </c>
      <c r="AE53" s="74">
        <f t="shared" si="12"/>
        <v>106</v>
      </c>
      <c r="AF53" s="74">
        <f t="shared" si="13"/>
        <v>91</v>
      </c>
      <c r="AG53" s="74">
        <f t="shared" si="14"/>
        <v>22</v>
      </c>
      <c r="AH53" s="74">
        <f t="shared" si="15"/>
        <v>22</v>
      </c>
      <c r="AI53" s="74">
        <f t="shared" si="16"/>
        <v>50</v>
      </c>
      <c r="AJ53" s="74">
        <f t="shared" si="17"/>
        <v>1</v>
      </c>
      <c r="AK53" s="74">
        <f t="shared" si="18"/>
        <v>0</v>
      </c>
      <c r="AL53" s="4">
        <f t="shared" si="19"/>
        <v>2630</v>
      </c>
    </row>
    <row r="54" spans="17:38">
      <c r="Q54" s="38">
        <v>52</v>
      </c>
      <c r="R54" s="38" t="s">
        <v>93</v>
      </c>
      <c r="S54" s="56">
        <f t="shared" si="3"/>
        <v>573.65</v>
      </c>
      <c r="T54" s="56">
        <f t="shared" si="4"/>
        <v>109.515</v>
      </c>
      <c r="U54" s="56">
        <f t="shared" si="5"/>
        <v>93.8699999999999</v>
      </c>
      <c r="V54" s="56">
        <f t="shared" si="6"/>
        <v>23.4675</v>
      </c>
      <c r="W54" s="56">
        <f t="shared" si="7"/>
        <v>23.4675</v>
      </c>
      <c r="X54" s="56">
        <f t="shared" si="8"/>
        <v>52.15</v>
      </c>
      <c r="Y54" s="4">
        <v>1</v>
      </c>
      <c r="Z54" s="4">
        <v>0</v>
      </c>
      <c r="AB54" s="74">
        <f t="shared" si="9"/>
        <v>52</v>
      </c>
      <c r="AC54" s="74">
        <f t="shared" si="10"/>
        <v>1</v>
      </c>
      <c r="AD54" s="74">
        <f t="shared" si="11"/>
        <v>573</v>
      </c>
      <c r="AE54" s="74">
        <f t="shared" si="12"/>
        <v>109</v>
      </c>
      <c r="AF54" s="74">
        <f t="shared" si="13"/>
        <v>93</v>
      </c>
      <c r="AG54" s="74">
        <f t="shared" si="14"/>
        <v>23</v>
      </c>
      <c r="AH54" s="74">
        <f t="shared" si="15"/>
        <v>23</v>
      </c>
      <c r="AI54" s="74">
        <f t="shared" si="16"/>
        <v>52</v>
      </c>
      <c r="AJ54" s="74">
        <f t="shared" si="17"/>
        <v>1</v>
      </c>
      <c r="AK54" s="74">
        <f t="shared" si="18"/>
        <v>0</v>
      </c>
      <c r="AL54" s="4">
        <f t="shared" si="19"/>
        <v>2705</v>
      </c>
    </row>
    <row r="55" spans="17:38">
      <c r="Q55" s="38">
        <v>53</v>
      </c>
      <c r="R55" s="38" t="s">
        <v>93</v>
      </c>
      <c r="S55" s="56">
        <f t="shared" si="3"/>
        <v>590.15</v>
      </c>
      <c r="T55" s="56">
        <f t="shared" si="4"/>
        <v>112.665</v>
      </c>
      <c r="U55" s="56">
        <f t="shared" si="5"/>
        <v>96.5699999999999</v>
      </c>
      <c r="V55" s="56">
        <f t="shared" si="6"/>
        <v>24.1425</v>
      </c>
      <c r="W55" s="56">
        <f t="shared" si="7"/>
        <v>24.1425</v>
      </c>
      <c r="X55" s="56">
        <f t="shared" si="8"/>
        <v>53.65</v>
      </c>
      <c r="Y55" s="4">
        <v>1</v>
      </c>
      <c r="Z55" s="4">
        <v>0</v>
      </c>
      <c r="AB55" s="74">
        <f t="shared" si="9"/>
        <v>53</v>
      </c>
      <c r="AC55" s="74">
        <f t="shared" si="10"/>
        <v>1</v>
      </c>
      <c r="AD55" s="74">
        <f t="shared" si="11"/>
        <v>590</v>
      </c>
      <c r="AE55" s="74">
        <f t="shared" si="12"/>
        <v>112</v>
      </c>
      <c r="AF55" s="74">
        <f t="shared" si="13"/>
        <v>96</v>
      </c>
      <c r="AG55" s="74">
        <f t="shared" si="14"/>
        <v>24</v>
      </c>
      <c r="AH55" s="74">
        <f t="shared" si="15"/>
        <v>24</v>
      </c>
      <c r="AI55" s="74">
        <f t="shared" si="16"/>
        <v>53</v>
      </c>
      <c r="AJ55" s="74">
        <f t="shared" si="17"/>
        <v>1</v>
      </c>
      <c r="AK55" s="74">
        <f t="shared" si="18"/>
        <v>0</v>
      </c>
      <c r="AL55" s="4">
        <f t="shared" si="19"/>
        <v>2782</v>
      </c>
    </row>
    <row r="56" spans="17:38">
      <c r="Q56" s="38">
        <v>54</v>
      </c>
      <c r="R56" s="38" t="s">
        <v>93</v>
      </c>
      <c r="S56" s="56">
        <f t="shared" si="3"/>
        <v>606.65</v>
      </c>
      <c r="T56" s="56">
        <f t="shared" si="4"/>
        <v>115.815</v>
      </c>
      <c r="U56" s="56">
        <f t="shared" si="5"/>
        <v>99.2699999999999</v>
      </c>
      <c r="V56" s="56">
        <f t="shared" si="6"/>
        <v>24.8175</v>
      </c>
      <c r="W56" s="56">
        <f t="shared" si="7"/>
        <v>24.8175</v>
      </c>
      <c r="X56" s="56">
        <f t="shared" si="8"/>
        <v>55.15</v>
      </c>
      <c r="Y56" s="4">
        <v>1</v>
      </c>
      <c r="Z56" s="4">
        <v>0</v>
      </c>
      <c r="AB56" s="74">
        <f t="shared" si="9"/>
        <v>54</v>
      </c>
      <c r="AC56" s="74">
        <f t="shared" si="10"/>
        <v>1</v>
      </c>
      <c r="AD56" s="74">
        <f t="shared" si="11"/>
        <v>606</v>
      </c>
      <c r="AE56" s="74">
        <f t="shared" si="12"/>
        <v>115</v>
      </c>
      <c r="AF56" s="74">
        <f t="shared" si="13"/>
        <v>99</v>
      </c>
      <c r="AG56" s="74">
        <f t="shared" si="14"/>
        <v>24</v>
      </c>
      <c r="AH56" s="74">
        <f t="shared" si="15"/>
        <v>24</v>
      </c>
      <c r="AI56" s="74">
        <f t="shared" si="16"/>
        <v>55</v>
      </c>
      <c r="AJ56" s="74">
        <f t="shared" si="17"/>
        <v>1</v>
      </c>
      <c r="AK56" s="74">
        <f t="shared" si="18"/>
        <v>0</v>
      </c>
      <c r="AL56" s="4">
        <f t="shared" si="19"/>
        <v>2867</v>
      </c>
    </row>
    <row r="57" spans="17:38">
      <c r="Q57" s="38">
        <v>55</v>
      </c>
      <c r="R57" s="38" t="s">
        <v>93</v>
      </c>
      <c r="S57" s="56">
        <f t="shared" si="3"/>
        <v>623.15</v>
      </c>
      <c r="T57" s="56">
        <f t="shared" si="4"/>
        <v>118.965</v>
      </c>
      <c r="U57" s="56">
        <f t="shared" si="5"/>
        <v>101.97</v>
      </c>
      <c r="V57" s="56">
        <f t="shared" si="6"/>
        <v>25.4925</v>
      </c>
      <c r="W57" s="56">
        <f t="shared" si="7"/>
        <v>25.4925</v>
      </c>
      <c r="X57" s="56">
        <f t="shared" si="8"/>
        <v>56.65</v>
      </c>
      <c r="Y57" s="4">
        <v>1</v>
      </c>
      <c r="Z57" s="4">
        <v>0</v>
      </c>
      <c r="AB57" s="74">
        <f t="shared" si="9"/>
        <v>55</v>
      </c>
      <c r="AC57" s="74">
        <f t="shared" si="10"/>
        <v>1</v>
      </c>
      <c r="AD57" s="74">
        <f t="shared" si="11"/>
        <v>623</v>
      </c>
      <c r="AE57" s="74">
        <f t="shared" si="12"/>
        <v>118</v>
      </c>
      <c r="AF57" s="74">
        <f t="shared" si="13"/>
        <v>101</v>
      </c>
      <c r="AG57" s="74">
        <f t="shared" si="14"/>
        <v>25</v>
      </c>
      <c r="AH57" s="74">
        <f t="shared" si="15"/>
        <v>25</v>
      </c>
      <c r="AI57" s="74">
        <f t="shared" si="16"/>
        <v>56</v>
      </c>
      <c r="AJ57" s="74">
        <f t="shared" si="17"/>
        <v>1</v>
      </c>
      <c r="AK57" s="74">
        <f t="shared" si="18"/>
        <v>0</v>
      </c>
      <c r="AL57" s="4">
        <f t="shared" si="19"/>
        <v>2934</v>
      </c>
    </row>
    <row r="58" spans="17:38">
      <c r="Q58" s="38">
        <v>56</v>
      </c>
      <c r="R58" s="38" t="s">
        <v>93</v>
      </c>
      <c r="S58" s="56">
        <f t="shared" si="3"/>
        <v>639.65</v>
      </c>
      <c r="T58" s="56">
        <f t="shared" si="4"/>
        <v>122.115</v>
      </c>
      <c r="U58" s="56">
        <f t="shared" si="5"/>
        <v>104.67</v>
      </c>
      <c r="V58" s="56">
        <f t="shared" si="6"/>
        <v>26.1675</v>
      </c>
      <c r="W58" s="56">
        <f t="shared" si="7"/>
        <v>26.1675</v>
      </c>
      <c r="X58" s="56">
        <f t="shared" si="8"/>
        <v>58.15</v>
      </c>
      <c r="Y58" s="4">
        <v>1</v>
      </c>
      <c r="Z58" s="4">
        <v>0</v>
      </c>
      <c r="AB58" s="74">
        <f t="shared" si="9"/>
        <v>56</v>
      </c>
      <c r="AC58" s="74">
        <f t="shared" si="10"/>
        <v>1</v>
      </c>
      <c r="AD58" s="74">
        <f t="shared" si="11"/>
        <v>639</v>
      </c>
      <c r="AE58" s="74">
        <f t="shared" si="12"/>
        <v>122</v>
      </c>
      <c r="AF58" s="74">
        <f t="shared" si="13"/>
        <v>104</v>
      </c>
      <c r="AG58" s="74">
        <f t="shared" si="14"/>
        <v>26</v>
      </c>
      <c r="AH58" s="74">
        <f t="shared" si="15"/>
        <v>26</v>
      </c>
      <c r="AI58" s="74">
        <f t="shared" si="16"/>
        <v>58</v>
      </c>
      <c r="AJ58" s="74">
        <f t="shared" si="17"/>
        <v>1</v>
      </c>
      <c r="AK58" s="74">
        <f t="shared" si="18"/>
        <v>0</v>
      </c>
      <c r="AL58" s="4">
        <f t="shared" si="19"/>
        <v>3020</v>
      </c>
    </row>
    <row r="59" spans="17:38">
      <c r="Q59" s="38">
        <v>57</v>
      </c>
      <c r="R59" s="38" t="s">
        <v>93</v>
      </c>
      <c r="S59" s="56">
        <f t="shared" si="3"/>
        <v>656.15</v>
      </c>
      <c r="T59" s="56">
        <f t="shared" si="4"/>
        <v>125.265</v>
      </c>
      <c r="U59" s="56">
        <f t="shared" si="5"/>
        <v>107.37</v>
      </c>
      <c r="V59" s="56">
        <f t="shared" si="6"/>
        <v>26.8425</v>
      </c>
      <c r="W59" s="56">
        <f t="shared" si="7"/>
        <v>26.8425</v>
      </c>
      <c r="X59" s="56">
        <f t="shared" si="8"/>
        <v>59.65</v>
      </c>
      <c r="Y59" s="4">
        <v>1</v>
      </c>
      <c r="Z59" s="4">
        <v>0</v>
      </c>
      <c r="AB59" s="74">
        <f t="shared" si="9"/>
        <v>57</v>
      </c>
      <c r="AC59" s="74">
        <f t="shared" si="10"/>
        <v>1</v>
      </c>
      <c r="AD59" s="74">
        <f t="shared" si="11"/>
        <v>656</v>
      </c>
      <c r="AE59" s="74">
        <f t="shared" si="12"/>
        <v>125</v>
      </c>
      <c r="AF59" s="74">
        <f t="shared" si="13"/>
        <v>107</v>
      </c>
      <c r="AG59" s="74">
        <f t="shared" si="14"/>
        <v>26</v>
      </c>
      <c r="AH59" s="74">
        <f t="shared" si="15"/>
        <v>26</v>
      </c>
      <c r="AI59" s="74">
        <f t="shared" si="16"/>
        <v>59</v>
      </c>
      <c r="AJ59" s="74">
        <f t="shared" si="17"/>
        <v>1</v>
      </c>
      <c r="AK59" s="74">
        <f t="shared" si="18"/>
        <v>0</v>
      </c>
      <c r="AL59" s="4">
        <f t="shared" si="19"/>
        <v>3097</v>
      </c>
    </row>
    <row r="60" spans="17:38">
      <c r="Q60" s="38">
        <v>58</v>
      </c>
      <c r="R60" s="38" t="s">
        <v>93</v>
      </c>
      <c r="S60" s="56">
        <f t="shared" si="3"/>
        <v>672.65</v>
      </c>
      <c r="T60" s="56">
        <f t="shared" si="4"/>
        <v>128.415</v>
      </c>
      <c r="U60" s="56">
        <f t="shared" si="5"/>
        <v>110.07</v>
      </c>
      <c r="V60" s="56">
        <f t="shared" si="6"/>
        <v>27.5175</v>
      </c>
      <c r="W60" s="56">
        <f t="shared" si="7"/>
        <v>27.5175</v>
      </c>
      <c r="X60" s="56">
        <f t="shared" si="8"/>
        <v>61.15</v>
      </c>
      <c r="Y60" s="4">
        <v>1</v>
      </c>
      <c r="Z60" s="4">
        <v>0</v>
      </c>
      <c r="AB60" s="74">
        <f t="shared" si="9"/>
        <v>58</v>
      </c>
      <c r="AC60" s="74">
        <f t="shared" si="10"/>
        <v>1</v>
      </c>
      <c r="AD60" s="74">
        <f t="shared" si="11"/>
        <v>672</v>
      </c>
      <c r="AE60" s="74">
        <f t="shared" si="12"/>
        <v>128</v>
      </c>
      <c r="AF60" s="74">
        <f t="shared" si="13"/>
        <v>110</v>
      </c>
      <c r="AG60" s="74">
        <f t="shared" si="14"/>
        <v>27</v>
      </c>
      <c r="AH60" s="74">
        <f t="shared" si="15"/>
        <v>27</v>
      </c>
      <c r="AI60" s="74">
        <f t="shared" si="16"/>
        <v>61</v>
      </c>
      <c r="AJ60" s="74">
        <f t="shared" si="17"/>
        <v>1</v>
      </c>
      <c r="AK60" s="74">
        <f t="shared" si="18"/>
        <v>0</v>
      </c>
      <c r="AL60" s="4">
        <f t="shared" si="19"/>
        <v>3182</v>
      </c>
    </row>
    <row r="61" spans="17:38">
      <c r="Q61" s="38">
        <v>59</v>
      </c>
      <c r="R61" s="38" t="s">
        <v>93</v>
      </c>
      <c r="S61" s="56">
        <f t="shared" si="3"/>
        <v>689.15</v>
      </c>
      <c r="T61" s="56">
        <f t="shared" si="4"/>
        <v>131.565</v>
      </c>
      <c r="U61" s="56">
        <f t="shared" si="5"/>
        <v>112.77</v>
      </c>
      <c r="V61" s="56">
        <f t="shared" si="6"/>
        <v>28.1925</v>
      </c>
      <c r="W61" s="56">
        <f t="shared" si="7"/>
        <v>28.1925</v>
      </c>
      <c r="X61" s="56">
        <f t="shared" si="8"/>
        <v>62.65</v>
      </c>
      <c r="Y61" s="4">
        <v>1</v>
      </c>
      <c r="Z61" s="4">
        <v>0</v>
      </c>
      <c r="AB61" s="74">
        <f t="shared" si="9"/>
        <v>59</v>
      </c>
      <c r="AC61" s="74">
        <f t="shared" si="10"/>
        <v>1</v>
      </c>
      <c r="AD61" s="74">
        <f t="shared" si="11"/>
        <v>689</v>
      </c>
      <c r="AE61" s="74">
        <f t="shared" si="12"/>
        <v>131</v>
      </c>
      <c r="AF61" s="74">
        <f t="shared" si="13"/>
        <v>112</v>
      </c>
      <c r="AG61" s="74">
        <f t="shared" si="14"/>
        <v>28</v>
      </c>
      <c r="AH61" s="74">
        <f t="shared" si="15"/>
        <v>28</v>
      </c>
      <c r="AI61" s="74">
        <f t="shared" si="16"/>
        <v>62</v>
      </c>
      <c r="AJ61" s="74">
        <f t="shared" si="17"/>
        <v>1</v>
      </c>
      <c r="AK61" s="74">
        <f t="shared" si="18"/>
        <v>0</v>
      </c>
      <c r="AL61" s="4">
        <f t="shared" si="19"/>
        <v>3249</v>
      </c>
    </row>
    <row r="62" spans="17:38">
      <c r="Q62" s="38">
        <v>60</v>
      </c>
      <c r="R62" s="38" t="s">
        <v>93</v>
      </c>
      <c r="S62" s="56">
        <f t="shared" si="3"/>
        <v>705.65</v>
      </c>
      <c r="T62" s="56">
        <f t="shared" si="4"/>
        <v>134.715</v>
      </c>
      <c r="U62" s="56">
        <f t="shared" si="5"/>
        <v>115.47</v>
      </c>
      <c r="V62" s="56">
        <f t="shared" si="6"/>
        <v>28.8675</v>
      </c>
      <c r="W62" s="56">
        <f t="shared" si="7"/>
        <v>28.8675</v>
      </c>
      <c r="X62" s="56">
        <f t="shared" si="8"/>
        <v>64.15</v>
      </c>
      <c r="Y62" s="4">
        <v>1</v>
      </c>
      <c r="Z62" s="4">
        <v>0</v>
      </c>
      <c r="AB62" s="74">
        <f t="shared" si="9"/>
        <v>60</v>
      </c>
      <c r="AC62" s="74">
        <f t="shared" si="10"/>
        <v>1</v>
      </c>
      <c r="AD62" s="74">
        <f t="shared" si="11"/>
        <v>705</v>
      </c>
      <c r="AE62" s="74">
        <f t="shared" si="12"/>
        <v>134</v>
      </c>
      <c r="AF62" s="74">
        <f t="shared" si="13"/>
        <v>115</v>
      </c>
      <c r="AG62" s="74">
        <f t="shared" si="14"/>
        <v>28</v>
      </c>
      <c r="AH62" s="74">
        <f t="shared" si="15"/>
        <v>28</v>
      </c>
      <c r="AI62" s="74">
        <f t="shared" si="16"/>
        <v>64</v>
      </c>
      <c r="AJ62" s="74">
        <f t="shared" si="17"/>
        <v>1</v>
      </c>
      <c r="AK62" s="74">
        <f t="shared" si="18"/>
        <v>0</v>
      </c>
      <c r="AL62" s="4">
        <f t="shared" si="19"/>
        <v>3334</v>
      </c>
    </row>
    <row r="63" spans="17:38">
      <c r="Q63" s="38">
        <v>61</v>
      </c>
      <c r="R63" s="38" t="s">
        <v>93</v>
      </c>
      <c r="S63" s="56">
        <f t="shared" si="3"/>
        <v>725.45</v>
      </c>
      <c r="T63" s="56">
        <f t="shared" si="4"/>
        <v>138.495</v>
      </c>
      <c r="U63" s="56">
        <f t="shared" si="5"/>
        <v>118.71</v>
      </c>
      <c r="V63" s="56">
        <f t="shared" si="6"/>
        <v>29.6775</v>
      </c>
      <c r="W63" s="56">
        <f t="shared" si="7"/>
        <v>29.6775</v>
      </c>
      <c r="X63" s="56">
        <f t="shared" si="8"/>
        <v>65.95</v>
      </c>
      <c r="Y63" s="4">
        <v>1</v>
      </c>
      <c r="Z63" s="4">
        <v>0</v>
      </c>
      <c r="AB63" s="74">
        <f t="shared" si="9"/>
        <v>61</v>
      </c>
      <c r="AC63" s="74">
        <f t="shared" si="10"/>
        <v>1</v>
      </c>
      <c r="AD63" s="74">
        <f t="shared" si="11"/>
        <v>725</v>
      </c>
      <c r="AE63" s="74">
        <f t="shared" si="12"/>
        <v>138</v>
      </c>
      <c r="AF63" s="74">
        <f t="shared" si="13"/>
        <v>118</v>
      </c>
      <c r="AG63" s="74">
        <f t="shared" si="14"/>
        <v>29</v>
      </c>
      <c r="AH63" s="74">
        <f t="shared" si="15"/>
        <v>29</v>
      </c>
      <c r="AI63" s="74">
        <f t="shared" si="16"/>
        <v>65</v>
      </c>
      <c r="AJ63" s="74">
        <f t="shared" si="17"/>
        <v>1</v>
      </c>
      <c r="AK63" s="74">
        <f t="shared" si="18"/>
        <v>0</v>
      </c>
      <c r="AL63" s="4">
        <f t="shared" si="19"/>
        <v>3418</v>
      </c>
    </row>
    <row r="64" spans="17:38">
      <c r="Q64" s="38">
        <v>62</v>
      </c>
      <c r="R64" s="38" t="s">
        <v>93</v>
      </c>
      <c r="S64" s="56">
        <f t="shared" si="3"/>
        <v>745.25</v>
      </c>
      <c r="T64" s="56">
        <f t="shared" si="4"/>
        <v>142.275</v>
      </c>
      <c r="U64" s="56">
        <f t="shared" si="5"/>
        <v>121.95</v>
      </c>
      <c r="V64" s="56">
        <f t="shared" si="6"/>
        <v>30.4875</v>
      </c>
      <c r="W64" s="56">
        <f t="shared" si="7"/>
        <v>30.4875</v>
      </c>
      <c r="X64" s="56">
        <f t="shared" si="8"/>
        <v>67.75</v>
      </c>
      <c r="Y64" s="4">
        <v>1</v>
      </c>
      <c r="Z64" s="4">
        <v>0</v>
      </c>
      <c r="AB64" s="74">
        <f t="shared" si="9"/>
        <v>62</v>
      </c>
      <c r="AC64" s="74">
        <f t="shared" si="10"/>
        <v>1</v>
      </c>
      <c r="AD64" s="74">
        <f t="shared" si="11"/>
        <v>745</v>
      </c>
      <c r="AE64" s="74">
        <f t="shared" si="12"/>
        <v>142</v>
      </c>
      <c r="AF64" s="74">
        <f t="shared" si="13"/>
        <v>121</v>
      </c>
      <c r="AG64" s="74">
        <f t="shared" si="14"/>
        <v>30</v>
      </c>
      <c r="AH64" s="74">
        <f t="shared" si="15"/>
        <v>30</v>
      </c>
      <c r="AI64" s="74">
        <f t="shared" si="16"/>
        <v>67</v>
      </c>
      <c r="AJ64" s="74">
        <f t="shared" si="17"/>
        <v>1</v>
      </c>
      <c r="AK64" s="74">
        <f t="shared" si="18"/>
        <v>0</v>
      </c>
      <c r="AL64" s="4">
        <f t="shared" si="19"/>
        <v>3512</v>
      </c>
    </row>
    <row r="65" spans="17:38">
      <c r="Q65" s="38">
        <v>63</v>
      </c>
      <c r="R65" s="38" t="s">
        <v>93</v>
      </c>
      <c r="S65" s="56">
        <f t="shared" si="3"/>
        <v>765.05</v>
      </c>
      <c r="T65" s="56">
        <f t="shared" si="4"/>
        <v>146.055</v>
      </c>
      <c r="U65" s="56">
        <f t="shared" si="5"/>
        <v>125.19</v>
      </c>
      <c r="V65" s="56">
        <f t="shared" si="6"/>
        <v>31.2975</v>
      </c>
      <c r="W65" s="56">
        <f t="shared" si="7"/>
        <v>31.2975</v>
      </c>
      <c r="X65" s="56">
        <f t="shared" si="8"/>
        <v>69.55</v>
      </c>
      <c r="Y65" s="4">
        <v>1</v>
      </c>
      <c r="Z65" s="4">
        <v>0</v>
      </c>
      <c r="AB65" s="74">
        <f t="shared" si="9"/>
        <v>63</v>
      </c>
      <c r="AC65" s="74">
        <f t="shared" si="10"/>
        <v>1</v>
      </c>
      <c r="AD65" s="74">
        <f t="shared" si="11"/>
        <v>765</v>
      </c>
      <c r="AE65" s="74">
        <f t="shared" si="12"/>
        <v>146</v>
      </c>
      <c r="AF65" s="74">
        <f t="shared" si="13"/>
        <v>125</v>
      </c>
      <c r="AG65" s="74">
        <f t="shared" si="14"/>
        <v>31</v>
      </c>
      <c r="AH65" s="74">
        <f t="shared" si="15"/>
        <v>31</v>
      </c>
      <c r="AI65" s="74">
        <f t="shared" si="16"/>
        <v>69</v>
      </c>
      <c r="AJ65" s="74">
        <f t="shared" si="17"/>
        <v>1</v>
      </c>
      <c r="AK65" s="74">
        <f t="shared" si="18"/>
        <v>0</v>
      </c>
      <c r="AL65" s="4">
        <f t="shared" si="19"/>
        <v>3616</v>
      </c>
    </row>
    <row r="66" spans="17:38">
      <c r="Q66" s="38">
        <v>64</v>
      </c>
      <c r="R66" s="38" t="s">
        <v>93</v>
      </c>
      <c r="S66" s="56">
        <f t="shared" si="3"/>
        <v>784.85</v>
      </c>
      <c r="T66" s="56">
        <f t="shared" si="4"/>
        <v>149.835</v>
      </c>
      <c r="U66" s="56">
        <f t="shared" si="5"/>
        <v>128.43</v>
      </c>
      <c r="V66" s="56">
        <f t="shared" si="6"/>
        <v>32.1075</v>
      </c>
      <c r="W66" s="56">
        <f t="shared" si="7"/>
        <v>32.1075</v>
      </c>
      <c r="X66" s="56">
        <f t="shared" si="8"/>
        <v>71.35</v>
      </c>
      <c r="Y66" s="4">
        <v>1</v>
      </c>
      <c r="Z66" s="4">
        <v>0</v>
      </c>
      <c r="AB66" s="74">
        <f t="shared" si="9"/>
        <v>64</v>
      </c>
      <c r="AC66" s="74">
        <f t="shared" si="10"/>
        <v>1</v>
      </c>
      <c r="AD66" s="74">
        <f t="shared" si="11"/>
        <v>784</v>
      </c>
      <c r="AE66" s="74">
        <f t="shared" si="12"/>
        <v>149</v>
      </c>
      <c r="AF66" s="74">
        <f t="shared" si="13"/>
        <v>128</v>
      </c>
      <c r="AG66" s="74">
        <f t="shared" si="14"/>
        <v>32</v>
      </c>
      <c r="AH66" s="74">
        <f t="shared" si="15"/>
        <v>32</v>
      </c>
      <c r="AI66" s="74">
        <f t="shared" si="16"/>
        <v>71</v>
      </c>
      <c r="AJ66" s="74">
        <f t="shared" si="17"/>
        <v>1</v>
      </c>
      <c r="AK66" s="74">
        <f t="shared" si="18"/>
        <v>0</v>
      </c>
      <c r="AL66" s="4">
        <f t="shared" si="19"/>
        <v>3707</v>
      </c>
    </row>
    <row r="67" spans="17:38">
      <c r="Q67" s="38">
        <v>65</v>
      </c>
      <c r="R67" s="38" t="s">
        <v>93</v>
      </c>
      <c r="S67" s="56">
        <f t="shared" si="3"/>
        <v>804.65</v>
      </c>
      <c r="T67" s="56">
        <f t="shared" si="4"/>
        <v>153.615</v>
      </c>
      <c r="U67" s="56">
        <f t="shared" si="5"/>
        <v>131.67</v>
      </c>
      <c r="V67" s="56">
        <f t="shared" si="6"/>
        <v>32.9175</v>
      </c>
      <c r="W67" s="56">
        <f t="shared" si="7"/>
        <v>32.9175</v>
      </c>
      <c r="X67" s="56">
        <f t="shared" si="8"/>
        <v>73.15</v>
      </c>
      <c r="Y67" s="4">
        <v>1</v>
      </c>
      <c r="Z67" s="4">
        <v>0</v>
      </c>
      <c r="AB67" s="74">
        <f t="shared" si="9"/>
        <v>65</v>
      </c>
      <c r="AC67" s="74">
        <f t="shared" si="10"/>
        <v>1</v>
      </c>
      <c r="AD67" s="74">
        <f t="shared" si="11"/>
        <v>804</v>
      </c>
      <c r="AE67" s="74">
        <f t="shared" si="12"/>
        <v>153</v>
      </c>
      <c r="AF67" s="74">
        <f t="shared" si="13"/>
        <v>131</v>
      </c>
      <c r="AG67" s="74">
        <f t="shared" si="14"/>
        <v>32</v>
      </c>
      <c r="AH67" s="74">
        <f t="shared" si="15"/>
        <v>32</v>
      </c>
      <c r="AI67" s="74">
        <f t="shared" si="16"/>
        <v>73</v>
      </c>
      <c r="AJ67" s="74">
        <f t="shared" si="17"/>
        <v>1</v>
      </c>
      <c r="AK67" s="74">
        <f t="shared" si="18"/>
        <v>0</v>
      </c>
      <c r="AL67" s="4">
        <f t="shared" si="19"/>
        <v>3801</v>
      </c>
    </row>
    <row r="68" spans="17:38">
      <c r="Q68" s="38">
        <v>66</v>
      </c>
      <c r="R68" s="38" t="s">
        <v>93</v>
      </c>
      <c r="S68" s="56">
        <f t="shared" ref="S68:S131" si="31">IF($Q68=1,(D$3*VLOOKUP($R68,$C$4:$K$6,S$1,0)*LOOKUP($Q68,$M$8:$M$16,$O$8:$O$16)),(D$3*VLOOKUP($R68,$C$4:$K$6,S$1,0)*LOOKUP($Q68,$M$8:$M$16,$O$8:$O$16)+S67))</f>
        <v>824.45</v>
      </c>
      <c r="T68" s="56">
        <f t="shared" ref="T68:T131" si="32">IF($Q68=1,(E$3*VLOOKUP($R68,$C$4:$K$6,T$1,0)*LOOKUP($Q68,$M$8:$M$16,$O$8:$O$16)),(E$3*VLOOKUP($R68,$C$4:$K$6,T$1,0)*LOOKUP($Q68,$M$8:$M$16,$O$8:$O$16)+T67))</f>
        <v>157.395</v>
      </c>
      <c r="U68" s="56">
        <f t="shared" ref="U68:U131" si="33">IF($Q68=1,(F$3*VLOOKUP($R68,$C$4:$K$6,U$1,0)*LOOKUP($Q68,$M$8:$M$16,$O$8:$O$16)),(F$3*VLOOKUP($R68,$C$4:$K$6,U$1,0)*LOOKUP($Q68,$M$8:$M$16,$O$8:$O$16)+U67))</f>
        <v>134.91</v>
      </c>
      <c r="V68" s="56">
        <f t="shared" ref="V68:V131" si="34">IF($Q68=1,(G$3*VLOOKUP($R68,$C$4:$K$6,V$1,0)*LOOKUP($Q68,$M$8:$M$16,$O$8:$O$16)),(G$3*VLOOKUP($R68,$C$4:$K$6,V$1,0)*LOOKUP($Q68,$M$8:$M$16,$O$8:$O$16)+V67))</f>
        <v>33.7275</v>
      </c>
      <c r="W68" s="56">
        <f t="shared" ref="W68:W131" si="35">IF($Q68=1,(H$3*VLOOKUP($R68,$C$4:$K$6,W$1,0)*LOOKUP($Q68,$M$8:$M$16,$O$8:$O$16)),(H$3*VLOOKUP($R68,$C$4:$K$6,W$1,0)*LOOKUP($Q68,$M$8:$M$16,$O$8:$O$16)+W67))</f>
        <v>33.7275</v>
      </c>
      <c r="X68" s="56">
        <f t="shared" ref="X68:X131" si="36">IF($Q68=1,(I$3*VLOOKUP($R68,$C$4:$K$6,X$1,0)*LOOKUP($Q68,$M$8:$M$16,$O$8:$O$16)),(I$3*VLOOKUP($R68,$C$4:$K$6,X$1,0)*LOOKUP($Q68,$M$8:$M$16,$O$8:$O$16)+X67))</f>
        <v>74.95</v>
      </c>
      <c r="Y68" s="4">
        <v>1</v>
      </c>
      <c r="Z68" s="4">
        <v>0</v>
      </c>
      <c r="AB68" s="74">
        <f t="shared" ref="AB68:AB131" si="37">Q68</f>
        <v>66</v>
      </c>
      <c r="AC68" s="74">
        <f t="shared" ref="AC68:AC131" si="38">VLOOKUP(R68,$M$4:$N$6,2,0)</f>
        <v>1</v>
      </c>
      <c r="AD68" s="74">
        <f t="shared" ref="AD68:AD131" si="39">INT(S68)</f>
        <v>824</v>
      </c>
      <c r="AE68" s="74">
        <f t="shared" ref="AE68:AE131" si="40">INT(T68)</f>
        <v>157</v>
      </c>
      <c r="AF68" s="74">
        <f t="shared" ref="AF68:AF131" si="41">INT(U68)</f>
        <v>134</v>
      </c>
      <c r="AG68" s="74">
        <f t="shared" ref="AG68:AG131" si="42">INT(V68)</f>
        <v>33</v>
      </c>
      <c r="AH68" s="74">
        <f t="shared" ref="AH68:AH131" si="43">INT(W68)</f>
        <v>33</v>
      </c>
      <c r="AI68" s="74">
        <f t="shared" ref="AI68:AI131" si="44">INT(X68)</f>
        <v>74</v>
      </c>
      <c r="AJ68" s="74">
        <f t="shared" ref="AJ68:AJ131" si="45">INT(Y68)</f>
        <v>1</v>
      </c>
      <c r="AK68" s="74">
        <f t="shared" ref="AK68:AK131" si="46">INT(Z68)</f>
        <v>0</v>
      </c>
      <c r="AL68" s="4">
        <f t="shared" ref="AL68:AL131" si="47">$AD$1*AD68+$AE$1*AE68+MAX($AF$1:$AH$1)*MAX(AF68:AH68)+$AI$1*AI68</f>
        <v>3885</v>
      </c>
    </row>
    <row r="69" spans="17:38">
      <c r="Q69" s="38">
        <v>67</v>
      </c>
      <c r="R69" s="38" t="s">
        <v>93</v>
      </c>
      <c r="S69" s="56">
        <f t="shared" si="31"/>
        <v>844.25</v>
      </c>
      <c r="T69" s="56">
        <f t="shared" si="32"/>
        <v>161.175</v>
      </c>
      <c r="U69" s="56">
        <f t="shared" si="33"/>
        <v>138.15</v>
      </c>
      <c r="V69" s="56">
        <f t="shared" si="34"/>
        <v>34.5375</v>
      </c>
      <c r="W69" s="56">
        <f t="shared" si="35"/>
        <v>34.5375</v>
      </c>
      <c r="X69" s="56">
        <f t="shared" si="36"/>
        <v>76.75</v>
      </c>
      <c r="Y69" s="4">
        <v>1</v>
      </c>
      <c r="Z69" s="4">
        <v>0</v>
      </c>
      <c r="AB69" s="74">
        <f t="shared" si="37"/>
        <v>67</v>
      </c>
      <c r="AC69" s="74">
        <f t="shared" si="38"/>
        <v>1</v>
      </c>
      <c r="AD69" s="74">
        <f t="shared" si="39"/>
        <v>844</v>
      </c>
      <c r="AE69" s="74">
        <f t="shared" si="40"/>
        <v>161</v>
      </c>
      <c r="AF69" s="74">
        <f t="shared" si="41"/>
        <v>138</v>
      </c>
      <c r="AG69" s="74">
        <f t="shared" si="42"/>
        <v>34</v>
      </c>
      <c r="AH69" s="74">
        <f t="shared" si="43"/>
        <v>34</v>
      </c>
      <c r="AI69" s="74">
        <f t="shared" si="44"/>
        <v>76</v>
      </c>
      <c r="AJ69" s="74">
        <f t="shared" si="45"/>
        <v>1</v>
      </c>
      <c r="AK69" s="74">
        <f t="shared" si="46"/>
        <v>0</v>
      </c>
      <c r="AL69" s="4">
        <f t="shared" si="47"/>
        <v>3989</v>
      </c>
    </row>
    <row r="70" spans="17:38">
      <c r="Q70" s="38">
        <v>68</v>
      </c>
      <c r="R70" s="38" t="s">
        <v>93</v>
      </c>
      <c r="S70" s="56">
        <f t="shared" si="31"/>
        <v>864.05</v>
      </c>
      <c r="T70" s="56">
        <f t="shared" si="32"/>
        <v>164.955</v>
      </c>
      <c r="U70" s="56">
        <f t="shared" si="33"/>
        <v>141.39</v>
      </c>
      <c r="V70" s="56">
        <f t="shared" si="34"/>
        <v>35.3475</v>
      </c>
      <c r="W70" s="56">
        <f t="shared" si="35"/>
        <v>35.3475</v>
      </c>
      <c r="X70" s="56">
        <f t="shared" si="36"/>
        <v>78.55</v>
      </c>
      <c r="Y70" s="4">
        <v>1</v>
      </c>
      <c r="Z70" s="4">
        <v>0</v>
      </c>
      <c r="AB70" s="74">
        <f t="shared" si="37"/>
        <v>68</v>
      </c>
      <c r="AC70" s="74">
        <f t="shared" si="38"/>
        <v>1</v>
      </c>
      <c r="AD70" s="74">
        <f t="shared" si="39"/>
        <v>864</v>
      </c>
      <c r="AE70" s="74">
        <f t="shared" si="40"/>
        <v>164</v>
      </c>
      <c r="AF70" s="74">
        <f t="shared" si="41"/>
        <v>141</v>
      </c>
      <c r="AG70" s="74">
        <f t="shared" si="42"/>
        <v>35</v>
      </c>
      <c r="AH70" s="74">
        <f t="shared" si="43"/>
        <v>35</v>
      </c>
      <c r="AI70" s="74">
        <f t="shared" si="44"/>
        <v>78</v>
      </c>
      <c r="AJ70" s="74">
        <f t="shared" si="45"/>
        <v>1</v>
      </c>
      <c r="AK70" s="74">
        <f t="shared" si="46"/>
        <v>0</v>
      </c>
      <c r="AL70" s="4">
        <f t="shared" si="47"/>
        <v>4082</v>
      </c>
    </row>
    <row r="71" spans="17:38">
      <c r="Q71" s="38">
        <v>69</v>
      </c>
      <c r="R71" s="38" t="s">
        <v>93</v>
      </c>
      <c r="S71" s="56">
        <f t="shared" si="31"/>
        <v>883.85</v>
      </c>
      <c r="T71" s="56">
        <f t="shared" si="32"/>
        <v>168.735</v>
      </c>
      <c r="U71" s="56">
        <f t="shared" si="33"/>
        <v>144.63</v>
      </c>
      <c r="V71" s="56">
        <f t="shared" si="34"/>
        <v>36.1575</v>
      </c>
      <c r="W71" s="56">
        <f t="shared" si="35"/>
        <v>36.1575</v>
      </c>
      <c r="X71" s="56">
        <f t="shared" si="36"/>
        <v>80.35</v>
      </c>
      <c r="Y71" s="4">
        <v>1</v>
      </c>
      <c r="Z71" s="4">
        <v>0</v>
      </c>
      <c r="AB71" s="74">
        <f t="shared" si="37"/>
        <v>69</v>
      </c>
      <c r="AC71" s="74">
        <f t="shared" si="38"/>
        <v>1</v>
      </c>
      <c r="AD71" s="74">
        <f t="shared" si="39"/>
        <v>883</v>
      </c>
      <c r="AE71" s="74">
        <f t="shared" si="40"/>
        <v>168</v>
      </c>
      <c r="AF71" s="74">
        <f t="shared" si="41"/>
        <v>144</v>
      </c>
      <c r="AG71" s="74">
        <f t="shared" si="42"/>
        <v>36</v>
      </c>
      <c r="AH71" s="74">
        <f t="shared" si="43"/>
        <v>36</v>
      </c>
      <c r="AI71" s="74">
        <f t="shared" si="44"/>
        <v>80</v>
      </c>
      <c r="AJ71" s="74">
        <f t="shared" si="45"/>
        <v>1</v>
      </c>
      <c r="AK71" s="74">
        <f t="shared" si="46"/>
        <v>0</v>
      </c>
      <c r="AL71" s="4">
        <f t="shared" si="47"/>
        <v>4174</v>
      </c>
    </row>
    <row r="72" spans="17:38">
      <c r="Q72" s="38">
        <v>70</v>
      </c>
      <c r="R72" s="38" t="s">
        <v>93</v>
      </c>
      <c r="S72" s="56">
        <f t="shared" si="31"/>
        <v>903.65</v>
      </c>
      <c r="T72" s="56">
        <f t="shared" si="32"/>
        <v>172.515</v>
      </c>
      <c r="U72" s="56">
        <f t="shared" si="33"/>
        <v>147.87</v>
      </c>
      <c r="V72" s="56">
        <f t="shared" si="34"/>
        <v>36.9675</v>
      </c>
      <c r="W72" s="56">
        <f t="shared" si="35"/>
        <v>36.9675</v>
      </c>
      <c r="X72" s="56">
        <f t="shared" si="36"/>
        <v>82.15</v>
      </c>
      <c r="Y72" s="4">
        <v>1</v>
      </c>
      <c r="Z72" s="4">
        <v>0</v>
      </c>
      <c r="AB72" s="74">
        <f t="shared" si="37"/>
        <v>70</v>
      </c>
      <c r="AC72" s="74">
        <f t="shared" si="38"/>
        <v>1</v>
      </c>
      <c r="AD72" s="74">
        <f t="shared" si="39"/>
        <v>903</v>
      </c>
      <c r="AE72" s="74">
        <f t="shared" si="40"/>
        <v>172</v>
      </c>
      <c r="AF72" s="74">
        <f t="shared" si="41"/>
        <v>147</v>
      </c>
      <c r="AG72" s="74">
        <f t="shared" si="42"/>
        <v>36</v>
      </c>
      <c r="AH72" s="74">
        <f t="shared" si="43"/>
        <v>36</v>
      </c>
      <c r="AI72" s="74">
        <f t="shared" si="44"/>
        <v>82</v>
      </c>
      <c r="AJ72" s="74">
        <f t="shared" si="45"/>
        <v>1</v>
      </c>
      <c r="AK72" s="74">
        <f t="shared" si="46"/>
        <v>0</v>
      </c>
      <c r="AL72" s="4">
        <f t="shared" si="47"/>
        <v>4268</v>
      </c>
    </row>
    <row r="73" spans="17:38">
      <c r="Q73" s="38">
        <v>71</v>
      </c>
      <c r="R73" s="38" t="s">
        <v>93</v>
      </c>
      <c r="S73" s="56">
        <f t="shared" si="31"/>
        <v>927.85</v>
      </c>
      <c r="T73" s="56">
        <f t="shared" si="32"/>
        <v>177.135</v>
      </c>
      <c r="U73" s="56">
        <f t="shared" si="33"/>
        <v>151.83</v>
      </c>
      <c r="V73" s="56">
        <f t="shared" si="34"/>
        <v>37.9575</v>
      </c>
      <c r="W73" s="56">
        <f t="shared" si="35"/>
        <v>37.9575</v>
      </c>
      <c r="X73" s="56">
        <f t="shared" si="36"/>
        <v>84.35</v>
      </c>
      <c r="Y73" s="4">
        <v>1</v>
      </c>
      <c r="Z73" s="4">
        <v>0</v>
      </c>
      <c r="AB73" s="74">
        <f t="shared" si="37"/>
        <v>71</v>
      </c>
      <c r="AC73" s="74">
        <f t="shared" si="38"/>
        <v>1</v>
      </c>
      <c r="AD73" s="74">
        <f t="shared" si="39"/>
        <v>927</v>
      </c>
      <c r="AE73" s="74">
        <f t="shared" si="40"/>
        <v>177</v>
      </c>
      <c r="AF73" s="74">
        <f t="shared" si="41"/>
        <v>151</v>
      </c>
      <c r="AG73" s="74">
        <f t="shared" si="42"/>
        <v>37</v>
      </c>
      <c r="AH73" s="74">
        <f t="shared" si="43"/>
        <v>37</v>
      </c>
      <c r="AI73" s="74">
        <f t="shared" si="44"/>
        <v>84</v>
      </c>
      <c r="AJ73" s="74">
        <f t="shared" si="45"/>
        <v>1</v>
      </c>
      <c r="AK73" s="74">
        <f t="shared" si="46"/>
        <v>0</v>
      </c>
      <c r="AL73" s="4">
        <f t="shared" si="47"/>
        <v>4381</v>
      </c>
    </row>
    <row r="74" spans="17:38">
      <c r="Q74" s="38">
        <v>72</v>
      </c>
      <c r="R74" s="38" t="s">
        <v>93</v>
      </c>
      <c r="S74" s="56">
        <f t="shared" si="31"/>
        <v>952.05</v>
      </c>
      <c r="T74" s="56">
        <f t="shared" si="32"/>
        <v>181.755</v>
      </c>
      <c r="U74" s="56">
        <f t="shared" si="33"/>
        <v>155.79</v>
      </c>
      <c r="V74" s="56">
        <f t="shared" si="34"/>
        <v>38.9475</v>
      </c>
      <c r="W74" s="56">
        <f t="shared" si="35"/>
        <v>38.9475</v>
      </c>
      <c r="X74" s="56">
        <f t="shared" si="36"/>
        <v>86.55</v>
      </c>
      <c r="Y74" s="4">
        <v>1</v>
      </c>
      <c r="Z74" s="4">
        <v>0</v>
      </c>
      <c r="AB74" s="74">
        <f t="shared" si="37"/>
        <v>72</v>
      </c>
      <c r="AC74" s="74">
        <f t="shared" si="38"/>
        <v>1</v>
      </c>
      <c r="AD74" s="74">
        <f t="shared" si="39"/>
        <v>952</v>
      </c>
      <c r="AE74" s="74">
        <f t="shared" si="40"/>
        <v>181</v>
      </c>
      <c r="AF74" s="74">
        <f t="shared" si="41"/>
        <v>155</v>
      </c>
      <c r="AG74" s="74">
        <f t="shared" si="42"/>
        <v>38</v>
      </c>
      <c r="AH74" s="74">
        <f t="shared" si="43"/>
        <v>38</v>
      </c>
      <c r="AI74" s="74">
        <f t="shared" si="44"/>
        <v>86</v>
      </c>
      <c r="AJ74" s="74">
        <f t="shared" si="45"/>
        <v>1</v>
      </c>
      <c r="AK74" s="74">
        <f t="shared" si="46"/>
        <v>0</v>
      </c>
      <c r="AL74" s="4">
        <f t="shared" si="47"/>
        <v>4495</v>
      </c>
    </row>
    <row r="75" spans="17:38">
      <c r="Q75" s="38">
        <v>73</v>
      </c>
      <c r="R75" s="38" t="s">
        <v>93</v>
      </c>
      <c r="S75" s="56">
        <f t="shared" si="31"/>
        <v>976.25</v>
      </c>
      <c r="T75" s="56">
        <f t="shared" si="32"/>
        <v>186.375</v>
      </c>
      <c r="U75" s="56">
        <f t="shared" si="33"/>
        <v>159.75</v>
      </c>
      <c r="V75" s="56">
        <f t="shared" si="34"/>
        <v>39.9375</v>
      </c>
      <c r="W75" s="56">
        <f t="shared" si="35"/>
        <v>39.9375</v>
      </c>
      <c r="X75" s="56">
        <f t="shared" si="36"/>
        <v>88.75</v>
      </c>
      <c r="Y75" s="4">
        <v>1</v>
      </c>
      <c r="Z75" s="4">
        <v>0</v>
      </c>
      <c r="AB75" s="74">
        <f t="shared" si="37"/>
        <v>73</v>
      </c>
      <c r="AC75" s="74">
        <f t="shared" si="38"/>
        <v>1</v>
      </c>
      <c r="AD75" s="74">
        <f t="shared" si="39"/>
        <v>976</v>
      </c>
      <c r="AE75" s="74">
        <f t="shared" si="40"/>
        <v>186</v>
      </c>
      <c r="AF75" s="74">
        <f t="shared" si="41"/>
        <v>159</v>
      </c>
      <c r="AG75" s="74">
        <f t="shared" si="42"/>
        <v>39</v>
      </c>
      <c r="AH75" s="74">
        <f t="shared" si="43"/>
        <v>39</v>
      </c>
      <c r="AI75" s="74">
        <f t="shared" si="44"/>
        <v>88</v>
      </c>
      <c r="AJ75" s="74">
        <f t="shared" si="45"/>
        <v>1</v>
      </c>
      <c r="AK75" s="74">
        <f t="shared" si="46"/>
        <v>0</v>
      </c>
      <c r="AL75" s="4">
        <f t="shared" si="47"/>
        <v>4608</v>
      </c>
    </row>
    <row r="76" spans="17:38">
      <c r="Q76" s="38">
        <v>74</v>
      </c>
      <c r="R76" s="38" t="s">
        <v>93</v>
      </c>
      <c r="S76" s="56">
        <f t="shared" si="31"/>
        <v>1000.45</v>
      </c>
      <c r="T76" s="56">
        <f t="shared" si="32"/>
        <v>190.995</v>
      </c>
      <c r="U76" s="56">
        <f t="shared" si="33"/>
        <v>163.71</v>
      </c>
      <c r="V76" s="56">
        <f t="shared" si="34"/>
        <v>40.9275</v>
      </c>
      <c r="W76" s="56">
        <f t="shared" si="35"/>
        <v>40.9275</v>
      </c>
      <c r="X76" s="56">
        <f t="shared" si="36"/>
        <v>90.95</v>
      </c>
      <c r="Y76" s="4">
        <v>1</v>
      </c>
      <c r="Z76" s="4">
        <v>0</v>
      </c>
      <c r="AB76" s="74">
        <f t="shared" si="37"/>
        <v>74</v>
      </c>
      <c r="AC76" s="74">
        <f t="shared" si="38"/>
        <v>1</v>
      </c>
      <c r="AD76" s="74">
        <f t="shared" si="39"/>
        <v>1000</v>
      </c>
      <c r="AE76" s="74">
        <f t="shared" si="40"/>
        <v>190</v>
      </c>
      <c r="AF76" s="74">
        <f t="shared" si="41"/>
        <v>163</v>
      </c>
      <c r="AG76" s="74">
        <f t="shared" si="42"/>
        <v>40</v>
      </c>
      <c r="AH76" s="74">
        <f t="shared" si="43"/>
        <v>40</v>
      </c>
      <c r="AI76" s="74">
        <f t="shared" si="44"/>
        <v>90</v>
      </c>
      <c r="AJ76" s="74">
        <f t="shared" si="45"/>
        <v>1</v>
      </c>
      <c r="AK76" s="74">
        <f t="shared" si="46"/>
        <v>0</v>
      </c>
      <c r="AL76" s="4">
        <f t="shared" si="47"/>
        <v>4720</v>
      </c>
    </row>
    <row r="77" spans="17:38">
      <c r="Q77" s="38">
        <v>75</v>
      </c>
      <c r="R77" s="38" t="s">
        <v>93</v>
      </c>
      <c r="S77" s="56">
        <f t="shared" si="31"/>
        <v>1024.65</v>
      </c>
      <c r="T77" s="56">
        <f t="shared" si="32"/>
        <v>195.615</v>
      </c>
      <c r="U77" s="56">
        <f t="shared" si="33"/>
        <v>167.67</v>
      </c>
      <c r="V77" s="56">
        <f t="shared" si="34"/>
        <v>41.9175</v>
      </c>
      <c r="W77" s="56">
        <f t="shared" si="35"/>
        <v>41.9175</v>
      </c>
      <c r="X77" s="56">
        <f t="shared" si="36"/>
        <v>93.15</v>
      </c>
      <c r="Y77" s="4">
        <v>1</v>
      </c>
      <c r="Z77" s="4">
        <v>0</v>
      </c>
      <c r="AB77" s="74">
        <f t="shared" si="37"/>
        <v>75</v>
      </c>
      <c r="AC77" s="74">
        <f t="shared" si="38"/>
        <v>1</v>
      </c>
      <c r="AD77" s="74">
        <f t="shared" si="39"/>
        <v>1024</v>
      </c>
      <c r="AE77" s="74">
        <f t="shared" si="40"/>
        <v>195</v>
      </c>
      <c r="AF77" s="74">
        <f t="shared" si="41"/>
        <v>167</v>
      </c>
      <c r="AG77" s="74">
        <f t="shared" si="42"/>
        <v>41</v>
      </c>
      <c r="AH77" s="74">
        <f t="shared" si="43"/>
        <v>41</v>
      </c>
      <c r="AI77" s="74">
        <f t="shared" si="44"/>
        <v>93</v>
      </c>
      <c r="AJ77" s="74">
        <f t="shared" si="45"/>
        <v>1</v>
      </c>
      <c r="AK77" s="74">
        <f t="shared" si="46"/>
        <v>0</v>
      </c>
      <c r="AL77" s="4">
        <f t="shared" si="47"/>
        <v>4843</v>
      </c>
    </row>
    <row r="78" spans="17:38">
      <c r="Q78" s="38">
        <v>76</v>
      </c>
      <c r="R78" s="38" t="s">
        <v>93</v>
      </c>
      <c r="S78" s="56">
        <f t="shared" si="31"/>
        <v>1048.85</v>
      </c>
      <c r="T78" s="56">
        <f t="shared" si="32"/>
        <v>200.235</v>
      </c>
      <c r="U78" s="56">
        <f t="shared" si="33"/>
        <v>171.63</v>
      </c>
      <c r="V78" s="56">
        <f t="shared" si="34"/>
        <v>42.9075</v>
      </c>
      <c r="W78" s="56">
        <f t="shared" si="35"/>
        <v>42.9075</v>
      </c>
      <c r="X78" s="56">
        <f t="shared" si="36"/>
        <v>95.35</v>
      </c>
      <c r="Y78" s="4">
        <v>1</v>
      </c>
      <c r="Z78" s="4">
        <v>0</v>
      </c>
      <c r="AB78" s="74">
        <f t="shared" si="37"/>
        <v>76</v>
      </c>
      <c r="AC78" s="74">
        <f t="shared" si="38"/>
        <v>1</v>
      </c>
      <c r="AD78" s="74">
        <f t="shared" si="39"/>
        <v>1048</v>
      </c>
      <c r="AE78" s="74">
        <f t="shared" si="40"/>
        <v>200</v>
      </c>
      <c r="AF78" s="74">
        <f t="shared" si="41"/>
        <v>171</v>
      </c>
      <c r="AG78" s="74">
        <f t="shared" si="42"/>
        <v>42</v>
      </c>
      <c r="AH78" s="74">
        <f t="shared" si="43"/>
        <v>42</v>
      </c>
      <c r="AI78" s="74">
        <f t="shared" si="44"/>
        <v>95</v>
      </c>
      <c r="AJ78" s="74">
        <f t="shared" si="45"/>
        <v>1</v>
      </c>
      <c r="AK78" s="74">
        <f t="shared" si="46"/>
        <v>0</v>
      </c>
      <c r="AL78" s="4">
        <f t="shared" si="47"/>
        <v>4956</v>
      </c>
    </row>
    <row r="79" spans="17:38">
      <c r="Q79" s="38">
        <v>77</v>
      </c>
      <c r="R79" s="38" t="s">
        <v>93</v>
      </c>
      <c r="S79" s="56">
        <f t="shared" si="31"/>
        <v>1073.05</v>
      </c>
      <c r="T79" s="56">
        <f t="shared" si="32"/>
        <v>204.855</v>
      </c>
      <c r="U79" s="56">
        <f t="shared" si="33"/>
        <v>175.59</v>
      </c>
      <c r="V79" s="56">
        <f t="shared" si="34"/>
        <v>43.8975</v>
      </c>
      <c r="W79" s="56">
        <f t="shared" si="35"/>
        <v>43.8975</v>
      </c>
      <c r="X79" s="56">
        <f t="shared" si="36"/>
        <v>97.55</v>
      </c>
      <c r="Y79" s="4">
        <v>1</v>
      </c>
      <c r="Z79" s="4">
        <v>0</v>
      </c>
      <c r="AB79" s="74">
        <f t="shared" si="37"/>
        <v>77</v>
      </c>
      <c r="AC79" s="74">
        <f t="shared" si="38"/>
        <v>1</v>
      </c>
      <c r="AD79" s="74">
        <f t="shared" si="39"/>
        <v>1073</v>
      </c>
      <c r="AE79" s="74">
        <f t="shared" si="40"/>
        <v>204</v>
      </c>
      <c r="AF79" s="74">
        <f t="shared" si="41"/>
        <v>175</v>
      </c>
      <c r="AG79" s="74">
        <f t="shared" si="42"/>
        <v>43</v>
      </c>
      <c r="AH79" s="74">
        <f t="shared" si="43"/>
        <v>43</v>
      </c>
      <c r="AI79" s="74">
        <f t="shared" si="44"/>
        <v>97</v>
      </c>
      <c r="AJ79" s="74">
        <f t="shared" si="45"/>
        <v>1</v>
      </c>
      <c r="AK79" s="74">
        <f t="shared" si="46"/>
        <v>0</v>
      </c>
      <c r="AL79" s="4">
        <f t="shared" si="47"/>
        <v>5070</v>
      </c>
    </row>
    <row r="80" spans="17:38">
      <c r="Q80" s="38">
        <v>78</v>
      </c>
      <c r="R80" s="38" t="s">
        <v>93</v>
      </c>
      <c r="S80" s="56">
        <f t="shared" si="31"/>
        <v>1097.25</v>
      </c>
      <c r="T80" s="56">
        <f t="shared" si="32"/>
        <v>209.475</v>
      </c>
      <c r="U80" s="56">
        <f t="shared" si="33"/>
        <v>179.55</v>
      </c>
      <c r="V80" s="56">
        <f t="shared" si="34"/>
        <v>44.8875</v>
      </c>
      <c r="W80" s="56">
        <f t="shared" si="35"/>
        <v>44.8875</v>
      </c>
      <c r="X80" s="56">
        <f t="shared" si="36"/>
        <v>99.75</v>
      </c>
      <c r="Y80" s="4">
        <v>1</v>
      </c>
      <c r="Z80" s="4">
        <v>0</v>
      </c>
      <c r="AB80" s="74">
        <f t="shared" si="37"/>
        <v>78</v>
      </c>
      <c r="AC80" s="74">
        <f t="shared" si="38"/>
        <v>1</v>
      </c>
      <c r="AD80" s="74">
        <f t="shared" si="39"/>
        <v>1097</v>
      </c>
      <c r="AE80" s="74">
        <f t="shared" si="40"/>
        <v>209</v>
      </c>
      <c r="AF80" s="74">
        <f t="shared" si="41"/>
        <v>179</v>
      </c>
      <c r="AG80" s="74">
        <f t="shared" si="42"/>
        <v>44</v>
      </c>
      <c r="AH80" s="74">
        <f t="shared" si="43"/>
        <v>44</v>
      </c>
      <c r="AI80" s="74">
        <f t="shared" si="44"/>
        <v>99</v>
      </c>
      <c r="AJ80" s="74">
        <f t="shared" si="45"/>
        <v>1</v>
      </c>
      <c r="AK80" s="74">
        <f t="shared" si="46"/>
        <v>0</v>
      </c>
      <c r="AL80" s="4">
        <f t="shared" si="47"/>
        <v>5183</v>
      </c>
    </row>
    <row r="81" spans="17:38">
      <c r="Q81" s="38">
        <v>79</v>
      </c>
      <c r="R81" s="38" t="s">
        <v>93</v>
      </c>
      <c r="S81" s="56">
        <f t="shared" si="31"/>
        <v>1121.45</v>
      </c>
      <c r="T81" s="56">
        <f t="shared" si="32"/>
        <v>214.095</v>
      </c>
      <c r="U81" s="56">
        <f t="shared" si="33"/>
        <v>183.51</v>
      </c>
      <c r="V81" s="56">
        <f t="shared" si="34"/>
        <v>45.8775</v>
      </c>
      <c r="W81" s="56">
        <f t="shared" si="35"/>
        <v>45.8775</v>
      </c>
      <c r="X81" s="56">
        <f t="shared" si="36"/>
        <v>101.95</v>
      </c>
      <c r="Y81" s="4">
        <v>1</v>
      </c>
      <c r="Z81" s="4">
        <v>0</v>
      </c>
      <c r="AB81" s="74">
        <f t="shared" si="37"/>
        <v>79</v>
      </c>
      <c r="AC81" s="74">
        <f t="shared" si="38"/>
        <v>1</v>
      </c>
      <c r="AD81" s="74">
        <f t="shared" si="39"/>
        <v>1121</v>
      </c>
      <c r="AE81" s="74">
        <f t="shared" si="40"/>
        <v>214</v>
      </c>
      <c r="AF81" s="74">
        <f t="shared" si="41"/>
        <v>183</v>
      </c>
      <c r="AG81" s="74">
        <f t="shared" si="42"/>
        <v>45</v>
      </c>
      <c r="AH81" s="74">
        <f t="shared" si="43"/>
        <v>45</v>
      </c>
      <c r="AI81" s="74">
        <f t="shared" si="44"/>
        <v>101</v>
      </c>
      <c r="AJ81" s="74">
        <f t="shared" si="45"/>
        <v>1</v>
      </c>
      <c r="AK81" s="74">
        <f t="shared" si="46"/>
        <v>0</v>
      </c>
      <c r="AL81" s="4">
        <f t="shared" si="47"/>
        <v>5296</v>
      </c>
    </row>
    <row r="82" spans="17:38">
      <c r="Q82" s="38">
        <v>80</v>
      </c>
      <c r="R82" s="38" t="s">
        <v>93</v>
      </c>
      <c r="S82" s="56">
        <f t="shared" si="31"/>
        <v>1145.65</v>
      </c>
      <c r="T82" s="56">
        <f t="shared" si="32"/>
        <v>218.715</v>
      </c>
      <c r="U82" s="56">
        <f t="shared" si="33"/>
        <v>187.47</v>
      </c>
      <c r="V82" s="56">
        <f t="shared" si="34"/>
        <v>46.8675</v>
      </c>
      <c r="W82" s="56">
        <f t="shared" si="35"/>
        <v>46.8675</v>
      </c>
      <c r="X82" s="56">
        <f t="shared" si="36"/>
        <v>104.15</v>
      </c>
      <c r="Y82" s="4">
        <v>1</v>
      </c>
      <c r="Z82" s="4">
        <v>0</v>
      </c>
      <c r="AB82" s="74">
        <f t="shared" si="37"/>
        <v>80</v>
      </c>
      <c r="AC82" s="74">
        <f t="shared" si="38"/>
        <v>1</v>
      </c>
      <c r="AD82" s="74">
        <f t="shared" si="39"/>
        <v>1145</v>
      </c>
      <c r="AE82" s="74">
        <f t="shared" si="40"/>
        <v>218</v>
      </c>
      <c r="AF82" s="74">
        <f t="shared" si="41"/>
        <v>187</v>
      </c>
      <c r="AG82" s="74">
        <f t="shared" si="42"/>
        <v>46</v>
      </c>
      <c r="AH82" s="74">
        <f t="shared" si="43"/>
        <v>46</v>
      </c>
      <c r="AI82" s="74">
        <f t="shared" si="44"/>
        <v>104</v>
      </c>
      <c r="AJ82" s="74">
        <f t="shared" si="45"/>
        <v>1</v>
      </c>
      <c r="AK82" s="74">
        <f t="shared" si="46"/>
        <v>0</v>
      </c>
      <c r="AL82" s="4">
        <f t="shared" si="47"/>
        <v>5418</v>
      </c>
    </row>
    <row r="83" spans="17:38">
      <c r="Q83" s="37">
        <v>1</v>
      </c>
      <c r="R83" s="37" t="s">
        <v>94</v>
      </c>
      <c r="S83" s="56">
        <f t="shared" si="31"/>
        <v>45</v>
      </c>
      <c r="T83" s="56">
        <f t="shared" si="32"/>
        <v>16.5</v>
      </c>
      <c r="U83" s="56">
        <f t="shared" si="33"/>
        <v>2.64</v>
      </c>
      <c r="V83" s="56">
        <f t="shared" si="34"/>
        <v>12</v>
      </c>
      <c r="W83" s="56">
        <f t="shared" si="35"/>
        <v>2.64</v>
      </c>
      <c r="X83" s="56">
        <f t="shared" si="36"/>
        <v>4.5</v>
      </c>
      <c r="Y83" s="4">
        <v>1</v>
      </c>
      <c r="Z83" s="4">
        <v>0</v>
      </c>
      <c r="AB83" s="74">
        <f t="shared" si="37"/>
        <v>1</v>
      </c>
      <c r="AC83" s="74">
        <f t="shared" si="38"/>
        <v>2</v>
      </c>
      <c r="AD83" s="74">
        <f t="shared" si="39"/>
        <v>45</v>
      </c>
      <c r="AE83" s="74">
        <f t="shared" si="40"/>
        <v>16</v>
      </c>
      <c r="AF83" s="74">
        <f t="shared" si="41"/>
        <v>2</v>
      </c>
      <c r="AG83" s="74">
        <f t="shared" si="42"/>
        <v>12</v>
      </c>
      <c r="AH83" s="74">
        <f t="shared" si="43"/>
        <v>2</v>
      </c>
      <c r="AI83" s="74">
        <f t="shared" si="44"/>
        <v>4</v>
      </c>
      <c r="AJ83" s="74">
        <f t="shared" si="45"/>
        <v>1</v>
      </c>
      <c r="AK83" s="74">
        <f t="shared" si="46"/>
        <v>0</v>
      </c>
      <c r="AL83" s="4">
        <f t="shared" si="47"/>
        <v>266</v>
      </c>
    </row>
    <row r="84" spans="17:38">
      <c r="Q84" s="37">
        <v>2</v>
      </c>
      <c r="R84" s="37" t="s">
        <v>94</v>
      </c>
      <c r="S84" s="56">
        <f t="shared" si="31"/>
        <v>52.65</v>
      </c>
      <c r="T84" s="56">
        <f t="shared" si="32"/>
        <v>19.305</v>
      </c>
      <c r="U84" s="56">
        <f t="shared" si="33"/>
        <v>3.0888</v>
      </c>
      <c r="V84" s="56">
        <f t="shared" si="34"/>
        <v>14.04</v>
      </c>
      <c r="W84" s="56">
        <f t="shared" si="35"/>
        <v>3.0888</v>
      </c>
      <c r="X84" s="56">
        <f t="shared" si="36"/>
        <v>5.265</v>
      </c>
      <c r="Y84" s="4">
        <v>1</v>
      </c>
      <c r="Z84" s="4">
        <v>0</v>
      </c>
      <c r="AB84" s="74">
        <f t="shared" si="37"/>
        <v>2</v>
      </c>
      <c r="AC84" s="74">
        <f t="shared" si="38"/>
        <v>2</v>
      </c>
      <c r="AD84" s="74">
        <f t="shared" si="39"/>
        <v>52</v>
      </c>
      <c r="AE84" s="74">
        <f t="shared" si="40"/>
        <v>19</v>
      </c>
      <c r="AF84" s="74">
        <f t="shared" si="41"/>
        <v>3</v>
      </c>
      <c r="AG84" s="74">
        <f t="shared" si="42"/>
        <v>14</v>
      </c>
      <c r="AH84" s="74">
        <f t="shared" si="43"/>
        <v>3</v>
      </c>
      <c r="AI84" s="74">
        <f t="shared" si="44"/>
        <v>5</v>
      </c>
      <c r="AJ84" s="74">
        <f t="shared" si="45"/>
        <v>1</v>
      </c>
      <c r="AK84" s="74">
        <f t="shared" si="46"/>
        <v>0</v>
      </c>
      <c r="AL84" s="4">
        <f t="shared" si="47"/>
        <v>313</v>
      </c>
    </row>
    <row r="85" spans="17:38">
      <c r="Q85" s="37">
        <v>3</v>
      </c>
      <c r="R85" s="37" t="s">
        <v>94</v>
      </c>
      <c r="S85" s="56">
        <f t="shared" si="31"/>
        <v>60.3</v>
      </c>
      <c r="T85" s="56">
        <f t="shared" si="32"/>
        <v>22.11</v>
      </c>
      <c r="U85" s="56">
        <f t="shared" si="33"/>
        <v>3.5376</v>
      </c>
      <c r="V85" s="56">
        <f t="shared" si="34"/>
        <v>16.08</v>
      </c>
      <c r="W85" s="56">
        <f t="shared" si="35"/>
        <v>3.5376</v>
      </c>
      <c r="X85" s="56">
        <f t="shared" si="36"/>
        <v>6.03</v>
      </c>
      <c r="Y85" s="4">
        <v>1</v>
      </c>
      <c r="Z85" s="4">
        <v>0</v>
      </c>
      <c r="AB85" s="74">
        <f t="shared" si="37"/>
        <v>3</v>
      </c>
      <c r="AC85" s="74">
        <f t="shared" si="38"/>
        <v>2</v>
      </c>
      <c r="AD85" s="74">
        <f t="shared" si="39"/>
        <v>60</v>
      </c>
      <c r="AE85" s="74">
        <f t="shared" si="40"/>
        <v>22</v>
      </c>
      <c r="AF85" s="74">
        <f t="shared" si="41"/>
        <v>3</v>
      </c>
      <c r="AG85" s="74">
        <f t="shared" si="42"/>
        <v>16</v>
      </c>
      <c r="AH85" s="74">
        <f t="shared" si="43"/>
        <v>3</v>
      </c>
      <c r="AI85" s="74">
        <f t="shared" si="44"/>
        <v>6</v>
      </c>
      <c r="AJ85" s="74">
        <f t="shared" si="45"/>
        <v>1</v>
      </c>
      <c r="AK85" s="74">
        <f t="shared" si="46"/>
        <v>0</v>
      </c>
      <c r="AL85" s="4">
        <f t="shared" si="47"/>
        <v>362</v>
      </c>
    </row>
    <row r="86" spans="17:38">
      <c r="Q86" s="37">
        <v>4</v>
      </c>
      <c r="R86" s="37" t="s">
        <v>94</v>
      </c>
      <c r="S86" s="56">
        <f t="shared" si="31"/>
        <v>67.95</v>
      </c>
      <c r="T86" s="56">
        <f t="shared" si="32"/>
        <v>24.915</v>
      </c>
      <c r="U86" s="56">
        <f t="shared" si="33"/>
        <v>3.9864</v>
      </c>
      <c r="V86" s="56">
        <f t="shared" si="34"/>
        <v>18.12</v>
      </c>
      <c r="W86" s="56">
        <f t="shared" si="35"/>
        <v>3.9864</v>
      </c>
      <c r="X86" s="56">
        <f t="shared" si="36"/>
        <v>6.795</v>
      </c>
      <c r="Y86" s="4">
        <v>1</v>
      </c>
      <c r="Z86" s="4">
        <v>0</v>
      </c>
      <c r="AB86" s="74">
        <f t="shared" si="37"/>
        <v>4</v>
      </c>
      <c r="AC86" s="74">
        <f t="shared" si="38"/>
        <v>2</v>
      </c>
      <c r="AD86" s="74">
        <f t="shared" si="39"/>
        <v>67</v>
      </c>
      <c r="AE86" s="74">
        <f t="shared" si="40"/>
        <v>24</v>
      </c>
      <c r="AF86" s="74">
        <f t="shared" si="41"/>
        <v>3</v>
      </c>
      <c r="AG86" s="74">
        <f t="shared" si="42"/>
        <v>18</v>
      </c>
      <c r="AH86" s="74">
        <f t="shared" si="43"/>
        <v>3</v>
      </c>
      <c r="AI86" s="74">
        <f t="shared" si="44"/>
        <v>6</v>
      </c>
      <c r="AJ86" s="74">
        <f t="shared" si="45"/>
        <v>1</v>
      </c>
      <c r="AK86" s="74">
        <f t="shared" si="46"/>
        <v>0</v>
      </c>
      <c r="AL86" s="4">
        <f t="shared" si="47"/>
        <v>398</v>
      </c>
    </row>
    <row r="87" spans="17:38">
      <c r="Q87" s="37">
        <v>5</v>
      </c>
      <c r="R87" s="37" t="s">
        <v>94</v>
      </c>
      <c r="S87" s="56">
        <f t="shared" si="31"/>
        <v>75.6</v>
      </c>
      <c r="T87" s="56">
        <f t="shared" si="32"/>
        <v>27.72</v>
      </c>
      <c r="U87" s="56">
        <f t="shared" si="33"/>
        <v>4.4352</v>
      </c>
      <c r="V87" s="56">
        <f t="shared" si="34"/>
        <v>20.16</v>
      </c>
      <c r="W87" s="56">
        <f t="shared" si="35"/>
        <v>4.4352</v>
      </c>
      <c r="X87" s="56">
        <f t="shared" si="36"/>
        <v>7.56</v>
      </c>
      <c r="Y87" s="4">
        <v>1</v>
      </c>
      <c r="Z87" s="4">
        <v>0</v>
      </c>
      <c r="AB87" s="74">
        <f t="shared" si="37"/>
        <v>5</v>
      </c>
      <c r="AC87" s="74">
        <f t="shared" si="38"/>
        <v>2</v>
      </c>
      <c r="AD87" s="74">
        <f t="shared" si="39"/>
        <v>75</v>
      </c>
      <c r="AE87" s="74">
        <f t="shared" si="40"/>
        <v>27</v>
      </c>
      <c r="AF87" s="74">
        <f t="shared" si="41"/>
        <v>4</v>
      </c>
      <c r="AG87" s="74">
        <f t="shared" si="42"/>
        <v>20</v>
      </c>
      <c r="AH87" s="74">
        <f t="shared" si="43"/>
        <v>4</v>
      </c>
      <c r="AI87" s="74">
        <f t="shared" si="44"/>
        <v>7</v>
      </c>
      <c r="AJ87" s="74">
        <f t="shared" si="45"/>
        <v>1</v>
      </c>
      <c r="AK87" s="74">
        <f t="shared" si="46"/>
        <v>0</v>
      </c>
      <c r="AL87" s="4">
        <f t="shared" si="47"/>
        <v>447</v>
      </c>
    </row>
    <row r="88" spans="17:38">
      <c r="Q88" s="37">
        <v>6</v>
      </c>
      <c r="R88" s="37" t="s">
        <v>94</v>
      </c>
      <c r="S88" s="56">
        <f t="shared" si="31"/>
        <v>83.25</v>
      </c>
      <c r="T88" s="56">
        <f t="shared" si="32"/>
        <v>30.525</v>
      </c>
      <c r="U88" s="56">
        <f t="shared" si="33"/>
        <v>4.884</v>
      </c>
      <c r="V88" s="56">
        <f t="shared" si="34"/>
        <v>22.2</v>
      </c>
      <c r="W88" s="56">
        <f t="shared" si="35"/>
        <v>4.884</v>
      </c>
      <c r="X88" s="56">
        <f t="shared" si="36"/>
        <v>8.325</v>
      </c>
      <c r="Y88" s="4">
        <v>1</v>
      </c>
      <c r="Z88" s="4">
        <v>0</v>
      </c>
      <c r="AB88" s="74">
        <f t="shared" si="37"/>
        <v>6</v>
      </c>
      <c r="AC88" s="74">
        <f t="shared" si="38"/>
        <v>2</v>
      </c>
      <c r="AD88" s="74">
        <f t="shared" si="39"/>
        <v>83</v>
      </c>
      <c r="AE88" s="74">
        <f t="shared" si="40"/>
        <v>30</v>
      </c>
      <c r="AF88" s="74">
        <f t="shared" si="41"/>
        <v>4</v>
      </c>
      <c r="AG88" s="74">
        <f t="shared" si="42"/>
        <v>22</v>
      </c>
      <c r="AH88" s="74">
        <f t="shared" si="43"/>
        <v>4</v>
      </c>
      <c r="AI88" s="74">
        <f t="shared" si="44"/>
        <v>8</v>
      </c>
      <c r="AJ88" s="74">
        <f t="shared" si="45"/>
        <v>1</v>
      </c>
      <c r="AK88" s="74">
        <f t="shared" si="46"/>
        <v>0</v>
      </c>
      <c r="AL88" s="4">
        <f t="shared" si="47"/>
        <v>496</v>
      </c>
    </row>
    <row r="89" spans="17:38">
      <c r="Q89" s="37">
        <v>7</v>
      </c>
      <c r="R89" s="37" t="s">
        <v>94</v>
      </c>
      <c r="S89" s="56">
        <f t="shared" si="31"/>
        <v>90.9</v>
      </c>
      <c r="T89" s="56">
        <f t="shared" si="32"/>
        <v>33.33</v>
      </c>
      <c r="U89" s="56">
        <f t="shared" si="33"/>
        <v>5.3328</v>
      </c>
      <c r="V89" s="56">
        <f t="shared" si="34"/>
        <v>24.24</v>
      </c>
      <c r="W89" s="56">
        <f t="shared" si="35"/>
        <v>5.3328</v>
      </c>
      <c r="X89" s="56">
        <f t="shared" si="36"/>
        <v>9.09</v>
      </c>
      <c r="Y89" s="4">
        <v>1</v>
      </c>
      <c r="Z89" s="4">
        <v>0</v>
      </c>
      <c r="AB89" s="74">
        <f t="shared" si="37"/>
        <v>7</v>
      </c>
      <c r="AC89" s="74">
        <f t="shared" si="38"/>
        <v>2</v>
      </c>
      <c r="AD89" s="74">
        <f t="shared" si="39"/>
        <v>90</v>
      </c>
      <c r="AE89" s="74">
        <f t="shared" si="40"/>
        <v>33</v>
      </c>
      <c r="AF89" s="74">
        <f t="shared" si="41"/>
        <v>5</v>
      </c>
      <c r="AG89" s="74">
        <f t="shared" si="42"/>
        <v>24</v>
      </c>
      <c r="AH89" s="74">
        <f t="shared" si="43"/>
        <v>5</v>
      </c>
      <c r="AI89" s="74">
        <f t="shared" si="44"/>
        <v>9</v>
      </c>
      <c r="AJ89" s="74">
        <f t="shared" si="45"/>
        <v>1</v>
      </c>
      <c r="AK89" s="74">
        <f t="shared" si="46"/>
        <v>0</v>
      </c>
      <c r="AL89" s="4">
        <f t="shared" si="47"/>
        <v>543</v>
      </c>
    </row>
    <row r="90" spans="17:38">
      <c r="Q90" s="37">
        <v>8</v>
      </c>
      <c r="R90" s="37" t="s">
        <v>94</v>
      </c>
      <c r="S90" s="56">
        <f t="shared" si="31"/>
        <v>98.55</v>
      </c>
      <c r="T90" s="56">
        <f t="shared" si="32"/>
        <v>36.135</v>
      </c>
      <c r="U90" s="56">
        <f t="shared" si="33"/>
        <v>5.7816</v>
      </c>
      <c r="V90" s="56">
        <f t="shared" si="34"/>
        <v>26.28</v>
      </c>
      <c r="W90" s="56">
        <f t="shared" si="35"/>
        <v>5.7816</v>
      </c>
      <c r="X90" s="56">
        <f t="shared" si="36"/>
        <v>9.855</v>
      </c>
      <c r="Y90" s="4">
        <v>1</v>
      </c>
      <c r="Z90" s="4">
        <v>0</v>
      </c>
      <c r="AB90" s="74">
        <f t="shared" si="37"/>
        <v>8</v>
      </c>
      <c r="AC90" s="74">
        <f t="shared" si="38"/>
        <v>2</v>
      </c>
      <c r="AD90" s="74">
        <f t="shared" si="39"/>
        <v>98</v>
      </c>
      <c r="AE90" s="74">
        <f t="shared" si="40"/>
        <v>36</v>
      </c>
      <c r="AF90" s="74">
        <f t="shared" si="41"/>
        <v>5</v>
      </c>
      <c r="AG90" s="74">
        <f t="shared" si="42"/>
        <v>26</v>
      </c>
      <c r="AH90" s="74">
        <f t="shared" si="43"/>
        <v>5</v>
      </c>
      <c r="AI90" s="74">
        <f t="shared" si="44"/>
        <v>9</v>
      </c>
      <c r="AJ90" s="74">
        <f t="shared" si="45"/>
        <v>1</v>
      </c>
      <c r="AK90" s="74">
        <f t="shared" si="46"/>
        <v>0</v>
      </c>
      <c r="AL90" s="4">
        <f t="shared" si="47"/>
        <v>582</v>
      </c>
    </row>
    <row r="91" spans="17:38">
      <c r="Q91" s="37">
        <v>9</v>
      </c>
      <c r="R91" s="37" t="s">
        <v>94</v>
      </c>
      <c r="S91" s="56">
        <f t="shared" si="31"/>
        <v>106.2</v>
      </c>
      <c r="T91" s="56">
        <f t="shared" si="32"/>
        <v>38.94</v>
      </c>
      <c r="U91" s="56">
        <f t="shared" si="33"/>
        <v>6.2304</v>
      </c>
      <c r="V91" s="56">
        <f t="shared" si="34"/>
        <v>28.32</v>
      </c>
      <c r="W91" s="56">
        <f t="shared" si="35"/>
        <v>6.2304</v>
      </c>
      <c r="X91" s="56">
        <f t="shared" si="36"/>
        <v>10.62</v>
      </c>
      <c r="Y91" s="4">
        <v>1</v>
      </c>
      <c r="Z91" s="4">
        <v>0</v>
      </c>
      <c r="AB91" s="74">
        <f t="shared" si="37"/>
        <v>9</v>
      </c>
      <c r="AC91" s="74">
        <f t="shared" si="38"/>
        <v>2</v>
      </c>
      <c r="AD91" s="74">
        <f t="shared" si="39"/>
        <v>106</v>
      </c>
      <c r="AE91" s="74">
        <f t="shared" si="40"/>
        <v>38</v>
      </c>
      <c r="AF91" s="74">
        <f t="shared" si="41"/>
        <v>6</v>
      </c>
      <c r="AG91" s="74">
        <f t="shared" si="42"/>
        <v>28</v>
      </c>
      <c r="AH91" s="74">
        <f t="shared" si="43"/>
        <v>6</v>
      </c>
      <c r="AI91" s="74">
        <f t="shared" si="44"/>
        <v>10</v>
      </c>
      <c r="AJ91" s="74">
        <f t="shared" si="45"/>
        <v>1</v>
      </c>
      <c r="AK91" s="74">
        <f t="shared" si="46"/>
        <v>0</v>
      </c>
      <c r="AL91" s="4">
        <f t="shared" si="47"/>
        <v>630</v>
      </c>
    </row>
    <row r="92" spans="17:38">
      <c r="Q92" s="37">
        <v>10</v>
      </c>
      <c r="R92" s="37" t="s">
        <v>94</v>
      </c>
      <c r="S92" s="56">
        <f t="shared" si="31"/>
        <v>113.85</v>
      </c>
      <c r="T92" s="56">
        <f t="shared" si="32"/>
        <v>41.745</v>
      </c>
      <c r="U92" s="56">
        <f t="shared" si="33"/>
        <v>6.6792</v>
      </c>
      <c r="V92" s="56">
        <f t="shared" si="34"/>
        <v>30.36</v>
      </c>
      <c r="W92" s="56">
        <f t="shared" si="35"/>
        <v>6.6792</v>
      </c>
      <c r="X92" s="56">
        <f t="shared" si="36"/>
        <v>11.385</v>
      </c>
      <c r="Y92" s="4">
        <v>1</v>
      </c>
      <c r="Z92" s="4">
        <v>0</v>
      </c>
      <c r="AB92" s="74">
        <f t="shared" si="37"/>
        <v>10</v>
      </c>
      <c r="AC92" s="74">
        <f t="shared" si="38"/>
        <v>2</v>
      </c>
      <c r="AD92" s="74">
        <f t="shared" si="39"/>
        <v>113</v>
      </c>
      <c r="AE92" s="74">
        <f t="shared" si="40"/>
        <v>41</v>
      </c>
      <c r="AF92" s="74">
        <f t="shared" si="41"/>
        <v>6</v>
      </c>
      <c r="AG92" s="74">
        <f t="shared" si="42"/>
        <v>30</v>
      </c>
      <c r="AH92" s="74">
        <f t="shared" si="43"/>
        <v>6</v>
      </c>
      <c r="AI92" s="74">
        <f t="shared" si="44"/>
        <v>11</v>
      </c>
      <c r="AJ92" s="74">
        <f t="shared" si="45"/>
        <v>1</v>
      </c>
      <c r="AK92" s="74">
        <f t="shared" si="46"/>
        <v>0</v>
      </c>
      <c r="AL92" s="4">
        <f t="shared" si="47"/>
        <v>677</v>
      </c>
    </row>
    <row r="93" spans="17:38">
      <c r="Q93" s="37">
        <v>11</v>
      </c>
      <c r="R93" s="37" t="s">
        <v>94</v>
      </c>
      <c r="S93" s="56">
        <f t="shared" si="31"/>
        <v>119.7</v>
      </c>
      <c r="T93" s="56">
        <f t="shared" si="32"/>
        <v>43.89</v>
      </c>
      <c r="U93" s="56">
        <f t="shared" si="33"/>
        <v>7.0224</v>
      </c>
      <c r="V93" s="56">
        <f t="shared" si="34"/>
        <v>31.92</v>
      </c>
      <c r="W93" s="56">
        <f t="shared" si="35"/>
        <v>7.0224</v>
      </c>
      <c r="X93" s="56">
        <f t="shared" si="36"/>
        <v>11.97</v>
      </c>
      <c r="Y93" s="4">
        <v>1</v>
      </c>
      <c r="Z93" s="4">
        <v>0</v>
      </c>
      <c r="AB93" s="74">
        <f t="shared" si="37"/>
        <v>11</v>
      </c>
      <c r="AC93" s="74">
        <f t="shared" si="38"/>
        <v>2</v>
      </c>
      <c r="AD93" s="74">
        <f t="shared" si="39"/>
        <v>119</v>
      </c>
      <c r="AE93" s="74">
        <f t="shared" si="40"/>
        <v>43</v>
      </c>
      <c r="AF93" s="74">
        <f t="shared" si="41"/>
        <v>7</v>
      </c>
      <c r="AG93" s="74">
        <f t="shared" si="42"/>
        <v>31</v>
      </c>
      <c r="AH93" s="74">
        <f t="shared" si="43"/>
        <v>7</v>
      </c>
      <c r="AI93" s="74">
        <f t="shared" si="44"/>
        <v>11</v>
      </c>
      <c r="AJ93" s="74">
        <f t="shared" si="45"/>
        <v>1</v>
      </c>
      <c r="AK93" s="74">
        <f t="shared" si="46"/>
        <v>0</v>
      </c>
      <c r="AL93" s="4">
        <f t="shared" si="47"/>
        <v>701</v>
      </c>
    </row>
    <row r="94" spans="17:38">
      <c r="Q94" s="37">
        <v>12</v>
      </c>
      <c r="R94" s="37" t="s">
        <v>94</v>
      </c>
      <c r="S94" s="56">
        <f t="shared" si="31"/>
        <v>125.55</v>
      </c>
      <c r="T94" s="56">
        <f t="shared" si="32"/>
        <v>46.035</v>
      </c>
      <c r="U94" s="56">
        <f t="shared" si="33"/>
        <v>7.3656</v>
      </c>
      <c r="V94" s="56">
        <f t="shared" si="34"/>
        <v>33.48</v>
      </c>
      <c r="W94" s="56">
        <f t="shared" si="35"/>
        <v>7.3656</v>
      </c>
      <c r="X94" s="56">
        <f t="shared" si="36"/>
        <v>12.555</v>
      </c>
      <c r="Y94" s="4">
        <v>1</v>
      </c>
      <c r="Z94" s="4">
        <v>0</v>
      </c>
      <c r="AB94" s="74">
        <f t="shared" si="37"/>
        <v>12</v>
      </c>
      <c r="AC94" s="74">
        <f t="shared" si="38"/>
        <v>2</v>
      </c>
      <c r="AD94" s="74">
        <f t="shared" si="39"/>
        <v>125</v>
      </c>
      <c r="AE94" s="74">
        <f t="shared" si="40"/>
        <v>46</v>
      </c>
      <c r="AF94" s="74">
        <f t="shared" si="41"/>
        <v>7</v>
      </c>
      <c r="AG94" s="74">
        <f t="shared" si="42"/>
        <v>33</v>
      </c>
      <c r="AH94" s="74">
        <f t="shared" si="43"/>
        <v>7</v>
      </c>
      <c r="AI94" s="74">
        <f t="shared" si="44"/>
        <v>12</v>
      </c>
      <c r="AJ94" s="74">
        <f t="shared" si="45"/>
        <v>1</v>
      </c>
      <c r="AK94" s="74">
        <f t="shared" si="46"/>
        <v>0</v>
      </c>
      <c r="AL94" s="4">
        <f t="shared" si="47"/>
        <v>746</v>
      </c>
    </row>
    <row r="95" spans="17:38">
      <c r="Q95" s="37">
        <v>13</v>
      </c>
      <c r="R95" s="37" t="s">
        <v>94</v>
      </c>
      <c r="S95" s="56">
        <f t="shared" si="31"/>
        <v>131.4</v>
      </c>
      <c r="T95" s="56">
        <f t="shared" si="32"/>
        <v>48.18</v>
      </c>
      <c r="U95" s="56">
        <f t="shared" si="33"/>
        <v>7.7088</v>
      </c>
      <c r="V95" s="56">
        <f t="shared" si="34"/>
        <v>35.04</v>
      </c>
      <c r="W95" s="56">
        <f t="shared" si="35"/>
        <v>7.7088</v>
      </c>
      <c r="X95" s="56">
        <f t="shared" si="36"/>
        <v>13.14</v>
      </c>
      <c r="Y95" s="4">
        <v>1</v>
      </c>
      <c r="Z95" s="4">
        <v>0</v>
      </c>
      <c r="AB95" s="74">
        <f t="shared" si="37"/>
        <v>13</v>
      </c>
      <c r="AC95" s="74">
        <f t="shared" si="38"/>
        <v>2</v>
      </c>
      <c r="AD95" s="74">
        <f t="shared" si="39"/>
        <v>131</v>
      </c>
      <c r="AE95" s="74">
        <f t="shared" si="40"/>
        <v>48</v>
      </c>
      <c r="AF95" s="74">
        <f t="shared" si="41"/>
        <v>7</v>
      </c>
      <c r="AG95" s="74">
        <f t="shared" si="42"/>
        <v>35</v>
      </c>
      <c r="AH95" s="74">
        <f t="shared" si="43"/>
        <v>7</v>
      </c>
      <c r="AI95" s="74">
        <f t="shared" si="44"/>
        <v>13</v>
      </c>
      <c r="AJ95" s="74">
        <f t="shared" si="45"/>
        <v>1</v>
      </c>
      <c r="AK95" s="74">
        <f t="shared" si="46"/>
        <v>0</v>
      </c>
      <c r="AL95" s="4">
        <f t="shared" si="47"/>
        <v>790</v>
      </c>
    </row>
    <row r="96" spans="17:38">
      <c r="Q96" s="37">
        <v>14</v>
      </c>
      <c r="R96" s="37" t="s">
        <v>94</v>
      </c>
      <c r="S96" s="56">
        <f t="shared" si="31"/>
        <v>137.25</v>
      </c>
      <c r="T96" s="56">
        <f t="shared" si="32"/>
        <v>50.325</v>
      </c>
      <c r="U96" s="56">
        <f t="shared" si="33"/>
        <v>8.052</v>
      </c>
      <c r="V96" s="56">
        <f t="shared" si="34"/>
        <v>36.6</v>
      </c>
      <c r="W96" s="56">
        <f t="shared" si="35"/>
        <v>8.052</v>
      </c>
      <c r="X96" s="56">
        <f t="shared" si="36"/>
        <v>13.725</v>
      </c>
      <c r="Y96" s="4">
        <v>1</v>
      </c>
      <c r="Z96" s="4">
        <v>0</v>
      </c>
      <c r="AB96" s="74">
        <f t="shared" si="37"/>
        <v>14</v>
      </c>
      <c r="AC96" s="74">
        <f t="shared" si="38"/>
        <v>2</v>
      </c>
      <c r="AD96" s="74">
        <f t="shared" si="39"/>
        <v>137</v>
      </c>
      <c r="AE96" s="74">
        <f t="shared" si="40"/>
        <v>50</v>
      </c>
      <c r="AF96" s="74">
        <f t="shared" si="41"/>
        <v>8</v>
      </c>
      <c r="AG96" s="74">
        <f t="shared" si="42"/>
        <v>36</v>
      </c>
      <c r="AH96" s="74">
        <f t="shared" si="43"/>
        <v>8</v>
      </c>
      <c r="AI96" s="74">
        <f t="shared" si="44"/>
        <v>13</v>
      </c>
      <c r="AJ96" s="74">
        <f t="shared" si="45"/>
        <v>1</v>
      </c>
      <c r="AK96" s="74">
        <f t="shared" si="46"/>
        <v>0</v>
      </c>
      <c r="AL96" s="4">
        <f t="shared" si="47"/>
        <v>814</v>
      </c>
    </row>
    <row r="97" spans="17:38">
      <c r="Q97" s="37">
        <v>15</v>
      </c>
      <c r="R97" s="37" t="s">
        <v>94</v>
      </c>
      <c r="S97" s="56">
        <f t="shared" si="31"/>
        <v>143.1</v>
      </c>
      <c r="T97" s="56">
        <f t="shared" si="32"/>
        <v>52.47</v>
      </c>
      <c r="U97" s="56">
        <f t="shared" si="33"/>
        <v>8.3952</v>
      </c>
      <c r="V97" s="56">
        <f t="shared" si="34"/>
        <v>38.16</v>
      </c>
      <c r="W97" s="56">
        <f t="shared" si="35"/>
        <v>8.3952</v>
      </c>
      <c r="X97" s="56">
        <f t="shared" si="36"/>
        <v>14.31</v>
      </c>
      <c r="Y97" s="4">
        <v>1</v>
      </c>
      <c r="Z97" s="4">
        <v>0</v>
      </c>
      <c r="AB97" s="74">
        <f t="shared" si="37"/>
        <v>15</v>
      </c>
      <c r="AC97" s="74">
        <f t="shared" si="38"/>
        <v>2</v>
      </c>
      <c r="AD97" s="74">
        <f t="shared" si="39"/>
        <v>143</v>
      </c>
      <c r="AE97" s="74">
        <f t="shared" si="40"/>
        <v>52</v>
      </c>
      <c r="AF97" s="74">
        <f t="shared" si="41"/>
        <v>8</v>
      </c>
      <c r="AG97" s="74">
        <f t="shared" si="42"/>
        <v>38</v>
      </c>
      <c r="AH97" s="74">
        <f t="shared" si="43"/>
        <v>8</v>
      </c>
      <c r="AI97" s="74">
        <f t="shared" si="44"/>
        <v>14</v>
      </c>
      <c r="AJ97" s="74">
        <f t="shared" si="45"/>
        <v>1</v>
      </c>
      <c r="AK97" s="74">
        <f t="shared" si="46"/>
        <v>0</v>
      </c>
      <c r="AL97" s="4">
        <f t="shared" si="47"/>
        <v>858</v>
      </c>
    </row>
    <row r="98" spans="17:38">
      <c r="Q98" s="37">
        <v>16</v>
      </c>
      <c r="R98" s="37" t="s">
        <v>94</v>
      </c>
      <c r="S98" s="56">
        <f t="shared" si="31"/>
        <v>148.95</v>
      </c>
      <c r="T98" s="56">
        <f t="shared" si="32"/>
        <v>54.615</v>
      </c>
      <c r="U98" s="56">
        <f t="shared" si="33"/>
        <v>8.7384</v>
      </c>
      <c r="V98" s="56">
        <f t="shared" si="34"/>
        <v>39.72</v>
      </c>
      <c r="W98" s="56">
        <f t="shared" si="35"/>
        <v>8.7384</v>
      </c>
      <c r="X98" s="56">
        <f t="shared" si="36"/>
        <v>14.895</v>
      </c>
      <c r="Y98" s="4">
        <v>1</v>
      </c>
      <c r="Z98" s="4">
        <v>0</v>
      </c>
      <c r="AB98" s="74">
        <f t="shared" si="37"/>
        <v>16</v>
      </c>
      <c r="AC98" s="74">
        <f t="shared" si="38"/>
        <v>2</v>
      </c>
      <c r="AD98" s="74">
        <f t="shared" si="39"/>
        <v>148</v>
      </c>
      <c r="AE98" s="74">
        <f t="shared" si="40"/>
        <v>54</v>
      </c>
      <c r="AF98" s="74">
        <f t="shared" si="41"/>
        <v>8</v>
      </c>
      <c r="AG98" s="74">
        <f t="shared" si="42"/>
        <v>39</v>
      </c>
      <c r="AH98" s="74">
        <f t="shared" si="43"/>
        <v>8</v>
      </c>
      <c r="AI98" s="74">
        <f t="shared" si="44"/>
        <v>14</v>
      </c>
      <c r="AJ98" s="74">
        <f t="shared" si="45"/>
        <v>1</v>
      </c>
      <c r="AK98" s="74">
        <f t="shared" si="46"/>
        <v>0</v>
      </c>
      <c r="AL98" s="4">
        <f t="shared" si="47"/>
        <v>880</v>
      </c>
    </row>
    <row r="99" spans="17:38">
      <c r="Q99" s="37">
        <v>17</v>
      </c>
      <c r="R99" s="37" t="s">
        <v>94</v>
      </c>
      <c r="S99" s="56">
        <f t="shared" si="31"/>
        <v>154.8</v>
      </c>
      <c r="T99" s="56">
        <f t="shared" si="32"/>
        <v>56.76</v>
      </c>
      <c r="U99" s="56">
        <f t="shared" si="33"/>
        <v>9.0816</v>
      </c>
      <c r="V99" s="56">
        <f t="shared" si="34"/>
        <v>41.28</v>
      </c>
      <c r="W99" s="56">
        <f t="shared" si="35"/>
        <v>9.0816</v>
      </c>
      <c r="X99" s="56">
        <f t="shared" si="36"/>
        <v>15.48</v>
      </c>
      <c r="Y99" s="4">
        <v>1</v>
      </c>
      <c r="Z99" s="4">
        <v>0</v>
      </c>
      <c r="AB99" s="74">
        <f t="shared" si="37"/>
        <v>17</v>
      </c>
      <c r="AC99" s="74">
        <f t="shared" si="38"/>
        <v>2</v>
      </c>
      <c r="AD99" s="74">
        <f t="shared" si="39"/>
        <v>154</v>
      </c>
      <c r="AE99" s="74">
        <f t="shared" si="40"/>
        <v>56</v>
      </c>
      <c r="AF99" s="74">
        <f t="shared" si="41"/>
        <v>9</v>
      </c>
      <c r="AG99" s="74">
        <f t="shared" si="42"/>
        <v>41</v>
      </c>
      <c r="AH99" s="74">
        <f t="shared" si="43"/>
        <v>9</v>
      </c>
      <c r="AI99" s="74">
        <f t="shared" si="44"/>
        <v>15</v>
      </c>
      <c r="AJ99" s="74">
        <f t="shared" si="45"/>
        <v>1</v>
      </c>
      <c r="AK99" s="74">
        <f t="shared" si="46"/>
        <v>0</v>
      </c>
      <c r="AL99" s="4">
        <f t="shared" si="47"/>
        <v>924</v>
      </c>
    </row>
    <row r="100" spans="17:38">
      <c r="Q100" s="37">
        <v>18</v>
      </c>
      <c r="R100" s="37" t="s">
        <v>94</v>
      </c>
      <c r="S100" s="56">
        <f t="shared" si="31"/>
        <v>160.65</v>
      </c>
      <c r="T100" s="56">
        <f t="shared" si="32"/>
        <v>58.905</v>
      </c>
      <c r="U100" s="56">
        <f t="shared" si="33"/>
        <v>9.4248</v>
      </c>
      <c r="V100" s="56">
        <f t="shared" si="34"/>
        <v>42.84</v>
      </c>
      <c r="W100" s="56">
        <f t="shared" si="35"/>
        <v>9.4248</v>
      </c>
      <c r="X100" s="56">
        <f t="shared" si="36"/>
        <v>16.065</v>
      </c>
      <c r="Y100" s="4">
        <v>1</v>
      </c>
      <c r="Z100" s="4">
        <v>0</v>
      </c>
      <c r="AB100" s="74">
        <f t="shared" si="37"/>
        <v>18</v>
      </c>
      <c r="AC100" s="74">
        <f t="shared" si="38"/>
        <v>2</v>
      </c>
      <c r="AD100" s="74">
        <f t="shared" si="39"/>
        <v>160</v>
      </c>
      <c r="AE100" s="74">
        <f t="shared" si="40"/>
        <v>58</v>
      </c>
      <c r="AF100" s="74">
        <f t="shared" si="41"/>
        <v>9</v>
      </c>
      <c r="AG100" s="74">
        <f t="shared" si="42"/>
        <v>42</v>
      </c>
      <c r="AH100" s="74">
        <f t="shared" si="43"/>
        <v>9</v>
      </c>
      <c r="AI100" s="74">
        <f t="shared" si="44"/>
        <v>16</v>
      </c>
      <c r="AJ100" s="74">
        <f t="shared" si="45"/>
        <v>1</v>
      </c>
      <c r="AK100" s="74">
        <f t="shared" si="46"/>
        <v>0</v>
      </c>
      <c r="AL100" s="4">
        <f t="shared" si="47"/>
        <v>958</v>
      </c>
    </row>
    <row r="101" spans="17:38">
      <c r="Q101" s="37">
        <v>19</v>
      </c>
      <c r="R101" s="37" t="s">
        <v>94</v>
      </c>
      <c r="S101" s="56">
        <f t="shared" si="31"/>
        <v>166.5</v>
      </c>
      <c r="T101" s="56">
        <f t="shared" si="32"/>
        <v>61.05</v>
      </c>
      <c r="U101" s="56">
        <f t="shared" si="33"/>
        <v>9.768</v>
      </c>
      <c r="V101" s="56">
        <f t="shared" si="34"/>
        <v>44.4</v>
      </c>
      <c r="W101" s="56">
        <f t="shared" si="35"/>
        <v>9.768</v>
      </c>
      <c r="X101" s="56">
        <f t="shared" si="36"/>
        <v>16.65</v>
      </c>
      <c r="Y101" s="4">
        <v>1</v>
      </c>
      <c r="Z101" s="4">
        <v>0</v>
      </c>
      <c r="AB101" s="74">
        <f t="shared" si="37"/>
        <v>19</v>
      </c>
      <c r="AC101" s="74">
        <f t="shared" si="38"/>
        <v>2</v>
      </c>
      <c r="AD101" s="74">
        <f t="shared" si="39"/>
        <v>166</v>
      </c>
      <c r="AE101" s="74">
        <f t="shared" si="40"/>
        <v>61</v>
      </c>
      <c r="AF101" s="74">
        <f t="shared" si="41"/>
        <v>9</v>
      </c>
      <c r="AG101" s="74">
        <f t="shared" si="42"/>
        <v>44</v>
      </c>
      <c r="AH101" s="74">
        <f t="shared" si="43"/>
        <v>9</v>
      </c>
      <c r="AI101" s="74">
        <f t="shared" si="44"/>
        <v>16</v>
      </c>
      <c r="AJ101" s="74">
        <f t="shared" si="45"/>
        <v>1</v>
      </c>
      <c r="AK101" s="74">
        <f t="shared" si="46"/>
        <v>0</v>
      </c>
      <c r="AL101" s="4">
        <f t="shared" si="47"/>
        <v>993</v>
      </c>
    </row>
    <row r="102" spans="17:38">
      <c r="Q102" s="37">
        <v>20</v>
      </c>
      <c r="R102" s="37" t="s">
        <v>94</v>
      </c>
      <c r="S102" s="56">
        <f t="shared" si="31"/>
        <v>172.35</v>
      </c>
      <c r="T102" s="56">
        <f t="shared" si="32"/>
        <v>63.195</v>
      </c>
      <c r="U102" s="56">
        <f t="shared" si="33"/>
        <v>10.1112</v>
      </c>
      <c r="V102" s="56">
        <f t="shared" si="34"/>
        <v>45.96</v>
      </c>
      <c r="W102" s="56">
        <f t="shared" si="35"/>
        <v>10.1112</v>
      </c>
      <c r="X102" s="56">
        <f t="shared" si="36"/>
        <v>17.235</v>
      </c>
      <c r="Y102" s="4">
        <v>1</v>
      </c>
      <c r="Z102" s="4">
        <v>0</v>
      </c>
      <c r="AB102" s="74">
        <f t="shared" si="37"/>
        <v>20</v>
      </c>
      <c r="AC102" s="74">
        <f t="shared" si="38"/>
        <v>2</v>
      </c>
      <c r="AD102" s="74">
        <f t="shared" si="39"/>
        <v>172</v>
      </c>
      <c r="AE102" s="74">
        <f t="shared" si="40"/>
        <v>63</v>
      </c>
      <c r="AF102" s="74">
        <f t="shared" si="41"/>
        <v>10</v>
      </c>
      <c r="AG102" s="74">
        <f t="shared" si="42"/>
        <v>45</v>
      </c>
      <c r="AH102" s="74">
        <f t="shared" si="43"/>
        <v>10</v>
      </c>
      <c r="AI102" s="74">
        <f t="shared" si="44"/>
        <v>17</v>
      </c>
      <c r="AJ102" s="74">
        <f t="shared" si="45"/>
        <v>1</v>
      </c>
      <c r="AK102" s="74">
        <f t="shared" si="46"/>
        <v>0</v>
      </c>
      <c r="AL102" s="4">
        <f t="shared" si="47"/>
        <v>1027</v>
      </c>
    </row>
    <row r="103" spans="17:38">
      <c r="Q103" s="37">
        <v>21</v>
      </c>
      <c r="R103" s="37" t="s">
        <v>94</v>
      </c>
      <c r="S103" s="56">
        <f t="shared" si="31"/>
        <v>179.55</v>
      </c>
      <c r="T103" s="56">
        <f t="shared" si="32"/>
        <v>65.835</v>
      </c>
      <c r="U103" s="56">
        <f t="shared" si="33"/>
        <v>10.5336</v>
      </c>
      <c r="V103" s="56">
        <f t="shared" si="34"/>
        <v>47.88</v>
      </c>
      <c r="W103" s="56">
        <f t="shared" si="35"/>
        <v>10.5336</v>
      </c>
      <c r="X103" s="56">
        <f t="shared" si="36"/>
        <v>17.955</v>
      </c>
      <c r="Y103" s="4">
        <v>1</v>
      </c>
      <c r="Z103" s="4">
        <v>0</v>
      </c>
      <c r="AB103" s="74">
        <f t="shared" si="37"/>
        <v>21</v>
      </c>
      <c r="AC103" s="74">
        <f t="shared" si="38"/>
        <v>2</v>
      </c>
      <c r="AD103" s="74">
        <f t="shared" si="39"/>
        <v>179</v>
      </c>
      <c r="AE103" s="74">
        <f t="shared" si="40"/>
        <v>65</v>
      </c>
      <c r="AF103" s="74">
        <f t="shared" si="41"/>
        <v>10</v>
      </c>
      <c r="AG103" s="74">
        <f t="shared" si="42"/>
        <v>47</v>
      </c>
      <c r="AH103" s="74">
        <f t="shared" si="43"/>
        <v>10</v>
      </c>
      <c r="AI103" s="74">
        <f t="shared" si="44"/>
        <v>17</v>
      </c>
      <c r="AJ103" s="74">
        <f t="shared" si="45"/>
        <v>1</v>
      </c>
      <c r="AK103" s="74">
        <f t="shared" si="46"/>
        <v>0</v>
      </c>
      <c r="AL103" s="4">
        <f t="shared" si="47"/>
        <v>1063</v>
      </c>
    </row>
    <row r="104" spans="17:38">
      <c r="Q104" s="37">
        <v>22</v>
      </c>
      <c r="R104" s="37" t="s">
        <v>94</v>
      </c>
      <c r="S104" s="56">
        <f t="shared" si="31"/>
        <v>186.75</v>
      </c>
      <c r="T104" s="56">
        <f t="shared" si="32"/>
        <v>68.475</v>
      </c>
      <c r="U104" s="56">
        <f t="shared" si="33"/>
        <v>10.956</v>
      </c>
      <c r="V104" s="56">
        <f t="shared" si="34"/>
        <v>49.8</v>
      </c>
      <c r="W104" s="56">
        <f t="shared" si="35"/>
        <v>10.956</v>
      </c>
      <c r="X104" s="56">
        <f t="shared" si="36"/>
        <v>18.675</v>
      </c>
      <c r="Y104" s="4">
        <v>1</v>
      </c>
      <c r="Z104" s="4">
        <v>0</v>
      </c>
      <c r="AB104" s="74">
        <f t="shared" si="37"/>
        <v>22</v>
      </c>
      <c r="AC104" s="74">
        <f t="shared" si="38"/>
        <v>2</v>
      </c>
      <c r="AD104" s="74">
        <f t="shared" si="39"/>
        <v>186</v>
      </c>
      <c r="AE104" s="74">
        <f t="shared" si="40"/>
        <v>68</v>
      </c>
      <c r="AF104" s="74">
        <f t="shared" si="41"/>
        <v>10</v>
      </c>
      <c r="AG104" s="74">
        <f t="shared" si="42"/>
        <v>49</v>
      </c>
      <c r="AH104" s="74">
        <f t="shared" si="43"/>
        <v>10</v>
      </c>
      <c r="AI104" s="74">
        <f t="shared" si="44"/>
        <v>18</v>
      </c>
      <c r="AJ104" s="74">
        <f t="shared" si="45"/>
        <v>1</v>
      </c>
      <c r="AK104" s="74">
        <f t="shared" si="46"/>
        <v>0</v>
      </c>
      <c r="AL104" s="4">
        <f t="shared" si="47"/>
        <v>1110</v>
      </c>
    </row>
    <row r="105" spans="17:38">
      <c r="Q105" s="37">
        <v>23</v>
      </c>
      <c r="R105" s="37" t="s">
        <v>94</v>
      </c>
      <c r="S105" s="56">
        <f t="shared" si="31"/>
        <v>193.95</v>
      </c>
      <c r="T105" s="56">
        <f t="shared" si="32"/>
        <v>71.115</v>
      </c>
      <c r="U105" s="56">
        <f t="shared" si="33"/>
        <v>11.3784</v>
      </c>
      <c r="V105" s="56">
        <f t="shared" si="34"/>
        <v>51.72</v>
      </c>
      <c r="W105" s="56">
        <f t="shared" si="35"/>
        <v>11.3784</v>
      </c>
      <c r="X105" s="56">
        <f t="shared" si="36"/>
        <v>19.395</v>
      </c>
      <c r="Y105" s="4">
        <v>1</v>
      </c>
      <c r="Z105" s="4">
        <v>0</v>
      </c>
      <c r="AB105" s="74">
        <f t="shared" si="37"/>
        <v>23</v>
      </c>
      <c r="AC105" s="74">
        <f t="shared" si="38"/>
        <v>2</v>
      </c>
      <c r="AD105" s="74">
        <f t="shared" si="39"/>
        <v>193</v>
      </c>
      <c r="AE105" s="74">
        <f t="shared" si="40"/>
        <v>71</v>
      </c>
      <c r="AF105" s="74">
        <f t="shared" si="41"/>
        <v>11</v>
      </c>
      <c r="AG105" s="74">
        <f t="shared" si="42"/>
        <v>51</v>
      </c>
      <c r="AH105" s="74">
        <f t="shared" si="43"/>
        <v>11</v>
      </c>
      <c r="AI105" s="74">
        <f t="shared" si="44"/>
        <v>19</v>
      </c>
      <c r="AJ105" s="74">
        <f t="shared" si="45"/>
        <v>1</v>
      </c>
      <c r="AK105" s="74">
        <f t="shared" si="46"/>
        <v>0</v>
      </c>
      <c r="AL105" s="4">
        <f t="shared" si="47"/>
        <v>1157</v>
      </c>
    </row>
    <row r="106" spans="17:38">
      <c r="Q106" s="37">
        <v>24</v>
      </c>
      <c r="R106" s="37" t="s">
        <v>94</v>
      </c>
      <c r="S106" s="56">
        <f t="shared" si="31"/>
        <v>201.15</v>
      </c>
      <c r="T106" s="56">
        <f t="shared" si="32"/>
        <v>73.755</v>
      </c>
      <c r="U106" s="56">
        <f t="shared" si="33"/>
        <v>11.8008</v>
      </c>
      <c r="V106" s="56">
        <f t="shared" si="34"/>
        <v>53.64</v>
      </c>
      <c r="W106" s="56">
        <f t="shared" si="35"/>
        <v>11.8008</v>
      </c>
      <c r="X106" s="56">
        <f t="shared" si="36"/>
        <v>20.115</v>
      </c>
      <c r="Y106" s="4">
        <v>1</v>
      </c>
      <c r="Z106" s="4">
        <v>0</v>
      </c>
      <c r="AB106" s="74">
        <f t="shared" si="37"/>
        <v>24</v>
      </c>
      <c r="AC106" s="74">
        <f t="shared" si="38"/>
        <v>2</v>
      </c>
      <c r="AD106" s="74">
        <f t="shared" si="39"/>
        <v>201</v>
      </c>
      <c r="AE106" s="74">
        <f t="shared" si="40"/>
        <v>73</v>
      </c>
      <c r="AF106" s="74">
        <f t="shared" si="41"/>
        <v>11</v>
      </c>
      <c r="AG106" s="74">
        <f t="shared" si="42"/>
        <v>53</v>
      </c>
      <c r="AH106" s="74">
        <f t="shared" si="43"/>
        <v>11</v>
      </c>
      <c r="AI106" s="74">
        <f t="shared" si="44"/>
        <v>20</v>
      </c>
      <c r="AJ106" s="74">
        <f t="shared" si="45"/>
        <v>1</v>
      </c>
      <c r="AK106" s="74">
        <f t="shared" si="46"/>
        <v>0</v>
      </c>
      <c r="AL106" s="4">
        <f t="shared" si="47"/>
        <v>1205</v>
      </c>
    </row>
    <row r="107" spans="17:38">
      <c r="Q107" s="37">
        <v>25</v>
      </c>
      <c r="R107" s="37" t="s">
        <v>94</v>
      </c>
      <c r="S107" s="56">
        <f t="shared" si="31"/>
        <v>208.35</v>
      </c>
      <c r="T107" s="56">
        <f t="shared" si="32"/>
        <v>76.395</v>
      </c>
      <c r="U107" s="56">
        <f t="shared" si="33"/>
        <v>12.2232</v>
      </c>
      <c r="V107" s="56">
        <f t="shared" si="34"/>
        <v>55.56</v>
      </c>
      <c r="W107" s="56">
        <f t="shared" si="35"/>
        <v>12.2232</v>
      </c>
      <c r="X107" s="56">
        <f t="shared" si="36"/>
        <v>20.835</v>
      </c>
      <c r="Y107" s="4">
        <v>1</v>
      </c>
      <c r="Z107" s="4">
        <v>0</v>
      </c>
      <c r="AB107" s="74">
        <f t="shared" si="37"/>
        <v>25</v>
      </c>
      <c r="AC107" s="74">
        <f t="shared" si="38"/>
        <v>2</v>
      </c>
      <c r="AD107" s="74">
        <f t="shared" si="39"/>
        <v>208</v>
      </c>
      <c r="AE107" s="74">
        <f t="shared" si="40"/>
        <v>76</v>
      </c>
      <c r="AF107" s="74">
        <f t="shared" si="41"/>
        <v>12</v>
      </c>
      <c r="AG107" s="74">
        <f t="shared" si="42"/>
        <v>55</v>
      </c>
      <c r="AH107" s="74">
        <f t="shared" si="43"/>
        <v>12</v>
      </c>
      <c r="AI107" s="74">
        <f t="shared" si="44"/>
        <v>20</v>
      </c>
      <c r="AJ107" s="74">
        <f t="shared" si="45"/>
        <v>1</v>
      </c>
      <c r="AK107" s="74">
        <f t="shared" si="46"/>
        <v>0</v>
      </c>
      <c r="AL107" s="4">
        <f t="shared" si="47"/>
        <v>1242</v>
      </c>
    </row>
    <row r="108" spans="17:38">
      <c r="Q108" s="37">
        <v>26</v>
      </c>
      <c r="R108" s="37" t="s">
        <v>94</v>
      </c>
      <c r="S108" s="56">
        <f t="shared" si="31"/>
        <v>215.55</v>
      </c>
      <c r="T108" s="56">
        <f t="shared" si="32"/>
        <v>79.035</v>
      </c>
      <c r="U108" s="56">
        <f t="shared" si="33"/>
        <v>12.6456</v>
      </c>
      <c r="V108" s="56">
        <f t="shared" si="34"/>
        <v>57.48</v>
      </c>
      <c r="W108" s="56">
        <f t="shared" si="35"/>
        <v>12.6456</v>
      </c>
      <c r="X108" s="56">
        <f t="shared" si="36"/>
        <v>21.555</v>
      </c>
      <c r="Y108" s="4">
        <v>1</v>
      </c>
      <c r="Z108" s="4">
        <v>0</v>
      </c>
      <c r="AB108" s="74">
        <f t="shared" si="37"/>
        <v>26</v>
      </c>
      <c r="AC108" s="74">
        <f t="shared" si="38"/>
        <v>2</v>
      </c>
      <c r="AD108" s="74">
        <f t="shared" si="39"/>
        <v>215</v>
      </c>
      <c r="AE108" s="74">
        <f t="shared" si="40"/>
        <v>79</v>
      </c>
      <c r="AF108" s="74">
        <f t="shared" si="41"/>
        <v>12</v>
      </c>
      <c r="AG108" s="74">
        <f t="shared" si="42"/>
        <v>57</v>
      </c>
      <c r="AH108" s="74">
        <f t="shared" si="43"/>
        <v>12</v>
      </c>
      <c r="AI108" s="74">
        <f t="shared" si="44"/>
        <v>21</v>
      </c>
      <c r="AJ108" s="74">
        <f t="shared" si="45"/>
        <v>1</v>
      </c>
      <c r="AK108" s="74">
        <f t="shared" si="46"/>
        <v>0</v>
      </c>
      <c r="AL108" s="4">
        <f t="shared" si="47"/>
        <v>1289</v>
      </c>
    </row>
    <row r="109" spans="17:38">
      <c r="Q109" s="37">
        <v>27</v>
      </c>
      <c r="R109" s="37" t="s">
        <v>94</v>
      </c>
      <c r="S109" s="56">
        <f t="shared" si="31"/>
        <v>222.75</v>
      </c>
      <c r="T109" s="56">
        <f t="shared" si="32"/>
        <v>81.675</v>
      </c>
      <c r="U109" s="56">
        <f t="shared" si="33"/>
        <v>13.068</v>
      </c>
      <c r="V109" s="56">
        <f t="shared" si="34"/>
        <v>59.4</v>
      </c>
      <c r="W109" s="56">
        <f t="shared" si="35"/>
        <v>13.068</v>
      </c>
      <c r="X109" s="56">
        <f t="shared" si="36"/>
        <v>22.275</v>
      </c>
      <c r="Y109" s="4">
        <v>1</v>
      </c>
      <c r="Z109" s="4">
        <v>0</v>
      </c>
      <c r="AB109" s="74">
        <f t="shared" si="37"/>
        <v>27</v>
      </c>
      <c r="AC109" s="74">
        <f t="shared" si="38"/>
        <v>2</v>
      </c>
      <c r="AD109" s="74">
        <f t="shared" si="39"/>
        <v>222</v>
      </c>
      <c r="AE109" s="74">
        <f t="shared" si="40"/>
        <v>81</v>
      </c>
      <c r="AF109" s="74">
        <f t="shared" si="41"/>
        <v>13</v>
      </c>
      <c r="AG109" s="74">
        <f t="shared" si="42"/>
        <v>59</v>
      </c>
      <c r="AH109" s="74">
        <f t="shared" si="43"/>
        <v>13</v>
      </c>
      <c r="AI109" s="74">
        <f t="shared" si="44"/>
        <v>22</v>
      </c>
      <c r="AJ109" s="74">
        <f t="shared" si="45"/>
        <v>1</v>
      </c>
      <c r="AK109" s="74">
        <f t="shared" si="46"/>
        <v>0</v>
      </c>
      <c r="AL109" s="4">
        <f t="shared" si="47"/>
        <v>1335</v>
      </c>
    </row>
    <row r="110" spans="17:38">
      <c r="Q110" s="37">
        <v>28</v>
      </c>
      <c r="R110" s="37" t="s">
        <v>94</v>
      </c>
      <c r="S110" s="56">
        <f t="shared" si="31"/>
        <v>229.95</v>
      </c>
      <c r="T110" s="56">
        <f t="shared" si="32"/>
        <v>84.315</v>
      </c>
      <c r="U110" s="56">
        <f t="shared" si="33"/>
        <v>13.4904</v>
      </c>
      <c r="V110" s="56">
        <f t="shared" si="34"/>
        <v>61.32</v>
      </c>
      <c r="W110" s="56">
        <f t="shared" si="35"/>
        <v>13.4904</v>
      </c>
      <c r="X110" s="56">
        <f t="shared" si="36"/>
        <v>22.995</v>
      </c>
      <c r="Y110" s="4">
        <v>1</v>
      </c>
      <c r="Z110" s="4">
        <v>0</v>
      </c>
      <c r="AB110" s="74">
        <f t="shared" si="37"/>
        <v>28</v>
      </c>
      <c r="AC110" s="74">
        <f t="shared" si="38"/>
        <v>2</v>
      </c>
      <c r="AD110" s="74">
        <f t="shared" si="39"/>
        <v>229</v>
      </c>
      <c r="AE110" s="74">
        <f t="shared" si="40"/>
        <v>84</v>
      </c>
      <c r="AF110" s="74">
        <f t="shared" si="41"/>
        <v>13</v>
      </c>
      <c r="AG110" s="74">
        <f t="shared" si="42"/>
        <v>61</v>
      </c>
      <c r="AH110" s="74">
        <f t="shared" si="43"/>
        <v>13</v>
      </c>
      <c r="AI110" s="74">
        <f t="shared" si="44"/>
        <v>22</v>
      </c>
      <c r="AJ110" s="74">
        <f t="shared" si="45"/>
        <v>1</v>
      </c>
      <c r="AK110" s="74">
        <f t="shared" si="46"/>
        <v>0</v>
      </c>
      <c r="AL110" s="4">
        <f t="shared" si="47"/>
        <v>1372</v>
      </c>
    </row>
    <row r="111" spans="17:38">
      <c r="Q111" s="37">
        <v>29</v>
      </c>
      <c r="R111" s="37" t="s">
        <v>94</v>
      </c>
      <c r="S111" s="56">
        <f t="shared" si="31"/>
        <v>237.15</v>
      </c>
      <c r="T111" s="56">
        <f t="shared" si="32"/>
        <v>86.955</v>
      </c>
      <c r="U111" s="56">
        <f t="shared" si="33"/>
        <v>13.9128</v>
      </c>
      <c r="V111" s="56">
        <f t="shared" si="34"/>
        <v>63.24</v>
      </c>
      <c r="W111" s="56">
        <f t="shared" si="35"/>
        <v>13.9128</v>
      </c>
      <c r="X111" s="56">
        <f t="shared" si="36"/>
        <v>23.715</v>
      </c>
      <c r="Y111" s="4">
        <v>1</v>
      </c>
      <c r="Z111" s="4">
        <v>0</v>
      </c>
      <c r="AB111" s="74">
        <f t="shared" si="37"/>
        <v>29</v>
      </c>
      <c r="AC111" s="74">
        <f t="shared" si="38"/>
        <v>2</v>
      </c>
      <c r="AD111" s="74">
        <f t="shared" si="39"/>
        <v>237</v>
      </c>
      <c r="AE111" s="74">
        <f t="shared" si="40"/>
        <v>86</v>
      </c>
      <c r="AF111" s="74">
        <f t="shared" si="41"/>
        <v>13</v>
      </c>
      <c r="AG111" s="74">
        <f t="shared" si="42"/>
        <v>63</v>
      </c>
      <c r="AH111" s="74">
        <f t="shared" si="43"/>
        <v>13</v>
      </c>
      <c r="AI111" s="74">
        <f t="shared" si="44"/>
        <v>23</v>
      </c>
      <c r="AJ111" s="74">
        <f t="shared" si="45"/>
        <v>1</v>
      </c>
      <c r="AK111" s="74">
        <f t="shared" si="46"/>
        <v>0</v>
      </c>
      <c r="AL111" s="4">
        <f t="shared" si="47"/>
        <v>1420</v>
      </c>
    </row>
    <row r="112" spans="17:38">
      <c r="Q112" s="37">
        <v>30</v>
      </c>
      <c r="R112" s="37" t="s">
        <v>94</v>
      </c>
      <c r="S112" s="56">
        <f t="shared" si="31"/>
        <v>244.35</v>
      </c>
      <c r="T112" s="56">
        <f t="shared" si="32"/>
        <v>89.595</v>
      </c>
      <c r="U112" s="56">
        <f t="shared" si="33"/>
        <v>14.3352</v>
      </c>
      <c r="V112" s="56">
        <f t="shared" si="34"/>
        <v>65.16</v>
      </c>
      <c r="W112" s="56">
        <f t="shared" si="35"/>
        <v>14.3352</v>
      </c>
      <c r="X112" s="56">
        <f t="shared" si="36"/>
        <v>24.435</v>
      </c>
      <c r="Y112" s="4">
        <v>1</v>
      </c>
      <c r="Z112" s="4">
        <v>0</v>
      </c>
      <c r="AB112" s="74">
        <f t="shared" si="37"/>
        <v>30</v>
      </c>
      <c r="AC112" s="74">
        <f t="shared" si="38"/>
        <v>2</v>
      </c>
      <c r="AD112" s="74">
        <f t="shared" si="39"/>
        <v>244</v>
      </c>
      <c r="AE112" s="74">
        <f t="shared" si="40"/>
        <v>89</v>
      </c>
      <c r="AF112" s="74">
        <f t="shared" si="41"/>
        <v>14</v>
      </c>
      <c r="AG112" s="74">
        <f t="shared" si="42"/>
        <v>65</v>
      </c>
      <c r="AH112" s="74">
        <f t="shared" si="43"/>
        <v>14</v>
      </c>
      <c r="AI112" s="74">
        <f t="shared" si="44"/>
        <v>24</v>
      </c>
      <c r="AJ112" s="74">
        <f t="shared" si="45"/>
        <v>1</v>
      </c>
      <c r="AK112" s="74">
        <f t="shared" si="46"/>
        <v>0</v>
      </c>
      <c r="AL112" s="4">
        <f t="shared" si="47"/>
        <v>1467</v>
      </c>
    </row>
    <row r="113" spans="17:38">
      <c r="Q113" s="37">
        <v>31</v>
      </c>
      <c r="R113" s="37" t="s">
        <v>94</v>
      </c>
      <c r="S113" s="56">
        <f t="shared" si="31"/>
        <v>253.35</v>
      </c>
      <c r="T113" s="56">
        <f t="shared" si="32"/>
        <v>92.895</v>
      </c>
      <c r="U113" s="56">
        <f t="shared" si="33"/>
        <v>14.8632</v>
      </c>
      <c r="V113" s="56">
        <f t="shared" si="34"/>
        <v>67.56</v>
      </c>
      <c r="W113" s="56">
        <f t="shared" si="35"/>
        <v>14.8632</v>
      </c>
      <c r="X113" s="56">
        <f t="shared" si="36"/>
        <v>25.335</v>
      </c>
      <c r="Y113" s="4">
        <v>1</v>
      </c>
      <c r="Z113" s="4">
        <v>0</v>
      </c>
      <c r="AB113" s="74">
        <f t="shared" si="37"/>
        <v>31</v>
      </c>
      <c r="AC113" s="74">
        <f t="shared" si="38"/>
        <v>2</v>
      </c>
      <c r="AD113" s="74">
        <f t="shared" si="39"/>
        <v>253</v>
      </c>
      <c r="AE113" s="74">
        <f t="shared" si="40"/>
        <v>92</v>
      </c>
      <c r="AF113" s="74">
        <f t="shared" si="41"/>
        <v>14</v>
      </c>
      <c r="AG113" s="74">
        <f t="shared" si="42"/>
        <v>67</v>
      </c>
      <c r="AH113" s="74">
        <f t="shared" si="43"/>
        <v>14</v>
      </c>
      <c r="AI113" s="74">
        <f t="shared" si="44"/>
        <v>25</v>
      </c>
      <c r="AJ113" s="74">
        <f t="shared" si="45"/>
        <v>1</v>
      </c>
      <c r="AK113" s="74">
        <f t="shared" si="46"/>
        <v>0</v>
      </c>
      <c r="AL113" s="4">
        <f t="shared" si="47"/>
        <v>1518</v>
      </c>
    </row>
    <row r="114" spans="17:38">
      <c r="Q114" s="37">
        <v>32</v>
      </c>
      <c r="R114" s="37" t="s">
        <v>94</v>
      </c>
      <c r="S114" s="56">
        <f t="shared" si="31"/>
        <v>262.35</v>
      </c>
      <c r="T114" s="56">
        <f t="shared" si="32"/>
        <v>96.195</v>
      </c>
      <c r="U114" s="56">
        <f t="shared" si="33"/>
        <v>15.3912</v>
      </c>
      <c r="V114" s="56">
        <f t="shared" si="34"/>
        <v>69.96</v>
      </c>
      <c r="W114" s="56">
        <f t="shared" si="35"/>
        <v>15.3912</v>
      </c>
      <c r="X114" s="56">
        <f t="shared" si="36"/>
        <v>26.235</v>
      </c>
      <c r="Y114" s="4">
        <v>1</v>
      </c>
      <c r="Z114" s="4">
        <v>0</v>
      </c>
      <c r="AB114" s="74">
        <f t="shared" si="37"/>
        <v>32</v>
      </c>
      <c r="AC114" s="74">
        <f t="shared" si="38"/>
        <v>2</v>
      </c>
      <c r="AD114" s="74">
        <f t="shared" si="39"/>
        <v>262</v>
      </c>
      <c r="AE114" s="74">
        <f t="shared" si="40"/>
        <v>96</v>
      </c>
      <c r="AF114" s="74">
        <f t="shared" si="41"/>
        <v>15</v>
      </c>
      <c r="AG114" s="74">
        <f t="shared" si="42"/>
        <v>69</v>
      </c>
      <c r="AH114" s="74">
        <f t="shared" si="43"/>
        <v>15</v>
      </c>
      <c r="AI114" s="74">
        <f t="shared" si="44"/>
        <v>26</v>
      </c>
      <c r="AJ114" s="74">
        <f t="shared" si="45"/>
        <v>1</v>
      </c>
      <c r="AK114" s="74">
        <f t="shared" si="46"/>
        <v>0</v>
      </c>
      <c r="AL114" s="4">
        <f t="shared" si="47"/>
        <v>1570</v>
      </c>
    </row>
    <row r="115" spans="17:38">
      <c r="Q115" s="37">
        <v>33</v>
      </c>
      <c r="R115" s="37" t="s">
        <v>94</v>
      </c>
      <c r="S115" s="56">
        <f t="shared" si="31"/>
        <v>271.35</v>
      </c>
      <c r="T115" s="56">
        <f t="shared" si="32"/>
        <v>99.495</v>
      </c>
      <c r="U115" s="56">
        <f t="shared" si="33"/>
        <v>15.9192</v>
      </c>
      <c r="V115" s="56">
        <f t="shared" si="34"/>
        <v>72.36</v>
      </c>
      <c r="W115" s="56">
        <f t="shared" si="35"/>
        <v>15.9192</v>
      </c>
      <c r="X115" s="56">
        <f t="shared" si="36"/>
        <v>27.135</v>
      </c>
      <c r="Y115" s="4">
        <v>1</v>
      </c>
      <c r="Z115" s="4">
        <v>0</v>
      </c>
      <c r="AB115" s="74">
        <f t="shared" si="37"/>
        <v>33</v>
      </c>
      <c r="AC115" s="74">
        <f t="shared" si="38"/>
        <v>2</v>
      </c>
      <c r="AD115" s="74">
        <f t="shared" si="39"/>
        <v>271</v>
      </c>
      <c r="AE115" s="74">
        <f t="shared" si="40"/>
        <v>99</v>
      </c>
      <c r="AF115" s="74">
        <f t="shared" si="41"/>
        <v>15</v>
      </c>
      <c r="AG115" s="74">
        <f t="shared" si="42"/>
        <v>72</v>
      </c>
      <c r="AH115" s="74">
        <f t="shared" si="43"/>
        <v>15</v>
      </c>
      <c r="AI115" s="74">
        <f t="shared" si="44"/>
        <v>27</v>
      </c>
      <c r="AJ115" s="74">
        <f t="shared" si="45"/>
        <v>1</v>
      </c>
      <c r="AK115" s="74">
        <f t="shared" si="46"/>
        <v>0</v>
      </c>
      <c r="AL115" s="4">
        <f t="shared" si="47"/>
        <v>1631</v>
      </c>
    </row>
    <row r="116" spans="17:38">
      <c r="Q116" s="37">
        <v>34</v>
      </c>
      <c r="R116" s="37" t="s">
        <v>94</v>
      </c>
      <c r="S116" s="56">
        <f t="shared" si="31"/>
        <v>280.35</v>
      </c>
      <c r="T116" s="56">
        <f t="shared" si="32"/>
        <v>102.795</v>
      </c>
      <c r="U116" s="56">
        <f t="shared" si="33"/>
        <v>16.4472</v>
      </c>
      <c r="V116" s="56">
        <f t="shared" si="34"/>
        <v>74.76</v>
      </c>
      <c r="W116" s="56">
        <f t="shared" si="35"/>
        <v>16.4472</v>
      </c>
      <c r="X116" s="56">
        <f t="shared" si="36"/>
        <v>28.035</v>
      </c>
      <c r="Y116" s="4">
        <v>1</v>
      </c>
      <c r="Z116" s="4">
        <v>0</v>
      </c>
      <c r="AB116" s="74">
        <f t="shared" si="37"/>
        <v>34</v>
      </c>
      <c r="AC116" s="74">
        <f t="shared" si="38"/>
        <v>2</v>
      </c>
      <c r="AD116" s="74">
        <f t="shared" si="39"/>
        <v>280</v>
      </c>
      <c r="AE116" s="74">
        <f t="shared" si="40"/>
        <v>102</v>
      </c>
      <c r="AF116" s="74">
        <f t="shared" si="41"/>
        <v>16</v>
      </c>
      <c r="AG116" s="74">
        <f t="shared" si="42"/>
        <v>74</v>
      </c>
      <c r="AH116" s="74">
        <f t="shared" si="43"/>
        <v>16</v>
      </c>
      <c r="AI116" s="74">
        <f t="shared" si="44"/>
        <v>28</v>
      </c>
      <c r="AJ116" s="74">
        <f t="shared" si="45"/>
        <v>1</v>
      </c>
      <c r="AK116" s="74">
        <f t="shared" si="46"/>
        <v>0</v>
      </c>
      <c r="AL116" s="4">
        <f t="shared" si="47"/>
        <v>1682</v>
      </c>
    </row>
    <row r="117" spans="17:38">
      <c r="Q117" s="37">
        <v>35</v>
      </c>
      <c r="R117" s="37" t="s">
        <v>94</v>
      </c>
      <c r="S117" s="56">
        <f t="shared" si="31"/>
        <v>289.35</v>
      </c>
      <c r="T117" s="56">
        <f t="shared" si="32"/>
        <v>106.095</v>
      </c>
      <c r="U117" s="56">
        <f t="shared" si="33"/>
        <v>16.9752</v>
      </c>
      <c r="V117" s="56">
        <f t="shared" si="34"/>
        <v>77.1600000000001</v>
      </c>
      <c r="W117" s="56">
        <f t="shared" si="35"/>
        <v>16.9752</v>
      </c>
      <c r="X117" s="56">
        <f t="shared" si="36"/>
        <v>28.935</v>
      </c>
      <c r="Y117" s="4">
        <v>1</v>
      </c>
      <c r="Z117" s="4">
        <v>0</v>
      </c>
      <c r="AB117" s="74">
        <f t="shared" si="37"/>
        <v>35</v>
      </c>
      <c r="AC117" s="74">
        <f t="shared" si="38"/>
        <v>2</v>
      </c>
      <c r="AD117" s="74">
        <f t="shared" si="39"/>
        <v>289</v>
      </c>
      <c r="AE117" s="74">
        <f t="shared" si="40"/>
        <v>106</v>
      </c>
      <c r="AF117" s="74">
        <f t="shared" si="41"/>
        <v>16</v>
      </c>
      <c r="AG117" s="74">
        <f t="shared" si="42"/>
        <v>77</v>
      </c>
      <c r="AH117" s="74">
        <f t="shared" si="43"/>
        <v>16</v>
      </c>
      <c r="AI117" s="74">
        <f t="shared" si="44"/>
        <v>28</v>
      </c>
      <c r="AJ117" s="74">
        <f t="shared" si="45"/>
        <v>1</v>
      </c>
      <c r="AK117" s="74">
        <f t="shared" si="46"/>
        <v>0</v>
      </c>
      <c r="AL117" s="4">
        <f t="shared" si="47"/>
        <v>1734</v>
      </c>
    </row>
    <row r="118" spans="17:38">
      <c r="Q118" s="37">
        <v>36</v>
      </c>
      <c r="R118" s="37" t="s">
        <v>94</v>
      </c>
      <c r="S118" s="56">
        <f t="shared" si="31"/>
        <v>298.35</v>
      </c>
      <c r="T118" s="56">
        <f t="shared" si="32"/>
        <v>109.395</v>
      </c>
      <c r="U118" s="56">
        <f t="shared" si="33"/>
        <v>17.5032</v>
      </c>
      <c r="V118" s="56">
        <f t="shared" si="34"/>
        <v>79.5600000000001</v>
      </c>
      <c r="W118" s="56">
        <f t="shared" si="35"/>
        <v>17.5032</v>
      </c>
      <c r="X118" s="56">
        <f t="shared" si="36"/>
        <v>29.835</v>
      </c>
      <c r="Y118" s="4">
        <v>1</v>
      </c>
      <c r="Z118" s="4">
        <v>0</v>
      </c>
      <c r="AB118" s="74">
        <f t="shared" si="37"/>
        <v>36</v>
      </c>
      <c r="AC118" s="74">
        <f t="shared" si="38"/>
        <v>2</v>
      </c>
      <c r="AD118" s="74">
        <f t="shared" si="39"/>
        <v>298</v>
      </c>
      <c r="AE118" s="74">
        <f t="shared" si="40"/>
        <v>109</v>
      </c>
      <c r="AF118" s="74">
        <f t="shared" si="41"/>
        <v>17</v>
      </c>
      <c r="AG118" s="74">
        <f t="shared" si="42"/>
        <v>79</v>
      </c>
      <c r="AH118" s="74">
        <f t="shared" si="43"/>
        <v>17</v>
      </c>
      <c r="AI118" s="74">
        <f t="shared" si="44"/>
        <v>29</v>
      </c>
      <c r="AJ118" s="74">
        <f t="shared" si="45"/>
        <v>1</v>
      </c>
      <c r="AK118" s="74">
        <f t="shared" si="46"/>
        <v>0</v>
      </c>
      <c r="AL118" s="4">
        <f t="shared" si="47"/>
        <v>1785</v>
      </c>
    </row>
    <row r="119" spans="17:38">
      <c r="Q119" s="37">
        <v>37</v>
      </c>
      <c r="R119" s="37" t="s">
        <v>94</v>
      </c>
      <c r="S119" s="56">
        <f t="shared" si="31"/>
        <v>307.35</v>
      </c>
      <c r="T119" s="56">
        <f t="shared" si="32"/>
        <v>112.695</v>
      </c>
      <c r="U119" s="56">
        <f t="shared" si="33"/>
        <v>18.0312</v>
      </c>
      <c r="V119" s="56">
        <f t="shared" si="34"/>
        <v>81.9600000000001</v>
      </c>
      <c r="W119" s="56">
        <f t="shared" si="35"/>
        <v>18.0312</v>
      </c>
      <c r="X119" s="56">
        <f t="shared" si="36"/>
        <v>30.735</v>
      </c>
      <c r="Y119" s="4">
        <v>1</v>
      </c>
      <c r="Z119" s="4">
        <v>0</v>
      </c>
      <c r="AB119" s="74">
        <f t="shared" si="37"/>
        <v>37</v>
      </c>
      <c r="AC119" s="74">
        <f t="shared" si="38"/>
        <v>2</v>
      </c>
      <c r="AD119" s="74">
        <f t="shared" si="39"/>
        <v>307</v>
      </c>
      <c r="AE119" s="74">
        <f t="shared" si="40"/>
        <v>112</v>
      </c>
      <c r="AF119" s="74">
        <f t="shared" si="41"/>
        <v>18</v>
      </c>
      <c r="AG119" s="74">
        <f t="shared" si="42"/>
        <v>81</v>
      </c>
      <c r="AH119" s="74">
        <f t="shared" si="43"/>
        <v>18</v>
      </c>
      <c r="AI119" s="74">
        <f t="shared" si="44"/>
        <v>30</v>
      </c>
      <c r="AJ119" s="74">
        <f t="shared" si="45"/>
        <v>1</v>
      </c>
      <c r="AK119" s="74">
        <f t="shared" si="46"/>
        <v>0</v>
      </c>
      <c r="AL119" s="4">
        <f t="shared" si="47"/>
        <v>1836</v>
      </c>
    </row>
    <row r="120" spans="17:38">
      <c r="Q120" s="37">
        <v>38</v>
      </c>
      <c r="R120" s="37" t="s">
        <v>94</v>
      </c>
      <c r="S120" s="56">
        <f t="shared" si="31"/>
        <v>316.35</v>
      </c>
      <c r="T120" s="56">
        <f t="shared" si="32"/>
        <v>115.995</v>
      </c>
      <c r="U120" s="56">
        <f t="shared" si="33"/>
        <v>18.5592</v>
      </c>
      <c r="V120" s="56">
        <f t="shared" si="34"/>
        <v>84.3600000000001</v>
      </c>
      <c r="W120" s="56">
        <f t="shared" si="35"/>
        <v>18.5592</v>
      </c>
      <c r="X120" s="56">
        <f t="shared" si="36"/>
        <v>31.635</v>
      </c>
      <c r="Y120" s="4">
        <v>1</v>
      </c>
      <c r="Z120" s="4">
        <v>0</v>
      </c>
      <c r="AB120" s="74">
        <f t="shared" si="37"/>
        <v>38</v>
      </c>
      <c r="AC120" s="74">
        <f t="shared" si="38"/>
        <v>2</v>
      </c>
      <c r="AD120" s="74">
        <f t="shared" si="39"/>
        <v>316</v>
      </c>
      <c r="AE120" s="74">
        <f t="shared" si="40"/>
        <v>115</v>
      </c>
      <c r="AF120" s="74">
        <f t="shared" si="41"/>
        <v>18</v>
      </c>
      <c r="AG120" s="74">
        <f t="shared" si="42"/>
        <v>84</v>
      </c>
      <c r="AH120" s="74">
        <f t="shared" si="43"/>
        <v>18</v>
      </c>
      <c r="AI120" s="74">
        <f t="shared" si="44"/>
        <v>31</v>
      </c>
      <c r="AJ120" s="74">
        <f t="shared" si="45"/>
        <v>1</v>
      </c>
      <c r="AK120" s="74">
        <f t="shared" si="46"/>
        <v>0</v>
      </c>
      <c r="AL120" s="4">
        <f t="shared" si="47"/>
        <v>1897</v>
      </c>
    </row>
    <row r="121" spans="17:38">
      <c r="Q121" s="37">
        <v>39</v>
      </c>
      <c r="R121" s="37" t="s">
        <v>94</v>
      </c>
      <c r="S121" s="56">
        <f t="shared" si="31"/>
        <v>325.35</v>
      </c>
      <c r="T121" s="56">
        <f t="shared" si="32"/>
        <v>119.295</v>
      </c>
      <c r="U121" s="56">
        <f t="shared" si="33"/>
        <v>19.0872</v>
      </c>
      <c r="V121" s="56">
        <f t="shared" si="34"/>
        <v>86.7600000000001</v>
      </c>
      <c r="W121" s="56">
        <f t="shared" si="35"/>
        <v>19.0872</v>
      </c>
      <c r="X121" s="56">
        <f t="shared" si="36"/>
        <v>32.535</v>
      </c>
      <c r="Y121" s="4">
        <v>1</v>
      </c>
      <c r="Z121" s="4">
        <v>0</v>
      </c>
      <c r="AB121" s="74">
        <f t="shared" si="37"/>
        <v>39</v>
      </c>
      <c r="AC121" s="74">
        <f t="shared" si="38"/>
        <v>2</v>
      </c>
      <c r="AD121" s="74">
        <f t="shared" si="39"/>
        <v>325</v>
      </c>
      <c r="AE121" s="74">
        <f t="shared" si="40"/>
        <v>119</v>
      </c>
      <c r="AF121" s="74">
        <f t="shared" si="41"/>
        <v>19</v>
      </c>
      <c r="AG121" s="74">
        <f t="shared" si="42"/>
        <v>86</v>
      </c>
      <c r="AH121" s="74">
        <f t="shared" si="43"/>
        <v>19</v>
      </c>
      <c r="AI121" s="74">
        <f t="shared" si="44"/>
        <v>32</v>
      </c>
      <c r="AJ121" s="74">
        <f t="shared" si="45"/>
        <v>1</v>
      </c>
      <c r="AK121" s="74">
        <f t="shared" si="46"/>
        <v>0</v>
      </c>
      <c r="AL121" s="4">
        <f t="shared" si="47"/>
        <v>1949</v>
      </c>
    </row>
    <row r="122" spans="17:38">
      <c r="Q122" s="37">
        <v>40</v>
      </c>
      <c r="R122" s="37" t="s">
        <v>94</v>
      </c>
      <c r="S122" s="56">
        <f t="shared" si="31"/>
        <v>334.35</v>
      </c>
      <c r="T122" s="56">
        <f t="shared" si="32"/>
        <v>122.595</v>
      </c>
      <c r="U122" s="56">
        <f t="shared" si="33"/>
        <v>19.6152</v>
      </c>
      <c r="V122" s="56">
        <f t="shared" si="34"/>
        <v>89.1600000000001</v>
      </c>
      <c r="W122" s="56">
        <f t="shared" si="35"/>
        <v>19.6152</v>
      </c>
      <c r="X122" s="56">
        <f t="shared" si="36"/>
        <v>33.435</v>
      </c>
      <c r="Y122" s="4">
        <v>1</v>
      </c>
      <c r="Z122" s="4">
        <v>0</v>
      </c>
      <c r="AB122" s="74">
        <f t="shared" si="37"/>
        <v>40</v>
      </c>
      <c r="AC122" s="74">
        <f t="shared" si="38"/>
        <v>2</v>
      </c>
      <c r="AD122" s="74">
        <f t="shared" si="39"/>
        <v>334</v>
      </c>
      <c r="AE122" s="74">
        <f t="shared" si="40"/>
        <v>122</v>
      </c>
      <c r="AF122" s="74">
        <f t="shared" si="41"/>
        <v>19</v>
      </c>
      <c r="AG122" s="74">
        <f t="shared" si="42"/>
        <v>89</v>
      </c>
      <c r="AH122" s="74">
        <f t="shared" si="43"/>
        <v>19</v>
      </c>
      <c r="AI122" s="74">
        <f t="shared" si="44"/>
        <v>33</v>
      </c>
      <c r="AJ122" s="74">
        <f t="shared" si="45"/>
        <v>1</v>
      </c>
      <c r="AK122" s="74">
        <f t="shared" si="46"/>
        <v>0</v>
      </c>
      <c r="AL122" s="4">
        <f t="shared" si="47"/>
        <v>2010</v>
      </c>
    </row>
    <row r="123" spans="17:38">
      <c r="Q123" s="37">
        <v>41</v>
      </c>
      <c r="R123" s="37" t="s">
        <v>94</v>
      </c>
      <c r="S123" s="56">
        <f t="shared" si="31"/>
        <v>345.15</v>
      </c>
      <c r="T123" s="56">
        <f t="shared" si="32"/>
        <v>126.555</v>
      </c>
      <c r="U123" s="56">
        <f t="shared" si="33"/>
        <v>20.2488</v>
      </c>
      <c r="V123" s="56">
        <f t="shared" si="34"/>
        <v>92.0400000000001</v>
      </c>
      <c r="W123" s="56">
        <f t="shared" si="35"/>
        <v>20.2488</v>
      </c>
      <c r="X123" s="56">
        <f t="shared" si="36"/>
        <v>34.515</v>
      </c>
      <c r="Y123" s="4">
        <v>1</v>
      </c>
      <c r="Z123" s="4">
        <v>0</v>
      </c>
      <c r="AB123" s="74">
        <f t="shared" si="37"/>
        <v>41</v>
      </c>
      <c r="AC123" s="74">
        <f t="shared" si="38"/>
        <v>2</v>
      </c>
      <c r="AD123" s="74">
        <f t="shared" si="39"/>
        <v>345</v>
      </c>
      <c r="AE123" s="74">
        <f t="shared" si="40"/>
        <v>126</v>
      </c>
      <c r="AF123" s="74">
        <f t="shared" si="41"/>
        <v>20</v>
      </c>
      <c r="AG123" s="74">
        <f t="shared" si="42"/>
        <v>92</v>
      </c>
      <c r="AH123" s="74">
        <f t="shared" si="43"/>
        <v>20</v>
      </c>
      <c r="AI123" s="74">
        <f t="shared" si="44"/>
        <v>34</v>
      </c>
      <c r="AJ123" s="74">
        <f t="shared" si="45"/>
        <v>1</v>
      </c>
      <c r="AK123" s="74">
        <f t="shared" si="46"/>
        <v>0</v>
      </c>
      <c r="AL123" s="4">
        <f t="shared" si="47"/>
        <v>2076</v>
      </c>
    </row>
    <row r="124" spans="17:38">
      <c r="Q124" s="37">
        <v>42</v>
      </c>
      <c r="R124" s="37" t="s">
        <v>94</v>
      </c>
      <c r="S124" s="56">
        <f t="shared" si="31"/>
        <v>355.95</v>
      </c>
      <c r="T124" s="56">
        <f t="shared" si="32"/>
        <v>130.515</v>
      </c>
      <c r="U124" s="56">
        <f t="shared" si="33"/>
        <v>20.8824</v>
      </c>
      <c r="V124" s="56">
        <f t="shared" si="34"/>
        <v>94.9200000000001</v>
      </c>
      <c r="W124" s="56">
        <f t="shared" si="35"/>
        <v>20.8824</v>
      </c>
      <c r="X124" s="56">
        <f t="shared" si="36"/>
        <v>35.595</v>
      </c>
      <c r="Y124" s="4">
        <v>1</v>
      </c>
      <c r="Z124" s="4">
        <v>0</v>
      </c>
      <c r="AB124" s="74">
        <f t="shared" si="37"/>
        <v>42</v>
      </c>
      <c r="AC124" s="74">
        <f t="shared" si="38"/>
        <v>2</v>
      </c>
      <c r="AD124" s="74">
        <f t="shared" si="39"/>
        <v>355</v>
      </c>
      <c r="AE124" s="74">
        <f t="shared" si="40"/>
        <v>130</v>
      </c>
      <c r="AF124" s="74">
        <f t="shared" si="41"/>
        <v>20</v>
      </c>
      <c r="AG124" s="74">
        <f t="shared" si="42"/>
        <v>94</v>
      </c>
      <c r="AH124" s="74">
        <f t="shared" si="43"/>
        <v>20</v>
      </c>
      <c r="AI124" s="74">
        <f t="shared" si="44"/>
        <v>35</v>
      </c>
      <c r="AJ124" s="74">
        <f t="shared" si="45"/>
        <v>1</v>
      </c>
      <c r="AK124" s="74">
        <f t="shared" si="46"/>
        <v>0</v>
      </c>
      <c r="AL124" s="4">
        <f t="shared" si="47"/>
        <v>2130</v>
      </c>
    </row>
    <row r="125" spans="17:38">
      <c r="Q125" s="37">
        <v>43</v>
      </c>
      <c r="R125" s="37" t="s">
        <v>94</v>
      </c>
      <c r="S125" s="56">
        <f t="shared" si="31"/>
        <v>366.75</v>
      </c>
      <c r="T125" s="56">
        <f t="shared" si="32"/>
        <v>134.475</v>
      </c>
      <c r="U125" s="56">
        <f t="shared" si="33"/>
        <v>21.516</v>
      </c>
      <c r="V125" s="56">
        <f t="shared" si="34"/>
        <v>97.8000000000001</v>
      </c>
      <c r="W125" s="56">
        <f t="shared" si="35"/>
        <v>21.516</v>
      </c>
      <c r="X125" s="56">
        <f t="shared" si="36"/>
        <v>36.675</v>
      </c>
      <c r="Y125" s="4">
        <v>1</v>
      </c>
      <c r="Z125" s="4">
        <v>0</v>
      </c>
      <c r="AB125" s="74">
        <f t="shared" si="37"/>
        <v>43</v>
      </c>
      <c r="AC125" s="74">
        <f t="shared" si="38"/>
        <v>2</v>
      </c>
      <c r="AD125" s="74">
        <f t="shared" si="39"/>
        <v>366</v>
      </c>
      <c r="AE125" s="74">
        <f t="shared" si="40"/>
        <v>134</v>
      </c>
      <c r="AF125" s="74">
        <f t="shared" si="41"/>
        <v>21</v>
      </c>
      <c r="AG125" s="74">
        <f t="shared" si="42"/>
        <v>97</v>
      </c>
      <c r="AH125" s="74">
        <f t="shared" si="43"/>
        <v>21</v>
      </c>
      <c r="AI125" s="74">
        <f t="shared" si="44"/>
        <v>36</v>
      </c>
      <c r="AJ125" s="74">
        <f t="shared" si="45"/>
        <v>1</v>
      </c>
      <c r="AK125" s="74">
        <f t="shared" si="46"/>
        <v>0</v>
      </c>
      <c r="AL125" s="4">
        <f t="shared" si="47"/>
        <v>2196</v>
      </c>
    </row>
    <row r="126" spans="17:38">
      <c r="Q126" s="37">
        <v>44</v>
      </c>
      <c r="R126" s="37" t="s">
        <v>94</v>
      </c>
      <c r="S126" s="56">
        <f t="shared" si="31"/>
        <v>377.55</v>
      </c>
      <c r="T126" s="56">
        <f t="shared" si="32"/>
        <v>138.435</v>
      </c>
      <c r="U126" s="56">
        <f t="shared" si="33"/>
        <v>22.1496</v>
      </c>
      <c r="V126" s="56">
        <f t="shared" si="34"/>
        <v>100.68</v>
      </c>
      <c r="W126" s="56">
        <f t="shared" si="35"/>
        <v>22.1496</v>
      </c>
      <c r="X126" s="56">
        <f t="shared" si="36"/>
        <v>37.755</v>
      </c>
      <c r="Y126" s="4">
        <v>1</v>
      </c>
      <c r="Z126" s="4">
        <v>0</v>
      </c>
      <c r="AB126" s="74">
        <f t="shared" si="37"/>
        <v>44</v>
      </c>
      <c r="AC126" s="74">
        <f t="shared" si="38"/>
        <v>2</v>
      </c>
      <c r="AD126" s="74">
        <f t="shared" si="39"/>
        <v>377</v>
      </c>
      <c r="AE126" s="74">
        <f t="shared" si="40"/>
        <v>138</v>
      </c>
      <c r="AF126" s="74">
        <f t="shared" si="41"/>
        <v>22</v>
      </c>
      <c r="AG126" s="74">
        <f t="shared" si="42"/>
        <v>100</v>
      </c>
      <c r="AH126" s="74">
        <f t="shared" si="43"/>
        <v>22</v>
      </c>
      <c r="AI126" s="74">
        <f t="shared" si="44"/>
        <v>37</v>
      </c>
      <c r="AJ126" s="74">
        <f t="shared" si="45"/>
        <v>1</v>
      </c>
      <c r="AK126" s="74">
        <f t="shared" si="46"/>
        <v>0</v>
      </c>
      <c r="AL126" s="4">
        <f t="shared" si="47"/>
        <v>2262</v>
      </c>
    </row>
    <row r="127" spans="17:38">
      <c r="Q127" s="37">
        <v>45</v>
      </c>
      <c r="R127" s="37" t="s">
        <v>94</v>
      </c>
      <c r="S127" s="56">
        <f t="shared" si="31"/>
        <v>388.35</v>
      </c>
      <c r="T127" s="56">
        <f t="shared" si="32"/>
        <v>142.395</v>
      </c>
      <c r="U127" s="56">
        <f t="shared" si="33"/>
        <v>22.7832</v>
      </c>
      <c r="V127" s="56">
        <f t="shared" si="34"/>
        <v>103.56</v>
      </c>
      <c r="W127" s="56">
        <f t="shared" si="35"/>
        <v>22.7832</v>
      </c>
      <c r="X127" s="56">
        <f t="shared" si="36"/>
        <v>38.835</v>
      </c>
      <c r="Y127" s="4">
        <v>1</v>
      </c>
      <c r="Z127" s="4">
        <v>0</v>
      </c>
      <c r="AB127" s="74">
        <f t="shared" si="37"/>
        <v>45</v>
      </c>
      <c r="AC127" s="74">
        <f t="shared" si="38"/>
        <v>2</v>
      </c>
      <c r="AD127" s="74">
        <f t="shared" si="39"/>
        <v>388</v>
      </c>
      <c r="AE127" s="74">
        <f t="shared" si="40"/>
        <v>142</v>
      </c>
      <c r="AF127" s="74">
        <f t="shared" si="41"/>
        <v>22</v>
      </c>
      <c r="AG127" s="74">
        <f t="shared" si="42"/>
        <v>103</v>
      </c>
      <c r="AH127" s="74">
        <f t="shared" si="43"/>
        <v>22</v>
      </c>
      <c r="AI127" s="74">
        <f t="shared" si="44"/>
        <v>38</v>
      </c>
      <c r="AJ127" s="74">
        <f t="shared" si="45"/>
        <v>1</v>
      </c>
      <c r="AK127" s="74">
        <f t="shared" si="46"/>
        <v>0</v>
      </c>
      <c r="AL127" s="4">
        <f t="shared" si="47"/>
        <v>2328</v>
      </c>
    </row>
    <row r="128" spans="17:38">
      <c r="Q128" s="37">
        <v>46</v>
      </c>
      <c r="R128" s="37" t="s">
        <v>94</v>
      </c>
      <c r="S128" s="56">
        <f t="shared" si="31"/>
        <v>399.15</v>
      </c>
      <c r="T128" s="56">
        <f t="shared" si="32"/>
        <v>146.355</v>
      </c>
      <c r="U128" s="56">
        <f t="shared" si="33"/>
        <v>23.4168</v>
      </c>
      <c r="V128" s="56">
        <f t="shared" si="34"/>
        <v>106.44</v>
      </c>
      <c r="W128" s="56">
        <f t="shared" si="35"/>
        <v>23.4168</v>
      </c>
      <c r="X128" s="56">
        <f t="shared" si="36"/>
        <v>39.915</v>
      </c>
      <c r="Y128" s="4">
        <v>1</v>
      </c>
      <c r="Z128" s="4">
        <v>0</v>
      </c>
      <c r="AB128" s="74">
        <f t="shared" si="37"/>
        <v>46</v>
      </c>
      <c r="AC128" s="74">
        <f t="shared" si="38"/>
        <v>2</v>
      </c>
      <c r="AD128" s="74">
        <f t="shared" si="39"/>
        <v>399</v>
      </c>
      <c r="AE128" s="74">
        <f t="shared" si="40"/>
        <v>146</v>
      </c>
      <c r="AF128" s="74">
        <f t="shared" si="41"/>
        <v>23</v>
      </c>
      <c r="AG128" s="74">
        <f t="shared" si="42"/>
        <v>106</v>
      </c>
      <c r="AH128" s="74">
        <f t="shared" si="43"/>
        <v>23</v>
      </c>
      <c r="AI128" s="74">
        <f t="shared" si="44"/>
        <v>39</v>
      </c>
      <c r="AJ128" s="74">
        <f t="shared" si="45"/>
        <v>1</v>
      </c>
      <c r="AK128" s="74">
        <f t="shared" si="46"/>
        <v>0</v>
      </c>
      <c r="AL128" s="4">
        <f t="shared" si="47"/>
        <v>2394</v>
      </c>
    </row>
    <row r="129" spans="17:38">
      <c r="Q129" s="37">
        <v>47</v>
      </c>
      <c r="R129" s="37" t="s">
        <v>94</v>
      </c>
      <c r="S129" s="56">
        <f t="shared" si="31"/>
        <v>409.95</v>
      </c>
      <c r="T129" s="56">
        <f t="shared" si="32"/>
        <v>150.315</v>
      </c>
      <c r="U129" s="56">
        <f t="shared" si="33"/>
        <v>24.0504</v>
      </c>
      <c r="V129" s="56">
        <f t="shared" si="34"/>
        <v>109.32</v>
      </c>
      <c r="W129" s="56">
        <f t="shared" si="35"/>
        <v>24.0504</v>
      </c>
      <c r="X129" s="56">
        <f t="shared" si="36"/>
        <v>40.995</v>
      </c>
      <c r="Y129" s="4">
        <v>1</v>
      </c>
      <c r="Z129" s="4">
        <v>0</v>
      </c>
      <c r="AB129" s="74">
        <f t="shared" si="37"/>
        <v>47</v>
      </c>
      <c r="AC129" s="74">
        <f t="shared" si="38"/>
        <v>2</v>
      </c>
      <c r="AD129" s="74">
        <f t="shared" si="39"/>
        <v>409</v>
      </c>
      <c r="AE129" s="74">
        <f t="shared" si="40"/>
        <v>150</v>
      </c>
      <c r="AF129" s="74">
        <f t="shared" si="41"/>
        <v>24</v>
      </c>
      <c r="AG129" s="74">
        <f t="shared" si="42"/>
        <v>109</v>
      </c>
      <c r="AH129" s="74">
        <f t="shared" si="43"/>
        <v>24</v>
      </c>
      <c r="AI129" s="74">
        <f t="shared" si="44"/>
        <v>40</v>
      </c>
      <c r="AJ129" s="74">
        <f t="shared" si="45"/>
        <v>1</v>
      </c>
      <c r="AK129" s="74">
        <f t="shared" si="46"/>
        <v>0</v>
      </c>
      <c r="AL129" s="4">
        <f t="shared" si="47"/>
        <v>2458</v>
      </c>
    </row>
    <row r="130" spans="17:38">
      <c r="Q130" s="37">
        <v>48</v>
      </c>
      <c r="R130" s="37" t="s">
        <v>94</v>
      </c>
      <c r="S130" s="56">
        <f t="shared" si="31"/>
        <v>420.75</v>
      </c>
      <c r="T130" s="56">
        <f t="shared" si="32"/>
        <v>154.275</v>
      </c>
      <c r="U130" s="56">
        <f t="shared" si="33"/>
        <v>24.684</v>
      </c>
      <c r="V130" s="56">
        <f t="shared" si="34"/>
        <v>112.2</v>
      </c>
      <c r="W130" s="56">
        <f t="shared" si="35"/>
        <v>24.684</v>
      </c>
      <c r="X130" s="56">
        <f t="shared" si="36"/>
        <v>42.075</v>
      </c>
      <c r="Y130" s="4">
        <v>1</v>
      </c>
      <c r="Z130" s="4">
        <v>0</v>
      </c>
      <c r="AB130" s="74">
        <f t="shared" si="37"/>
        <v>48</v>
      </c>
      <c r="AC130" s="74">
        <f t="shared" si="38"/>
        <v>2</v>
      </c>
      <c r="AD130" s="74">
        <f t="shared" si="39"/>
        <v>420</v>
      </c>
      <c r="AE130" s="74">
        <f t="shared" si="40"/>
        <v>154</v>
      </c>
      <c r="AF130" s="74">
        <f t="shared" si="41"/>
        <v>24</v>
      </c>
      <c r="AG130" s="74">
        <f t="shared" si="42"/>
        <v>112</v>
      </c>
      <c r="AH130" s="74">
        <f t="shared" si="43"/>
        <v>24</v>
      </c>
      <c r="AI130" s="74">
        <f t="shared" si="44"/>
        <v>42</v>
      </c>
      <c r="AJ130" s="74">
        <f t="shared" si="45"/>
        <v>1</v>
      </c>
      <c r="AK130" s="74">
        <f t="shared" si="46"/>
        <v>0</v>
      </c>
      <c r="AL130" s="4">
        <f t="shared" si="47"/>
        <v>2534</v>
      </c>
    </row>
    <row r="131" spans="17:38">
      <c r="Q131" s="37">
        <v>49</v>
      </c>
      <c r="R131" s="37" t="s">
        <v>94</v>
      </c>
      <c r="S131" s="56">
        <f t="shared" si="31"/>
        <v>431.55</v>
      </c>
      <c r="T131" s="56">
        <f t="shared" si="32"/>
        <v>158.235</v>
      </c>
      <c r="U131" s="56">
        <f t="shared" si="33"/>
        <v>25.3176</v>
      </c>
      <c r="V131" s="56">
        <f t="shared" si="34"/>
        <v>115.08</v>
      </c>
      <c r="W131" s="56">
        <f t="shared" si="35"/>
        <v>25.3176</v>
      </c>
      <c r="X131" s="56">
        <f t="shared" si="36"/>
        <v>43.155</v>
      </c>
      <c r="Y131" s="4">
        <v>1</v>
      </c>
      <c r="Z131" s="4">
        <v>0</v>
      </c>
      <c r="AB131" s="74">
        <f t="shared" si="37"/>
        <v>49</v>
      </c>
      <c r="AC131" s="74">
        <f t="shared" si="38"/>
        <v>2</v>
      </c>
      <c r="AD131" s="74">
        <f t="shared" si="39"/>
        <v>431</v>
      </c>
      <c r="AE131" s="74">
        <f t="shared" si="40"/>
        <v>158</v>
      </c>
      <c r="AF131" s="74">
        <f t="shared" si="41"/>
        <v>25</v>
      </c>
      <c r="AG131" s="74">
        <f t="shared" si="42"/>
        <v>115</v>
      </c>
      <c r="AH131" s="74">
        <f t="shared" si="43"/>
        <v>25</v>
      </c>
      <c r="AI131" s="74">
        <f t="shared" si="44"/>
        <v>43</v>
      </c>
      <c r="AJ131" s="74">
        <f t="shared" si="45"/>
        <v>1</v>
      </c>
      <c r="AK131" s="74">
        <f t="shared" si="46"/>
        <v>0</v>
      </c>
      <c r="AL131" s="4">
        <f t="shared" si="47"/>
        <v>2600</v>
      </c>
    </row>
    <row r="132" spans="17:38">
      <c r="Q132" s="37">
        <v>50</v>
      </c>
      <c r="R132" s="37" t="s">
        <v>94</v>
      </c>
      <c r="S132" s="56">
        <f t="shared" ref="S132:S195" si="48">IF($Q132=1,(D$3*VLOOKUP($R132,$C$4:$K$6,S$1,0)*LOOKUP($Q132,$M$8:$M$16,$O$8:$O$16)),(D$3*VLOOKUP($R132,$C$4:$K$6,S$1,0)*LOOKUP($Q132,$M$8:$M$16,$O$8:$O$16)+S131))</f>
        <v>442.35</v>
      </c>
      <c r="T132" s="56">
        <f t="shared" ref="T132:T195" si="49">IF($Q132=1,(E$3*VLOOKUP($R132,$C$4:$K$6,T$1,0)*LOOKUP($Q132,$M$8:$M$16,$O$8:$O$16)),(E$3*VLOOKUP($R132,$C$4:$K$6,T$1,0)*LOOKUP($Q132,$M$8:$M$16,$O$8:$O$16)+T131))</f>
        <v>162.195</v>
      </c>
      <c r="U132" s="56">
        <f t="shared" ref="U132:U195" si="50">IF($Q132=1,(F$3*VLOOKUP($R132,$C$4:$K$6,U$1,0)*LOOKUP($Q132,$M$8:$M$16,$O$8:$O$16)),(F$3*VLOOKUP($R132,$C$4:$K$6,U$1,0)*LOOKUP($Q132,$M$8:$M$16,$O$8:$O$16)+U131))</f>
        <v>25.9512</v>
      </c>
      <c r="V132" s="56">
        <f t="shared" ref="V132:V195" si="51">IF($Q132=1,(G$3*VLOOKUP($R132,$C$4:$K$6,V$1,0)*LOOKUP($Q132,$M$8:$M$16,$O$8:$O$16)),(G$3*VLOOKUP($R132,$C$4:$K$6,V$1,0)*LOOKUP($Q132,$M$8:$M$16,$O$8:$O$16)+V131))</f>
        <v>117.96</v>
      </c>
      <c r="W132" s="56">
        <f t="shared" ref="W132:W195" si="52">IF($Q132=1,(H$3*VLOOKUP($R132,$C$4:$K$6,W$1,0)*LOOKUP($Q132,$M$8:$M$16,$O$8:$O$16)),(H$3*VLOOKUP($R132,$C$4:$K$6,W$1,0)*LOOKUP($Q132,$M$8:$M$16,$O$8:$O$16)+W131))</f>
        <v>25.9512</v>
      </c>
      <c r="X132" s="56">
        <f t="shared" ref="X132:X195" si="53">IF($Q132=1,(I$3*VLOOKUP($R132,$C$4:$K$6,X$1,0)*LOOKUP($Q132,$M$8:$M$16,$O$8:$O$16)),(I$3*VLOOKUP($R132,$C$4:$K$6,X$1,0)*LOOKUP($Q132,$M$8:$M$16,$O$8:$O$16)+X131))</f>
        <v>44.235</v>
      </c>
      <c r="Y132" s="4">
        <v>1</v>
      </c>
      <c r="Z132" s="4">
        <v>0</v>
      </c>
      <c r="AB132" s="74">
        <f t="shared" ref="AB132:AB195" si="54">Q132</f>
        <v>50</v>
      </c>
      <c r="AC132" s="74">
        <f t="shared" ref="AC132:AC195" si="55">VLOOKUP(R132,$M$4:$N$6,2,0)</f>
        <v>2</v>
      </c>
      <c r="AD132" s="74">
        <f t="shared" ref="AD132:AD195" si="56">INT(S132)</f>
        <v>442</v>
      </c>
      <c r="AE132" s="74">
        <f t="shared" ref="AE132:AE195" si="57">INT(T132)</f>
        <v>162</v>
      </c>
      <c r="AF132" s="74">
        <f t="shared" ref="AF132:AF195" si="58">INT(U132)</f>
        <v>25</v>
      </c>
      <c r="AG132" s="74">
        <f t="shared" ref="AG132:AG195" si="59">INT(V132)</f>
        <v>117</v>
      </c>
      <c r="AH132" s="74">
        <f t="shared" ref="AH132:AH195" si="60">INT(W132)</f>
        <v>25</v>
      </c>
      <c r="AI132" s="74">
        <f t="shared" ref="AI132:AI195" si="61">INT(X132)</f>
        <v>44</v>
      </c>
      <c r="AJ132" s="74">
        <f t="shared" ref="AJ132:AJ195" si="62">INT(Y132)</f>
        <v>1</v>
      </c>
      <c r="AK132" s="74">
        <f t="shared" ref="AK132:AK195" si="63">INT(Z132)</f>
        <v>0</v>
      </c>
      <c r="AL132" s="4">
        <f t="shared" ref="AL132:AL195" si="64">$AD$1*AD132+$AE$1*AE132+MAX($AF$1:$AH$1)*MAX(AF132:AH132)+$AI$1*AI132</f>
        <v>2656</v>
      </c>
    </row>
    <row r="133" spans="17:38">
      <c r="Q133" s="37">
        <v>51</v>
      </c>
      <c r="R133" s="37" t="s">
        <v>94</v>
      </c>
      <c r="S133" s="56">
        <f t="shared" si="48"/>
        <v>455.85</v>
      </c>
      <c r="T133" s="56">
        <f t="shared" si="49"/>
        <v>167.145</v>
      </c>
      <c r="U133" s="56">
        <f t="shared" si="50"/>
        <v>26.7432</v>
      </c>
      <c r="V133" s="56">
        <f t="shared" si="51"/>
        <v>121.56</v>
      </c>
      <c r="W133" s="56">
        <f t="shared" si="52"/>
        <v>26.7432</v>
      </c>
      <c r="X133" s="56">
        <f t="shared" si="53"/>
        <v>45.585</v>
      </c>
      <c r="Y133" s="4">
        <v>1</v>
      </c>
      <c r="Z133" s="4">
        <v>0</v>
      </c>
      <c r="AB133" s="74">
        <f t="shared" si="54"/>
        <v>51</v>
      </c>
      <c r="AC133" s="74">
        <f t="shared" si="55"/>
        <v>2</v>
      </c>
      <c r="AD133" s="74">
        <f t="shared" si="56"/>
        <v>455</v>
      </c>
      <c r="AE133" s="74">
        <f t="shared" si="57"/>
        <v>167</v>
      </c>
      <c r="AF133" s="74">
        <f t="shared" si="58"/>
        <v>26</v>
      </c>
      <c r="AG133" s="74">
        <f t="shared" si="59"/>
        <v>121</v>
      </c>
      <c r="AH133" s="74">
        <f t="shared" si="60"/>
        <v>26</v>
      </c>
      <c r="AI133" s="74">
        <f t="shared" si="61"/>
        <v>45</v>
      </c>
      <c r="AJ133" s="74">
        <f t="shared" si="62"/>
        <v>1</v>
      </c>
      <c r="AK133" s="74">
        <f t="shared" si="63"/>
        <v>0</v>
      </c>
      <c r="AL133" s="4">
        <f t="shared" si="64"/>
        <v>2737</v>
      </c>
    </row>
    <row r="134" spans="17:38">
      <c r="Q134" s="37">
        <v>52</v>
      </c>
      <c r="R134" s="37" t="s">
        <v>94</v>
      </c>
      <c r="S134" s="56">
        <f t="shared" si="48"/>
        <v>469.35</v>
      </c>
      <c r="T134" s="56">
        <f t="shared" si="49"/>
        <v>172.095</v>
      </c>
      <c r="U134" s="56">
        <f t="shared" si="50"/>
        <v>27.5352</v>
      </c>
      <c r="V134" s="56">
        <f t="shared" si="51"/>
        <v>125.16</v>
      </c>
      <c r="W134" s="56">
        <f t="shared" si="52"/>
        <v>27.5352</v>
      </c>
      <c r="X134" s="56">
        <f t="shared" si="53"/>
        <v>46.935</v>
      </c>
      <c r="Y134" s="4">
        <v>1</v>
      </c>
      <c r="Z134" s="4">
        <v>0</v>
      </c>
      <c r="AB134" s="74">
        <f t="shared" si="54"/>
        <v>52</v>
      </c>
      <c r="AC134" s="74">
        <f t="shared" si="55"/>
        <v>2</v>
      </c>
      <c r="AD134" s="74">
        <f t="shared" si="56"/>
        <v>469</v>
      </c>
      <c r="AE134" s="74">
        <f t="shared" si="57"/>
        <v>172</v>
      </c>
      <c r="AF134" s="74">
        <f t="shared" si="58"/>
        <v>27</v>
      </c>
      <c r="AG134" s="74">
        <f t="shared" si="59"/>
        <v>125</v>
      </c>
      <c r="AH134" s="74">
        <f t="shared" si="60"/>
        <v>27</v>
      </c>
      <c r="AI134" s="74">
        <f t="shared" si="61"/>
        <v>46</v>
      </c>
      <c r="AJ134" s="74">
        <f t="shared" si="62"/>
        <v>1</v>
      </c>
      <c r="AK134" s="74">
        <f t="shared" si="63"/>
        <v>0</v>
      </c>
      <c r="AL134" s="4">
        <f t="shared" si="64"/>
        <v>2820</v>
      </c>
    </row>
    <row r="135" spans="17:38">
      <c r="Q135" s="37">
        <v>53</v>
      </c>
      <c r="R135" s="37" t="s">
        <v>94</v>
      </c>
      <c r="S135" s="56">
        <f t="shared" si="48"/>
        <v>482.85</v>
      </c>
      <c r="T135" s="56">
        <f t="shared" si="49"/>
        <v>177.045</v>
      </c>
      <c r="U135" s="56">
        <f t="shared" si="50"/>
        <v>28.3272</v>
      </c>
      <c r="V135" s="56">
        <f t="shared" si="51"/>
        <v>128.76</v>
      </c>
      <c r="W135" s="56">
        <f t="shared" si="52"/>
        <v>28.3272</v>
      </c>
      <c r="X135" s="56">
        <f t="shared" si="53"/>
        <v>48.285</v>
      </c>
      <c r="Y135" s="4">
        <v>1</v>
      </c>
      <c r="Z135" s="4">
        <v>0</v>
      </c>
      <c r="AB135" s="74">
        <f t="shared" si="54"/>
        <v>53</v>
      </c>
      <c r="AC135" s="74">
        <f t="shared" si="55"/>
        <v>2</v>
      </c>
      <c r="AD135" s="74">
        <f t="shared" si="56"/>
        <v>482</v>
      </c>
      <c r="AE135" s="74">
        <f t="shared" si="57"/>
        <v>177</v>
      </c>
      <c r="AF135" s="74">
        <f t="shared" si="58"/>
        <v>28</v>
      </c>
      <c r="AG135" s="74">
        <f t="shared" si="59"/>
        <v>128</v>
      </c>
      <c r="AH135" s="74">
        <f t="shared" si="60"/>
        <v>28</v>
      </c>
      <c r="AI135" s="74">
        <f t="shared" si="61"/>
        <v>48</v>
      </c>
      <c r="AJ135" s="74">
        <f t="shared" si="62"/>
        <v>1</v>
      </c>
      <c r="AK135" s="74">
        <f t="shared" si="63"/>
        <v>0</v>
      </c>
      <c r="AL135" s="4">
        <f t="shared" si="64"/>
        <v>2901</v>
      </c>
    </row>
    <row r="136" spans="17:38">
      <c r="Q136" s="37">
        <v>54</v>
      </c>
      <c r="R136" s="37" t="s">
        <v>94</v>
      </c>
      <c r="S136" s="56">
        <f t="shared" si="48"/>
        <v>496.35</v>
      </c>
      <c r="T136" s="56">
        <f t="shared" si="49"/>
        <v>181.995</v>
      </c>
      <c r="U136" s="56">
        <f t="shared" si="50"/>
        <v>29.1192</v>
      </c>
      <c r="V136" s="56">
        <f t="shared" si="51"/>
        <v>132.36</v>
      </c>
      <c r="W136" s="56">
        <f t="shared" si="52"/>
        <v>29.1192</v>
      </c>
      <c r="X136" s="56">
        <f t="shared" si="53"/>
        <v>49.635</v>
      </c>
      <c r="Y136" s="4">
        <v>1</v>
      </c>
      <c r="Z136" s="4">
        <v>0</v>
      </c>
      <c r="AB136" s="74">
        <f t="shared" si="54"/>
        <v>54</v>
      </c>
      <c r="AC136" s="74">
        <f t="shared" si="55"/>
        <v>2</v>
      </c>
      <c r="AD136" s="74">
        <f t="shared" si="56"/>
        <v>496</v>
      </c>
      <c r="AE136" s="74">
        <f t="shared" si="57"/>
        <v>181</v>
      </c>
      <c r="AF136" s="74">
        <f t="shared" si="58"/>
        <v>29</v>
      </c>
      <c r="AG136" s="74">
        <f t="shared" si="59"/>
        <v>132</v>
      </c>
      <c r="AH136" s="74">
        <f t="shared" si="60"/>
        <v>29</v>
      </c>
      <c r="AI136" s="74">
        <f t="shared" si="61"/>
        <v>49</v>
      </c>
      <c r="AJ136" s="74">
        <f t="shared" si="62"/>
        <v>1</v>
      </c>
      <c r="AK136" s="74">
        <f t="shared" si="63"/>
        <v>0</v>
      </c>
      <c r="AL136" s="4">
        <f t="shared" si="64"/>
        <v>2983</v>
      </c>
    </row>
    <row r="137" spans="17:38">
      <c r="Q137" s="37">
        <v>55</v>
      </c>
      <c r="R137" s="37" t="s">
        <v>94</v>
      </c>
      <c r="S137" s="56">
        <f t="shared" si="48"/>
        <v>509.85</v>
      </c>
      <c r="T137" s="56">
        <f t="shared" si="49"/>
        <v>186.945</v>
      </c>
      <c r="U137" s="56">
        <f t="shared" si="50"/>
        <v>29.9112</v>
      </c>
      <c r="V137" s="56">
        <f t="shared" si="51"/>
        <v>135.96</v>
      </c>
      <c r="W137" s="56">
        <f t="shared" si="52"/>
        <v>29.9112</v>
      </c>
      <c r="X137" s="56">
        <f t="shared" si="53"/>
        <v>50.985</v>
      </c>
      <c r="Y137" s="4">
        <v>1</v>
      </c>
      <c r="Z137" s="4">
        <v>0</v>
      </c>
      <c r="AB137" s="74">
        <f t="shared" si="54"/>
        <v>55</v>
      </c>
      <c r="AC137" s="74">
        <f t="shared" si="55"/>
        <v>2</v>
      </c>
      <c r="AD137" s="74">
        <f t="shared" si="56"/>
        <v>509</v>
      </c>
      <c r="AE137" s="74">
        <f t="shared" si="57"/>
        <v>186</v>
      </c>
      <c r="AF137" s="74">
        <f t="shared" si="58"/>
        <v>29</v>
      </c>
      <c r="AG137" s="74">
        <f t="shared" si="59"/>
        <v>135</v>
      </c>
      <c r="AH137" s="74">
        <f t="shared" si="60"/>
        <v>29</v>
      </c>
      <c r="AI137" s="74">
        <f t="shared" si="61"/>
        <v>50</v>
      </c>
      <c r="AJ137" s="74">
        <f t="shared" si="62"/>
        <v>1</v>
      </c>
      <c r="AK137" s="74">
        <f t="shared" si="63"/>
        <v>0</v>
      </c>
      <c r="AL137" s="4">
        <f t="shared" si="64"/>
        <v>3054</v>
      </c>
    </row>
    <row r="138" spans="17:38">
      <c r="Q138" s="37">
        <v>56</v>
      </c>
      <c r="R138" s="37" t="s">
        <v>94</v>
      </c>
      <c r="S138" s="56">
        <f t="shared" si="48"/>
        <v>523.35</v>
      </c>
      <c r="T138" s="56">
        <f t="shared" si="49"/>
        <v>191.895</v>
      </c>
      <c r="U138" s="56">
        <f t="shared" si="50"/>
        <v>30.7032</v>
      </c>
      <c r="V138" s="56">
        <f t="shared" si="51"/>
        <v>139.56</v>
      </c>
      <c r="W138" s="56">
        <f t="shared" si="52"/>
        <v>30.7032</v>
      </c>
      <c r="X138" s="56">
        <f t="shared" si="53"/>
        <v>52.335</v>
      </c>
      <c r="Y138" s="4">
        <v>1</v>
      </c>
      <c r="Z138" s="4">
        <v>0</v>
      </c>
      <c r="AB138" s="74">
        <f t="shared" si="54"/>
        <v>56</v>
      </c>
      <c r="AC138" s="74">
        <f t="shared" si="55"/>
        <v>2</v>
      </c>
      <c r="AD138" s="74">
        <f t="shared" si="56"/>
        <v>523</v>
      </c>
      <c r="AE138" s="74">
        <f t="shared" si="57"/>
        <v>191</v>
      </c>
      <c r="AF138" s="74">
        <f t="shared" si="58"/>
        <v>30</v>
      </c>
      <c r="AG138" s="74">
        <f t="shared" si="59"/>
        <v>139</v>
      </c>
      <c r="AH138" s="74">
        <f t="shared" si="60"/>
        <v>30</v>
      </c>
      <c r="AI138" s="74">
        <f t="shared" si="61"/>
        <v>52</v>
      </c>
      <c r="AJ138" s="74">
        <f t="shared" si="62"/>
        <v>1</v>
      </c>
      <c r="AK138" s="74">
        <f t="shared" si="63"/>
        <v>0</v>
      </c>
      <c r="AL138" s="4">
        <f t="shared" si="64"/>
        <v>3147</v>
      </c>
    </row>
    <row r="139" spans="17:38">
      <c r="Q139" s="37">
        <v>57</v>
      </c>
      <c r="R139" s="37" t="s">
        <v>94</v>
      </c>
      <c r="S139" s="56">
        <f t="shared" si="48"/>
        <v>536.85</v>
      </c>
      <c r="T139" s="56">
        <f t="shared" si="49"/>
        <v>196.845</v>
      </c>
      <c r="U139" s="56">
        <f t="shared" si="50"/>
        <v>31.4952</v>
      </c>
      <c r="V139" s="56">
        <f t="shared" si="51"/>
        <v>143.16</v>
      </c>
      <c r="W139" s="56">
        <f t="shared" si="52"/>
        <v>31.4952</v>
      </c>
      <c r="X139" s="56">
        <f t="shared" si="53"/>
        <v>53.685</v>
      </c>
      <c r="Y139" s="4">
        <v>1</v>
      </c>
      <c r="Z139" s="4">
        <v>0</v>
      </c>
      <c r="AB139" s="74">
        <f t="shared" si="54"/>
        <v>57</v>
      </c>
      <c r="AC139" s="74">
        <f t="shared" si="55"/>
        <v>2</v>
      </c>
      <c r="AD139" s="74">
        <f t="shared" si="56"/>
        <v>536</v>
      </c>
      <c r="AE139" s="74">
        <f t="shared" si="57"/>
        <v>196</v>
      </c>
      <c r="AF139" s="74">
        <f t="shared" si="58"/>
        <v>31</v>
      </c>
      <c r="AG139" s="74">
        <f t="shared" si="59"/>
        <v>143</v>
      </c>
      <c r="AH139" s="74">
        <f t="shared" si="60"/>
        <v>31</v>
      </c>
      <c r="AI139" s="74">
        <f t="shared" si="61"/>
        <v>53</v>
      </c>
      <c r="AJ139" s="74">
        <f t="shared" si="62"/>
        <v>1</v>
      </c>
      <c r="AK139" s="74">
        <f t="shared" si="63"/>
        <v>0</v>
      </c>
      <c r="AL139" s="4">
        <f t="shared" si="64"/>
        <v>3228</v>
      </c>
    </row>
    <row r="140" spans="17:38">
      <c r="Q140" s="37">
        <v>58</v>
      </c>
      <c r="R140" s="37" t="s">
        <v>94</v>
      </c>
      <c r="S140" s="56">
        <f t="shared" si="48"/>
        <v>550.35</v>
      </c>
      <c r="T140" s="56">
        <f t="shared" si="49"/>
        <v>201.795</v>
      </c>
      <c r="U140" s="56">
        <f t="shared" si="50"/>
        <v>32.2872</v>
      </c>
      <c r="V140" s="56">
        <f t="shared" si="51"/>
        <v>146.76</v>
      </c>
      <c r="W140" s="56">
        <f t="shared" si="52"/>
        <v>32.2872</v>
      </c>
      <c r="X140" s="56">
        <f t="shared" si="53"/>
        <v>55.035</v>
      </c>
      <c r="Y140" s="4">
        <v>1</v>
      </c>
      <c r="Z140" s="4">
        <v>0</v>
      </c>
      <c r="AB140" s="74">
        <f t="shared" si="54"/>
        <v>58</v>
      </c>
      <c r="AC140" s="74">
        <f t="shared" si="55"/>
        <v>2</v>
      </c>
      <c r="AD140" s="74">
        <f t="shared" si="56"/>
        <v>550</v>
      </c>
      <c r="AE140" s="74">
        <f t="shared" si="57"/>
        <v>201</v>
      </c>
      <c r="AF140" s="74">
        <f t="shared" si="58"/>
        <v>32</v>
      </c>
      <c r="AG140" s="74">
        <f t="shared" si="59"/>
        <v>146</v>
      </c>
      <c r="AH140" s="74">
        <f t="shared" si="60"/>
        <v>32</v>
      </c>
      <c r="AI140" s="74">
        <f t="shared" si="61"/>
        <v>55</v>
      </c>
      <c r="AJ140" s="74">
        <f t="shared" si="62"/>
        <v>1</v>
      </c>
      <c r="AK140" s="74">
        <f t="shared" si="63"/>
        <v>0</v>
      </c>
      <c r="AL140" s="4">
        <f t="shared" si="64"/>
        <v>3311</v>
      </c>
    </row>
    <row r="141" spans="17:38">
      <c r="Q141" s="37">
        <v>59</v>
      </c>
      <c r="R141" s="37" t="s">
        <v>94</v>
      </c>
      <c r="S141" s="56">
        <f t="shared" si="48"/>
        <v>563.85</v>
      </c>
      <c r="T141" s="56">
        <f t="shared" si="49"/>
        <v>206.745</v>
      </c>
      <c r="U141" s="56">
        <f t="shared" si="50"/>
        <v>33.0792</v>
      </c>
      <c r="V141" s="56">
        <f t="shared" si="51"/>
        <v>150.36</v>
      </c>
      <c r="W141" s="56">
        <f t="shared" si="52"/>
        <v>33.0792</v>
      </c>
      <c r="X141" s="56">
        <f t="shared" si="53"/>
        <v>56.385</v>
      </c>
      <c r="Y141" s="4">
        <v>1</v>
      </c>
      <c r="Z141" s="4">
        <v>0</v>
      </c>
      <c r="AB141" s="74">
        <f t="shared" si="54"/>
        <v>59</v>
      </c>
      <c r="AC141" s="74">
        <f t="shared" si="55"/>
        <v>2</v>
      </c>
      <c r="AD141" s="74">
        <f t="shared" si="56"/>
        <v>563</v>
      </c>
      <c r="AE141" s="74">
        <f t="shared" si="57"/>
        <v>206</v>
      </c>
      <c r="AF141" s="74">
        <f t="shared" si="58"/>
        <v>33</v>
      </c>
      <c r="AG141" s="74">
        <f t="shared" si="59"/>
        <v>150</v>
      </c>
      <c r="AH141" s="74">
        <f t="shared" si="60"/>
        <v>33</v>
      </c>
      <c r="AI141" s="74">
        <f t="shared" si="61"/>
        <v>56</v>
      </c>
      <c r="AJ141" s="74">
        <f t="shared" si="62"/>
        <v>1</v>
      </c>
      <c r="AK141" s="74">
        <f t="shared" si="63"/>
        <v>0</v>
      </c>
      <c r="AL141" s="4">
        <f t="shared" si="64"/>
        <v>3392</v>
      </c>
    </row>
    <row r="142" spans="17:38">
      <c r="Q142" s="37">
        <v>60</v>
      </c>
      <c r="R142" s="37" t="s">
        <v>94</v>
      </c>
      <c r="S142" s="56">
        <f t="shared" si="48"/>
        <v>577.35</v>
      </c>
      <c r="T142" s="56">
        <f t="shared" si="49"/>
        <v>211.695</v>
      </c>
      <c r="U142" s="56">
        <f t="shared" si="50"/>
        <v>33.8712</v>
      </c>
      <c r="V142" s="56">
        <f t="shared" si="51"/>
        <v>153.96</v>
      </c>
      <c r="W142" s="56">
        <f t="shared" si="52"/>
        <v>33.8712</v>
      </c>
      <c r="X142" s="56">
        <f t="shared" si="53"/>
        <v>57.735</v>
      </c>
      <c r="Y142" s="4">
        <v>1</v>
      </c>
      <c r="Z142" s="4">
        <v>0</v>
      </c>
      <c r="AB142" s="74">
        <f t="shared" si="54"/>
        <v>60</v>
      </c>
      <c r="AC142" s="74">
        <f t="shared" si="55"/>
        <v>2</v>
      </c>
      <c r="AD142" s="74">
        <f t="shared" si="56"/>
        <v>577</v>
      </c>
      <c r="AE142" s="74">
        <f t="shared" si="57"/>
        <v>211</v>
      </c>
      <c r="AF142" s="74">
        <f t="shared" si="58"/>
        <v>33</v>
      </c>
      <c r="AG142" s="74">
        <f t="shared" si="59"/>
        <v>153</v>
      </c>
      <c r="AH142" s="74">
        <f t="shared" si="60"/>
        <v>33</v>
      </c>
      <c r="AI142" s="74">
        <f t="shared" si="61"/>
        <v>57</v>
      </c>
      <c r="AJ142" s="74">
        <f t="shared" si="62"/>
        <v>1</v>
      </c>
      <c r="AK142" s="74">
        <f t="shared" si="63"/>
        <v>0</v>
      </c>
      <c r="AL142" s="4">
        <f t="shared" si="64"/>
        <v>3465</v>
      </c>
    </row>
    <row r="143" spans="17:38">
      <c r="Q143" s="37">
        <v>61</v>
      </c>
      <c r="R143" s="37" t="s">
        <v>94</v>
      </c>
      <c r="S143" s="56">
        <f t="shared" si="48"/>
        <v>593.55</v>
      </c>
      <c r="T143" s="56">
        <f t="shared" si="49"/>
        <v>217.635</v>
      </c>
      <c r="U143" s="56">
        <f t="shared" si="50"/>
        <v>34.8216</v>
      </c>
      <c r="V143" s="56">
        <f t="shared" si="51"/>
        <v>158.28</v>
      </c>
      <c r="W143" s="56">
        <f t="shared" si="52"/>
        <v>34.8216</v>
      </c>
      <c r="X143" s="56">
        <f t="shared" si="53"/>
        <v>59.355</v>
      </c>
      <c r="Y143" s="4">
        <v>1</v>
      </c>
      <c r="Z143" s="4">
        <v>0</v>
      </c>
      <c r="AB143" s="74">
        <f t="shared" si="54"/>
        <v>61</v>
      </c>
      <c r="AC143" s="74">
        <f t="shared" si="55"/>
        <v>2</v>
      </c>
      <c r="AD143" s="74">
        <f t="shared" si="56"/>
        <v>593</v>
      </c>
      <c r="AE143" s="74">
        <f t="shared" si="57"/>
        <v>217</v>
      </c>
      <c r="AF143" s="74">
        <f t="shared" si="58"/>
        <v>34</v>
      </c>
      <c r="AG143" s="74">
        <f t="shared" si="59"/>
        <v>158</v>
      </c>
      <c r="AH143" s="74">
        <f t="shared" si="60"/>
        <v>34</v>
      </c>
      <c r="AI143" s="74">
        <f t="shared" si="61"/>
        <v>59</v>
      </c>
      <c r="AJ143" s="74">
        <f t="shared" si="62"/>
        <v>1</v>
      </c>
      <c r="AK143" s="74">
        <f t="shared" si="63"/>
        <v>0</v>
      </c>
      <c r="AL143" s="4">
        <f t="shared" si="64"/>
        <v>3573</v>
      </c>
    </row>
    <row r="144" spans="17:38">
      <c r="Q144" s="37">
        <v>62</v>
      </c>
      <c r="R144" s="37" t="s">
        <v>94</v>
      </c>
      <c r="S144" s="56">
        <f t="shared" si="48"/>
        <v>609.75</v>
      </c>
      <c r="T144" s="56">
        <f t="shared" si="49"/>
        <v>223.575</v>
      </c>
      <c r="U144" s="56">
        <f t="shared" si="50"/>
        <v>35.772</v>
      </c>
      <c r="V144" s="56">
        <f t="shared" si="51"/>
        <v>162.6</v>
      </c>
      <c r="W144" s="56">
        <f t="shared" si="52"/>
        <v>35.772</v>
      </c>
      <c r="X144" s="56">
        <f t="shared" si="53"/>
        <v>60.975</v>
      </c>
      <c r="Y144" s="4">
        <v>1</v>
      </c>
      <c r="Z144" s="4">
        <v>0</v>
      </c>
      <c r="AB144" s="74">
        <f t="shared" si="54"/>
        <v>62</v>
      </c>
      <c r="AC144" s="74">
        <f t="shared" si="55"/>
        <v>2</v>
      </c>
      <c r="AD144" s="74">
        <f t="shared" si="56"/>
        <v>609</v>
      </c>
      <c r="AE144" s="74">
        <f t="shared" si="57"/>
        <v>223</v>
      </c>
      <c r="AF144" s="74">
        <f t="shared" si="58"/>
        <v>35</v>
      </c>
      <c r="AG144" s="74">
        <f t="shared" si="59"/>
        <v>162</v>
      </c>
      <c r="AH144" s="74">
        <f t="shared" si="60"/>
        <v>35</v>
      </c>
      <c r="AI144" s="74">
        <f t="shared" si="61"/>
        <v>60</v>
      </c>
      <c r="AJ144" s="74">
        <f t="shared" si="62"/>
        <v>1</v>
      </c>
      <c r="AK144" s="74">
        <f t="shared" si="63"/>
        <v>0</v>
      </c>
      <c r="AL144" s="4">
        <f t="shared" si="64"/>
        <v>3661</v>
      </c>
    </row>
    <row r="145" spans="17:38">
      <c r="Q145" s="37">
        <v>63</v>
      </c>
      <c r="R145" s="37" t="s">
        <v>94</v>
      </c>
      <c r="S145" s="56">
        <f t="shared" si="48"/>
        <v>625.95</v>
      </c>
      <c r="T145" s="56">
        <f t="shared" si="49"/>
        <v>229.515</v>
      </c>
      <c r="U145" s="56">
        <f t="shared" si="50"/>
        <v>36.7224</v>
      </c>
      <c r="V145" s="56">
        <f t="shared" si="51"/>
        <v>166.92</v>
      </c>
      <c r="W145" s="56">
        <f t="shared" si="52"/>
        <v>36.7224</v>
      </c>
      <c r="X145" s="56">
        <f t="shared" si="53"/>
        <v>62.595</v>
      </c>
      <c r="Y145" s="4">
        <v>1</v>
      </c>
      <c r="Z145" s="4">
        <v>0</v>
      </c>
      <c r="AB145" s="74">
        <f t="shared" si="54"/>
        <v>63</v>
      </c>
      <c r="AC145" s="74">
        <f t="shared" si="55"/>
        <v>2</v>
      </c>
      <c r="AD145" s="74">
        <f t="shared" si="56"/>
        <v>625</v>
      </c>
      <c r="AE145" s="74">
        <f t="shared" si="57"/>
        <v>229</v>
      </c>
      <c r="AF145" s="74">
        <f t="shared" si="58"/>
        <v>36</v>
      </c>
      <c r="AG145" s="74">
        <f t="shared" si="59"/>
        <v>166</v>
      </c>
      <c r="AH145" s="74">
        <f t="shared" si="60"/>
        <v>36</v>
      </c>
      <c r="AI145" s="74">
        <f t="shared" si="61"/>
        <v>62</v>
      </c>
      <c r="AJ145" s="74">
        <f t="shared" si="62"/>
        <v>1</v>
      </c>
      <c r="AK145" s="74">
        <f t="shared" si="63"/>
        <v>0</v>
      </c>
      <c r="AL145" s="4">
        <f t="shared" si="64"/>
        <v>3759</v>
      </c>
    </row>
    <row r="146" spans="17:38">
      <c r="Q146" s="37">
        <v>64</v>
      </c>
      <c r="R146" s="37" t="s">
        <v>94</v>
      </c>
      <c r="S146" s="56">
        <f t="shared" si="48"/>
        <v>642.15</v>
      </c>
      <c r="T146" s="56">
        <f t="shared" si="49"/>
        <v>235.455</v>
      </c>
      <c r="U146" s="56">
        <f t="shared" si="50"/>
        <v>37.6728</v>
      </c>
      <c r="V146" s="56">
        <f t="shared" si="51"/>
        <v>171.24</v>
      </c>
      <c r="W146" s="56">
        <f t="shared" si="52"/>
        <v>37.6728</v>
      </c>
      <c r="X146" s="56">
        <f t="shared" si="53"/>
        <v>64.215</v>
      </c>
      <c r="Y146" s="4">
        <v>1</v>
      </c>
      <c r="Z146" s="4">
        <v>0</v>
      </c>
      <c r="AB146" s="74">
        <f t="shared" si="54"/>
        <v>64</v>
      </c>
      <c r="AC146" s="74">
        <f t="shared" si="55"/>
        <v>2</v>
      </c>
      <c r="AD146" s="74">
        <f t="shared" si="56"/>
        <v>642</v>
      </c>
      <c r="AE146" s="74">
        <f t="shared" si="57"/>
        <v>235</v>
      </c>
      <c r="AF146" s="74">
        <f t="shared" si="58"/>
        <v>37</v>
      </c>
      <c r="AG146" s="74">
        <f t="shared" si="59"/>
        <v>171</v>
      </c>
      <c r="AH146" s="74">
        <f t="shared" si="60"/>
        <v>37</v>
      </c>
      <c r="AI146" s="74">
        <f t="shared" si="61"/>
        <v>64</v>
      </c>
      <c r="AJ146" s="74">
        <f t="shared" si="62"/>
        <v>1</v>
      </c>
      <c r="AK146" s="74">
        <f t="shared" si="63"/>
        <v>0</v>
      </c>
      <c r="AL146" s="4">
        <f t="shared" si="64"/>
        <v>3869</v>
      </c>
    </row>
    <row r="147" spans="17:38">
      <c r="Q147" s="37">
        <v>65</v>
      </c>
      <c r="R147" s="37" t="s">
        <v>94</v>
      </c>
      <c r="S147" s="56">
        <f t="shared" si="48"/>
        <v>658.35</v>
      </c>
      <c r="T147" s="56">
        <f t="shared" si="49"/>
        <v>241.395</v>
      </c>
      <c r="U147" s="56">
        <f t="shared" si="50"/>
        <v>38.6232</v>
      </c>
      <c r="V147" s="56">
        <f t="shared" si="51"/>
        <v>175.56</v>
      </c>
      <c r="W147" s="56">
        <f t="shared" si="52"/>
        <v>38.6232</v>
      </c>
      <c r="X147" s="56">
        <f t="shared" si="53"/>
        <v>65.835</v>
      </c>
      <c r="Y147" s="4">
        <v>1</v>
      </c>
      <c r="Z147" s="4">
        <v>0</v>
      </c>
      <c r="AB147" s="74">
        <f t="shared" si="54"/>
        <v>65</v>
      </c>
      <c r="AC147" s="74">
        <f t="shared" si="55"/>
        <v>2</v>
      </c>
      <c r="AD147" s="74">
        <f t="shared" si="56"/>
        <v>658</v>
      </c>
      <c r="AE147" s="74">
        <f t="shared" si="57"/>
        <v>241</v>
      </c>
      <c r="AF147" s="74">
        <f t="shared" si="58"/>
        <v>38</v>
      </c>
      <c r="AG147" s="74">
        <f t="shared" si="59"/>
        <v>175</v>
      </c>
      <c r="AH147" s="74">
        <f t="shared" si="60"/>
        <v>38</v>
      </c>
      <c r="AI147" s="74">
        <f t="shared" si="61"/>
        <v>65</v>
      </c>
      <c r="AJ147" s="74">
        <f t="shared" si="62"/>
        <v>1</v>
      </c>
      <c r="AK147" s="74">
        <f t="shared" si="63"/>
        <v>0</v>
      </c>
      <c r="AL147" s="4">
        <f t="shared" si="64"/>
        <v>3957</v>
      </c>
    </row>
    <row r="148" spans="17:38">
      <c r="Q148" s="37">
        <v>66</v>
      </c>
      <c r="R148" s="37" t="s">
        <v>94</v>
      </c>
      <c r="S148" s="56">
        <f t="shared" si="48"/>
        <v>674.55</v>
      </c>
      <c r="T148" s="56">
        <f t="shared" si="49"/>
        <v>247.335</v>
      </c>
      <c r="U148" s="56">
        <f t="shared" si="50"/>
        <v>39.5736</v>
      </c>
      <c r="V148" s="56">
        <f t="shared" si="51"/>
        <v>179.88</v>
      </c>
      <c r="W148" s="56">
        <f t="shared" si="52"/>
        <v>39.5736</v>
      </c>
      <c r="X148" s="56">
        <f t="shared" si="53"/>
        <v>67.455</v>
      </c>
      <c r="Y148" s="4">
        <v>1</v>
      </c>
      <c r="Z148" s="4">
        <v>0</v>
      </c>
      <c r="AB148" s="74">
        <f t="shared" si="54"/>
        <v>66</v>
      </c>
      <c r="AC148" s="74">
        <f t="shared" si="55"/>
        <v>2</v>
      </c>
      <c r="AD148" s="74">
        <f t="shared" si="56"/>
        <v>674</v>
      </c>
      <c r="AE148" s="74">
        <f t="shared" si="57"/>
        <v>247</v>
      </c>
      <c r="AF148" s="74">
        <f t="shared" si="58"/>
        <v>39</v>
      </c>
      <c r="AG148" s="74">
        <f t="shared" si="59"/>
        <v>179</v>
      </c>
      <c r="AH148" s="74">
        <f t="shared" si="60"/>
        <v>39</v>
      </c>
      <c r="AI148" s="74">
        <f t="shared" si="61"/>
        <v>67</v>
      </c>
      <c r="AJ148" s="74">
        <f t="shared" si="62"/>
        <v>1</v>
      </c>
      <c r="AK148" s="74">
        <f t="shared" si="63"/>
        <v>0</v>
      </c>
      <c r="AL148" s="4">
        <f t="shared" si="64"/>
        <v>4055</v>
      </c>
    </row>
    <row r="149" spans="17:38">
      <c r="Q149" s="37">
        <v>67</v>
      </c>
      <c r="R149" s="37" t="s">
        <v>94</v>
      </c>
      <c r="S149" s="56">
        <f t="shared" si="48"/>
        <v>690.75</v>
      </c>
      <c r="T149" s="56">
        <f t="shared" si="49"/>
        <v>253.275</v>
      </c>
      <c r="U149" s="56">
        <f t="shared" si="50"/>
        <v>40.524</v>
      </c>
      <c r="V149" s="56">
        <f t="shared" si="51"/>
        <v>184.2</v>
      </c>
      <c r="W149" s="56">
        <f t="shared" si="52"/>
        <v>40.524</v>
      </c>
      <c r="X149" s="56">
        <f t="shared" si="53"/>
        <v>69.075</v>
      </c>
      <c r="Y149" s="4">
        <v>1</v>
      </c>
      <c r="Z149" s="4">
        <v>0</v>
      </c>
      <c r="AB149" s="74">
        <f t="shared" si="54"/>
        <v>67</v>
      </c>
      <c r="AC149" s="74">
        <f t="shared" si="55"/>
        <v>2</v>
      </c>
      <c r="AD149" s="74">
        <f t="shared" si="56"/>
        <v>690</v>
      </c>
      <c r="AE149" s="74">
        <f t="shared" si="57"/>
        <v>253</v>
      </c>
      <c r="AF149" s="74">
        <f t="shared" si="58"/>
        <v>40</v>
      </c>
      <c r="AG149" s="74">
        <f t="shared" si="59"/>
        <v>184</v>
      </c>
      <c r="AH149" s="74">
        <f t="shared" si="60"/>
        <v>40</v>
      </c>
      <c r="AI149" s="74">
        <f t="shared" si="61"/>
        <v>69</v>
      </c>
      <c r="AJ149" s="74">
        <f t="shared" si="62"/>
        <v>1</v>
      </c>
      <c r="AK149" s="74">
        <f t="shared" si="63"/>
        <v>0</v>
      </c>
      <c r="AL149" s="4">
        <f t="shared" si="64"/>
        <v>4163</v>
      </c>
    </row>
    <row r="150" spans="17:38">
      <c r="Q150" s="37">
        <v>68</v>
      </c>
      <c r="R150" s="37" t="s">
        <v>94</v>
      </c>
      <c r="S150" s="56">
        <f t="shared" si="48"/>
        <v>706.95</v>
      </c>
      <c r="T150" s="56">
        <f t="shared" si="49"/>
        <v>259.215</v>
      </c>
      <c r="U150" s="56">
        <f t="shared" si="50"/>
        <v>41.4744</v>
      </c>
      <c r="V150" s="56">
        <f t="shared" si="51"/>
        <v>188.52</v>
      </c>
      <c r="W150" s="56">
        <f t="shared" si="52"/>
        <v>41.4744</v>
      </c>
      <c r="X150" s="56">
        <f t="shared" si="53"/>
        <v>70.695</v>
      </c>
      <c r="Y150" s="4">
        <v>1</v>
      </c>
      <c r="Z150" s="4">
        <v>0</v>
      </c>
      <c r="AB150" s="74">
        <f t="shared" si="54"/>
        <v>68</v>
      </c>
      <c r="AC150" s="74">
        <f t="shared" si="55"/>
        <v>2</v>
      </c>
      <c r="AD150" s="74">
        <f t="shared" si="56"/>
        <v>706</v>
      </c>
      <c r="AE150" s="74">
        <f t="shared" si="57"/>
        <v>259</v>
      </c>
      <c r="AF150" s="74">
        <f t="shared" si="58"/>
        <v>41</v>
      </c>
      <c r="AG150" s="74">
        <f t="shared" si="59"/>
        <v>188</v>
      </c>
      <c r="AH150" s="74">
        <f t="shared" si="60"/>
        <v>41</v>
      </c>
      <c r="AI150" s="74">
        <f t="shared" si="61"/>
        <v>70</v>
      </c>
      <c r="AJ150" s="74">
        <f t="shared" si="62"/>
        <v>1</v>
      </c>
      <c r="AK150" s="74">
        <f t="shared" si="63"/>
        <v>0</v>
      </c>
      <c r="AL150" s="4">
        <f t="shared" si="64"/>
        <v>4251</v>
      </c>
    </row>
    <row r="151" spans="17:38">
      <c r="Q151" s="37">
        <v>69</v>
      </c>
      <c r="R151" s="37" t="s">
        <v>94</v>
      </c>
      <c r="S151" s="56">
        <f t="shared" si="48"/>
        <v>723.15</v>
      </c>
      <c r="T151" s="56">
        <f t="shared" si="49"/>
        <v>265.155</v>
      </c>
      <c r="U151" s="56">
        <f t="shared" si="50"/>
        <v>42.4248</v>
      </c>
      <c r="V151" s="56">
        <f t="shared" si="51"/>
        <v>192.84</v>
      </c>
      <c r="W151" s="56">
        <f t="shared" si="52"/>
        <v>42.4248</v>
      </c>
      <c r="X151" s="56">
        <f t="shared" si="53"/>
        <v>72.315</v>
      </c>
      <c r="Y151" s="4">
        <v>1</v>
      </c>
      <c r="Z151" s="4">
        <v>0</v>
      </c>
      <c r="AB151" s="74">
        <f t="shared" si="54"/>
        <v>69</v>
      </c>
      <c r="AC151" s="74">
        <f t="shared" si="55"/>
        <v>2</v>
      </c>
      <c r="AD151" s="74">
        <f t="shared" si="56"/>
        <v>723</v>
      </c>
      <c r="AE151" s="74">
        <f t="shared" si="57"/>
        <v>265</v>
      </c>
      <c r="AF151" s="74">
        <f t="shared" si="58"/>
        <v>42</v>
      </c>
      <c r="AG151" s="74">
        <f t="shared" si="59"/>
        <v>192</v>
      </c>
      <c r="AH151" s="74">
        <f t="shared" si="60"/>
        <v>42</v>
      </c>
      <c r="AI151" s="74">
        <f t="shared" si="61"/>
        <v>72</v>
      </c>
      <c r="AJ151" s="74">
        <f t="shared" si="62"/>
        <v>1</v>
      </c>
      <c r="AK151" s="74">
        <f t="shared" si="63"/>
        <v>0</v>
      </c>
      <c r="AL151" s="4">
        <f t="shared" si="64"/>
        <v>4351</v>
      </c>
    </row>
    <row r="152" spans="17:38">
      <c r="Q152" s="37">
        <v>70</v>
      </c>
      <c r="R152" s="37" t="s">
        <v>94</v>
      </c>
      <c r="S152" s="56">
        <f t="shared" si="48"/>
        <v>739.35</v>
      </c>
      <c r="T152" s="56">
        <f t="shared" si="49"/>
        <v>271.095</v>
      </c>
      <c r="U152" s="56">
        <f t="shared" si="50"/>
        <v>43.3752</v>
      </c>
      <c r="V152" s="56">
        <f t="shared" si="51"/>
        <v>197.16</v>
      </c>
      <c r="W152" s="56">
        <f t="shared" si="52"/>
        <v>43.3752</v>
      </c>
      <c r="X152" s="56">
        <f t="shared" si="53"/>
        <v>73.935</v>
      </c>
      <c r="Y152" s="4">
        <v>1</v>
      </c>
      <c r="Z152" s="4">
        <v>0</v>
      </c>
      <c r="AB152" s="74">
        <f t="shared" si="54"/>
        <v>70</v>
      </c>
      <c r="AC152" s="74">
        <f t="shared" si="55"/>
        <v>2</v>
      </c>
      <c r="AD152" s="74">
        <f t="shared" si="56"/>
        <v>739</v>
      </c>
      <c r="AE152" s="74">
        <f t="shared" si="57"/>
        <v>271</v>
      </c>
      <c r="AF152" s="74">
        <f t="shared" si="58"/>
        <v>43</v>
      </c>
      <c r="AG152" s="74">
        <f t="shared" si="59"/>
        <v>197</v>
      </c>
      <c r="AH152" s="74">
        <f t="shared" si="60"/>
        <v>43</v>
      </c>
      <c r="AI152" s="74">
        <f t="shared" si="61"/>
        <v>73</v>
      </c>
      <c r="AJ152" s="74">
        <f t="shared" si="62"/>
        <v>1</v>
      </c>
      <c r="AK152" s="74">
        <f t="shared" si="63"/>
        <v>0</v>
      </c>
      <c r="AL152" s="4">
        <f t="shared" si="64"/>
        <v>4449</v>
      </c>
    </row>
    <row r="153" spans="17:38">
      <c r="Q153" s="37">
        <v>71</v>
      </c>
      <c r="R153" s="37" t="s">
        <v>94</v>
      </c>
      <c r="S153" s="56">
        <f t="shared" si="48"/>
        <v>759.15</v>
      </c>
      <c r="T153" s="56">
        <f t="shared" si="49"/>
        <v>278.355</v>
      </c>
      <c r="U153" s="56">
        <f t="shared" si="50"/>
        <v>44.5368</v>
      </c>
      <c r="V153" s="56">
        <f t="shared" si="51"/>
        <v>202.44</v>
      </c>
      <c r="W153" s="56">
        <f t="shared" si="52"/>
        <v>44.5368</v>
      </c>
      <c r="X153" s="56">
        <f t="shared" si="53"/>
        <v>75.915</v>
      </c>
      <c r="Y153" s="4">
        <v>1</v>
      </c>
      <c r="Z153" s="4">
        <v>0</v>
      </c>
      <c r="AB153" s="74">
        <f t="shared" si="54"/>
        <v>71</v>
      </c>
      <c r="AC153" s="74">
        <f t="shared" si="55"/>
        <v>2</v>
      </c>
      <c r="AD153" s="74">
        <f t="shared" si="56"/>
        <v>759</v>
      </c>
      <c r="AE153" s="74">
        <f t="shared" si="57"/>
        <v>278</v>
      </c>
      <c r="AF153" s="74">
        <f t="shared" si="58"/>
        <v>44</v>
      </c>
      <c r="AG153" s="74">
        <f t="shared" si="59"/>
        <v>202</v>
      </c>
      <c r="AH153" s="74">
        <f t="shared" si="60"/>
        <v>44</v>
      </c>
      <c r="AI153" s="74">
        <f t="shared" si="61"/>
        <v>75</v>
      </c>
      <c r="AJ153" s="74">
        <f t="shared" si="62"/>
        <v>1</v>
      </c>
      <c r="AK153" s="74">
        <f t="shared" si="63"/>
        <v>0</v>
      </c>
      <c r="AL153" s="4">
        <f t="shared" si="64"/>
        <v>4566</v>
      </c>
    </row>
    <row r="154" spans="17:38">
      <c r="Q154" s="37">
        <v>72</v>
      </c>
      <c r="R154" s="37" t="s">
        <v>94</v>
      </c>
      <c r="S154" s="56">
        <f t="shared" si="48"/>
        <v>778.95</v>
      </c>
      <c r="T154" s="56">
        <f t="shared" si="49"/>
        <v>285.615</v>
      </c>
      <c r="U154" s="56">
        <f t="shared" si="50"/>
        <v>45.6984</v>
      </c>
      <c r="V154" s="56">
        <f t="shared" si="51"/>
        <v>207.72</v>
      </c>
      <c r="W154" s="56">
        <f t="shared" si="52"/>
        <v>45.6984</v>
      </c>
      <c r="X154" s="56">
        <f t="shared" si="53"/>
        <v>77.895</v>
      </c>
      <c r="Y154" s="4">
        <v>1</v>
      </c>
      <c r="Z154" s="4">
        <v>0</v>
      </c>
      <c r="AB154" s="74">
        <f t="shared" si="54"/>
        <v>72</v>
      </c>
      <c r="AC154" s="74">
        <f t="shared" si="55"/>
        <v>2</v>
      </c>
      <c r="AD154" s="74">
        <f t="shared" si="56"/>
        <v>778</v>
      </c>
      <c r="AE154" s="74">
        <f t="shared" si="57"/>
        <v>285</v>
      </c>
      <c r="AF154" s="74">
        <f t="shared" si="58"/>
        <v>45</v>
      </c>
      <c r="AG154" s="74">
        <f t="shared" si="59"/>
        <v>207</v>
      </c>
      <c r="AH154" s="74">
        <f t="shared" si="60"/>
        <v>45</v>
      </c>
      <c r="AI154" s="74">
        <f t="shared" si="61"/>
        <v>77</v>
      </c>
      <c r="AJ154" s="74">
        <f t="shared" si="62"/>
        <v>1</v>
      </c>
      <c r="AK154" s="74">
        <f t="shared" si="63"/>
        <v>0</v>
      </c>
      <c r="AL154" s="4">
        <f t="shared" si="64"/>
        <v>4681</v>
      </c>
    </row>
    <row r="155" spans="17:38">
      <c r="Q155" s="37">
        <v>73</v>
      </c>
      <c r="R155" s="37" t="s">
        <v>94</v>
      </c>
      <c r="S155" s="56">
        <f t="shared" si="48"/>
        <v>798.75</v>
      </c>
      <c r="T155" s="56">
        <f t="shared" si="49"/>
        <v>292.875</v>
      </c>
      <c r="U155" s="56">
        <f t="shared" si="50"/>
        <v>46.86</v>
      </c>
      <c r="V155" s="56">
        <f t="shared" si="51"/>
        <v>213</v>
      </c>
      <c r="W155" s="56">
        <f t="shared" si="52"/>
        <v>46.86</v>
      </c>
      <c r="X155" s="56">
        <f t="shared" si="53"/>
        <v>79.875</v>
      </c>
      <c r="Y155" s="4">
        <v>1</v>
      </c>
      <c r="Z155" s="4">
        <v>0</v>
      </c>
      <c r="AB155" s="74">
        <f t="shared" si="54"/>
        <v>73</v>
      </c>
      <c r="AC155" s="74">
        <f t="shared" si="55"/>
        <v>2</v>
      </c>
      <c r="AD155" s="74">
        <f t="shared" si="56"/>
        <v>798</v>
      </c>
      <c r="AE155" s="74">
        <f t="shared" si="57"/>
        <v>292</v>
      </c>
      <c r="AF155" s="74">
        <f t="shared" si="58"/>
        <v>46</v>
      </c>
      <c r="AG155" s="74">
        <f t="shared" si="59"/>
        <v>213</v>
      </c>
      <c r="AH155" s="74">
        <f t="shared" si="60"/>
        <v>46</v>
      </c>
      <c r="AI155" s="74">
        <f t="shared" si="61"/>
        <v>79</v>
      </c>
      <c r="AJ155" s="74">
        <f t="shared" si="62"/>
        <v>1</v>
      </c>
      <c r="AK155" s="74">
        <f t="shared" si="63"/>
        <v>0</v>
      </c>
      <c r="AL155" s="4">
        <f t="shared" si="64"/>
        <v>4808</v>
      </c>
    </row>
    <row r="156" spans="17:38">
      <c r="Q156" s="37">
        <v>74</v>
      </c>
      <c r="R156" s="37" t="s">
        <v>94</v>
      </c>
      <c r="S156" s="56">
        <f t="shared" si="48"/>
        <v>818.55</v>
      </c>
      <c r="T156" s="56">
        <f t="shared" si="49"/>
        <v>300.135</v>
      </c>
      <c r="U156" s="56">
        <f t="shared" si="50"/>
        <v>48.0216</v>
      </c>
      <c r="V156" s="56">
        <f t="shared" si="51"/>
        <v>218.28</v>
      </c>
      <c r="W156" s="56">
        <f t="shared" si="52"/>
        <v>48.0216</v>
      </c>
      <c r="X156" s="56">
        <f t="shared" si="53"/>
        <v>81.855</v>
      </c>
      <c r="Y156" s="4">
        <v>1</v>
      </c>
      <c r="Z156" s="4">
        <v>0</v>
      </c>
      <c r="AB156" s="74">
        <f t="shared" si="54"/>
        <v>74</v>
      </c>
      <c r="AC156" s="74">
        <f t="shared" si="55"/>
        <v>2</v>
      </c>
      <c r="AD156" s="74">
        <f t="shared" si="56"/>
        <v>818</v>
      </c>
      <c r="AE156" s="74">
        <f t="shared" si="57"/>
        <v>300</v>
      </c>
      <c r="AF156" s="74">
        <f t="shared" si="58"/>
        <v>48</v>
      </c>
      <c r="AG156" s="74">
        <f t="shared" si="59"/>
        <v>218</v>
      </c>
      <c r="AH156" s="74">
        <f t="shared" si="60"/>
        <v>48</v>
      </c>
      <c r="AI156" s="74">
        <f t="shared" si="61"/>
        <v>81</v>
      </c>
      <c r="AJ156" s="74">
        <f t="shared" si="62"/>
        <v>1</v>
      </c>
      <c r="AK156" s="74">
        <f t="shared" si="63"/>
        <v>0</v>
      </c>
      <c r="AL156" s="4">
        <f t="shared" si="64"/>
        <v>4926</v>
      </c>
    </row>
    <row r="157" spans="17:38">
      <c r="Q157" s="37">
        <v>75</v>
      </c>
      <c r="R157" s="37" t="s">
        <v>94</v>
      </c>
      <c r="S157" s="56">
        <f t="shared" si="48"/>
        <v>838.35</v>
      </c>
      <c r="T157" s="56">
        <f t="shared" si="49"/>
        <v>307.395</v>
      </c>
      <c r="U157" s="56">
        <f t="shared" si="50"/>
        <v>49.1832</v>
      </c>
      <c r="V157" s="56">
        <f t="shared" si="51"/>
        <v>223.56</v>
      </c>
      <c r="W157" s="56">
        <f t="shared" si="52"/>
        <v>49.1832</v>
      </c>
      <c r="X157" s="56">
        <f t="shared" si="53"/>
        <v>83.835</v>
      </c>
      <c r="Y157" s="4">
        <v>1</v>
      </c>
      <c r="Z157" s="4">
        <v>0</v>
      </c>
      <c r="AB157" s="74">
        <f t="shared" si="54"/>
        <v>75</v>
      </c>
      <c r="AC157" s="74">
        <f t="shared" si="55"/>
        <v>2</v>
      </c>
      <c r="AD157" s="74">
        <f t="shared" si="56"/>
        <v>838</v>
      </c>
      <c r="AE157" s="74">
        <f t="shared" si="57"/>
        <v>307</v>
      </c>
      <c r="AF157" s="74">
        <f t="shared" si="58"/>
        <v>49</v>
      </c>
      <c r="AG157" s="74">
        <f t="shared" si="59"/>
        <v>223</v>
      </c>
      <c r="AH157" s="74">
        <f t="shared" si="60"/>
        <v>49</v>
      </c>
      <c r="AI157" s="74">
        <f t="shared" si="61"/>
        <v>83</v>
      </c>
      <c r="AJ157" s="74">
        <f t="shared" si="62"/>
        <v>1</v>
      </c>
      <c r="AK157" s="74">
        <f t="shared" si="63"/>
        <v>0</v>
      </c>
      <c r="AL157" s="4">
        <f t="shared" si="64"/>
        <v>5043</v>
      </c>
    </row>
    <row r="158" spans="17:38">
      <c r="Q158" s="37">
        <v>76</v>
      </c>
      <c r="R158" s="37" t="s">
        <v>94</v>
      </c>
      <c r="S158" s="56">
        <f t="shared" si="48"/>
        <v>858.15</v>
      </c>
      <c r="T158" s="56">
        <f t="shared" si="49"/>
        <v>314.655</v>
      </c>
      <c r="U158" s="56">
        <f t="shared" si="50"/>
        <v>50.3448</v>
      </c>
      <c r="V158" s="56">
        <f t="shared" si="51"/>
        <v>228.84</v>
      </c>
      <c r="W158" s="56">
        <f t="shared" si="52"/>
        <v>50.3448</v>
      </c>
      <c r="X158" s="56">
        <f t="shared" si="53"/>
        <v>85.815</v>
      </c>
      <c r="Y158" s="4">
        <v>1</v>
      </c>
      <c r="Z158" s="4">
        <v>0</v>
      </c>
      <c r="AB158" s="74">
        <f t="shared" si="54"/>
        <v>76</v>
      </c>
      <c r="AC158" s="74">
        <f t="shared" si="55"/>
        <v>2</v>
      </c>
      <c r="AD158" s="74">
        <f t="shared" si="56"/>
        <v>858</v>
      </c>
      <c r="AE158" s="74">
        <f t="shared" si="57"/>
        <v>314</v>
      </c>
      <c r="AF158" s="74">
        <f t="shared" si="58"/>
        <v>50</v>
      </c>
      <c r="AG158" s="74">
        <f t="shared" si="59"/>
        <v>228</v>
      </c>
      <c r="AH158" s="74">
        <f t="shared" si="60"/>
        <v>50</v>
      </c>
      <c r="AI158" s="74">
        <f t="shared" si="61"/>
        <v>85</v>
      </c>
      <c r="AJ158" s="74">
        <f t="shared" si="62"/>
        <v>1</v>
      </c>
      <c r="AK158" s="74">
        <f t="shared" si="63"/>
        <v>0</v>
      </c>
      <c r="AL158" s="4">
        <f t="shared" si="64"/>
        <v>5160</v>
      </c>
    </row>
    <row r="159" spans="17:38">
      <c r="Q159" s="37">
        <v>77</v>
      </c>
      <c r="R159" s="37" t="s">
        <v>94</v>
      </c>
      <c r="S159" s="56">
        <f t="shared" si="48"/>
        <v>877.95</v>
      </c>
      <c r="T159" s="56">
        <f t="shared" si="49"/>
        <v>321.915</v>
      </c>
      <c r="U159" s="56">
        <f t="shared" si="50"/>
        <v>51.5064</v>
      </c>
      <c r="V159" s="56">
        <f t="shared" si="51"/>
        <v>234.12</v>
      </c>
      <c r="W159" s="56">
        <f t="shared" si="52"/>
        <v>51.5064</v>
      </c>
      <c r="X159" s="56">
        <f t="shared" si="53"/>
        <v>87.795</v>
      </c>
      <c r="Y159" s="4">
        <v>1</v>
      </c>
      <c r="Z159" s="4">
        <v>0</v>
      </c>
      <c r="AB159" s="74">
        <f t="shared" si="54"/>
        <v>77</v>
      </c>
      <c r="AC159" s="74">
        <f t="shared" si="55"/>
        <v>2</v>
      </c>
      <c r="AD159" s="74">
        <f t="shared" si="56"/>
        <v>877</v>
      </c>
      <c r="AE159" s="74">
        <f t="shared" si="57"/>
        <v>321</v>
      </c>
      <c r="AF159" s="74">
        <f t="shared" si="58"/>
        <v>51</v>
      </c>
      <c r="AG159" s="74">
        <f t="shared" si="59"/>
        <v>234</v>
      </c>
      <c r="AH159" s="74">
        <f t="shared" si="60"/>
        <v>51</v>
      </c>
      <c r="AI159" s="74">
        <f t="shared" si="61"/>
        <v>87</v>
      </c>
      <c r="AJ159" s="74">
        <f t="shared" si="62"/>
        <v>1</v>
      </c>
      <c r="AK159" s="74">
        <f t="shared" si="63"/>
        <v>0</v>
      </c>
      <c r="AL159" s="4">
        <f t="shared" si="64"/>
        <v>5285</v>
      </c>
    </row>
    <row r="160" spans="17:38">
      <c r="Q160" s="37">
        <v>78</v>
      </c>
      <c r="R160" s="37" t="s">
        <v>94</v>
      </c>
      <c r="S160" s="56">
        <f t="shared" si="48"/>
        <v>897.75</v>
      </c>
      <c r="T160" s="56">
        <f t="shared" si="49"/>
        <v>329.175</v>
      </c>
      <c r="U160" s="56">
        <f t="shared" si="50"/>
        <v>52.668</v>
      </c>
      <c r="V160" s="56">
        <f t="shared" si="51"/>
        <v>239.4</v>
      </c>
      <c r="W160" s="56">
        <f t="shared" si="52"/>
        <v>52.668</v>
      </c>
      <c r="X160" s="56">
        <f t="shared" si="53"/>
        <v>89.775</v>
      </c>
      <c r="Y160" s="4">
        <v>1</v>
      </c>
      <c r="Z160" s="4">
        <v>0</v>
      </c>
      <c r="AB160" s="74">
        <f t="shared" si="54"/>
        <v>78</v>
      </c>
      <c r="AC160" s="74">
        <f t="shared" si="55"/>
        <v>2</v>
      </c>
      <c r="AD160" s="74">
        <f t="shared" si="56"/>
        <v>897</v>
      </c>
      <c r="AE160" s="74">
        <f t="shared" si="57"/>
        <v>329</v>
      </c>
      <c r="AF160" s="74">
        <f t="shared" si="58"/>
        <v>52</v>
      </c>
      <c r="AG160" s="74">
        <f t="shared" si="59"/>
        <v>239</v>
      </c>
      <c r="AH160" s="74">
        <f t="shared" si="60"/>
        <v>52</v>
      </c>
      <c r="AI160" s="74">
        <f t="shared" si="61"/>
        <v>89</v>
      </c>
      <c r="AJ160" s="74">
        <f t="shared" si="62"/>
        <v>1</v>
      </c>
      <c r="AK160" s="74">
        <f t="shared" si="63"/>
        <v>0</v>
      </c>
      <c r="AL160" s="4">
        <f t="shared" si="64"/>
        <v>5403</v>
      </c>
    </row>
    <row r="161" spans="17:38">
      <c r="Q161" s="37">
        <v>79</v>
      </c>
      <c r="R161" s="37" t="s">
        <v>94</v>
      </c>
      <c r="S161" s="56">
        <f t="shared" si="48"/>
        <v>917.55</v>
      </c>
      <c r="T161" s="56">
        <f t="shared" si="49"/>
        <v>336.435</v>
      </c>
      <c r="U161" s="56">
        <f t="shared" si="50"/>
        <v>53.8296</v>
      </c>
      <c r="V161" s="56">
        <f t="shared" si="51"/>
        <v>244.68</v>
      </c>
      <c r="W161" s="56">
        <f t="shared" si="52"/>
        <v>53.8296</v>
      </c>
      <c r="X161" s="56">
        <f t="shared" si="53"/>
        <v>91.755</v>
      </c>
      <c r="Y161" s="4">
        <v>1</v>
      </c>
      <c r="Z161" s="4">
        <v>0</v>
      </c>
      <c r="AB161" s="74">
        <f t="shared" si="54"/>
        <v>79</v>
      </c>
      <c r="AC161" s="74">
        <f t="shared" si="55"/>
        <v>2</v>
      </c>
      <c r="AD161" s="74">
        <f t="shared" si="56"/>
        <v>917</v>
      </c>
      <c r="AE161" s="74">
        <f t="shared" si="57"/>
        <v>336</v>
      </c>
      <c r="AF161" s="74">
        <f t="shared" si="58"/>
        <v>53</v>
      </c>
      <c r="AG161" s="74">
        <f t="shared" si="59"/>
        <v>244</v>
      </c>
      <c r="AH161" s="74">
        <f t="shared" si="60"/>
        <v>53</v>
      </c>
      <c r="AI161" s="74">
        <f t="shared" si="61"/>
        <v>91</v>
      </c>
      <c r="AJ161" s="74">
        <f t="shared" si="62"/>
        <v>1</v>
      </c>
      <c r="AK161" s="74">
        <f t="shared" si="63"/>
        <v>0</v>
      </c>
      <c r="AL161" s="4">
        <f t="shared" si="64"/>
        <v>5520</v>
      </c>
    </row>
    <row r="162" spans="17:38">
      <c r="Q162" s="37">
        <v>80</v>
      </c>
      <c r="R162" s="37" t="s">
        <v>94</v>
      </c>
      <c r="S162" s="56">
        <f t="shared" si="48"/>
        <v>937.35</v>
      </c>
      <c r="T162" s="56">
        <f t="shared" si="49"/>
        <v>343.695</v>
      </c>
      <c r="U162" s="56">
        <f t="shared" si="50"/>
        <v>54.9912</v>
      </c>
      <c r="V162" s="56">
        <f t="shared" si="51"/>
        <v>249.96</v>
      </c>
      <c r="W162" s="56">
        <f t="shared" si="52"/>
        <v>54.9912</v>
      </c>
      <c r="X162" s="56">
        <f t="shared" si="53"/>
        <v>93.735</v>
      </c>
      <c r="Y162" s="4">
        <v>1</v>
      </c>
      <c r="Z162" s="4">
        <v>0</v>
      </c>
      <c r="AB162" s="74">
        <f t="shared" si="54"/>
        <v>80</v>
      </c>
      <c r="AC162" s="74">
        <f t="shared" si="55"/>
        <v>2</v>
      </c>
      <c r="AD162" s="74">
        <f t="shared" si="56"/>
        <v>937</v>
      </c>
      <c r="AE162" s="74">
        <f t="shared" si="57"/>
        <v>343</v>
      </c>
      <c r="AF162" s="74">
        <f t="shared" si="58"/>
        <v>54</v>
      </c>
      <c r="AG162" s="74">
        <f t="shared" si="59"/>
        <v>249</v>
      </c>
      <c r="AH162" s="74">
        <f t="shared" si="60"/>
        <v>54</v>
      </c>
      <c r="AI162" s="74">
        <f t="shared" si="61"/>
        <v>93</v>
      </c>
      <c r="AJ162" s="74">
        <f t="shared" si="62"/>
        <v>1</v>
      </c>
      <c r="AK162" s="74">
        <f t="shared" si="63"/>
        <v>0</v>
      </c>
      <c r="AL162" s="4">
        <f t="shared" si="64"/>
        <v>5637</v>
      </c>
    </row>
    <row r="163" spans="17:38">
      <c r="Q163" s="75">
        <v>1</v>
      </c>
      <c r="R163" s="75" t="s">
        <v>95</v>
      </c>
      <c r="S163" s="56">
        <f t="shared" si="48"/>
        <v>50</v>
      </c>
      <c r="T163" s="56">
        <f t="shared" si="49"/>
        <v>13.5</v>
      </c>
      <c r="U163" s="56">
        <f t="shared" si="50"/>
        <v>1.98</v>
      </c>
      <c r="V163" s="56">
        <f t="shared" si="51"/>
        <v>1.98</v>
      </c>
      <c r="W163" s="56">
        <f t="shared" si="52"/>
        <v>9</v>
      </c>
      <c r="X163" s="56">
        <f t="shared" si="53"/>
        <v>5.5</v>
      </c>
      <c r="Y163" s="4">
        <v>1</v>
      </c>
      <c r="Z163" s="4">
        <v>0</v>
      </c>
      <c r="AB163" s="74">
        <f t="shared" si="54"/>
        <v>1</v>
      </c>
      <c r="AC163" s="74">
        <f t="shared" si="55"/>
        <v>3</v>
      </c>
      <c r="AD163" s="74">
        <f t="shared" si="56"/>
        <v>50</v>
      </c>
      <c r="AE163" s="74">
        <f t="shared" si="57"/>
        <v>13</v>
      </c>
      <c r="AF163" s="74">
        <f t="shared" si="58"/>
        <v>1</v>
      </c>
      <c r="AG163" s="74">
        <f t="shared" si="59"/>
        <v>1</v>
      </c>
      <c r="AH163" s="74">
        <f t="shared" si="60"/>
        <v>9</v>
      </c>
      <c r="AI163" s="74">
        <f t="shared" si="61"/>
        <v>5</v>
      </c>
      <c r="AJ163" s="74">
        <f t="shared" si="62"/>
        <v>1</v>
      </c>
      <c r="AK163" s="74">
        <f t="shared" si="63"/>
        <v>0</v>
      </c>
      <c r="AL163" s="4">
        <f t="shared" si="64"/>
        <v>253</v>
      </c>
    </row>
    <row r="164" spans="17:38">
      <c r="Q164" s="75">
        <v>2</v>
      </c>
      <c r="R164" s="75" t="s">
        <v>95</v>
      </c>
      <c r="S164" s="56">
        <f t="shared" si="48"/>
        <v>58.5</v>
      </c>
      <c r="T164" s="56">
        <f t="shared" si="49"/>
        <v>15.795</v>
      </c>
      <c r="U164" s="56">
        <f t="shared" si="50"/>
        <v>2.3166</v>
      </c>
      <c r="V164" s="56">
        <f t="shared" si="51"/>
        <v>2.3166</v>
      </c>
      <c r="W164" s="56">
        <f t="shared" si="52"/>
        <v>10.53</v>
      </c>
      <c r="X164" s="56">
        <f t="shared" si="53"/>
        <v>6.435</v>
      </c>
      <c r="Y164" s="4">
        <v>1</v>
      </c>
      <c r="Z164" s="4">
        <v>0</v>
      </c>
      <c r="AB164" s="74">
        <f t="shared" si="54"/>
        <v>2</v>
      </c>
      <c r="AC164" s="74">
        <f t="shared" si="55"/>
        <v>3</v>
      </c>
      <c r="AD164" s="74">
        <f t="shared" si="56"/>
        <v>58</v>
      </c>
      <c r="AE164" s="74">
        <f t="shared" si="57"/>
        <v>15</v>
      </c>
      <c r="AF164" s="74">
        <f t="shared" si="58"/>
        <v>2</v>
      </c>
      <c r="AG164" s="74">
        <f t="shared" si="59"/>
        <v>2</v>
      </c>
      <c r="AH164" s="74">
        <f t="shared" si="60"/>
        <v>10</v>
      </c>
      <c r="AI164" s="74">
        <f t="shared" si="61"/>
        <v>6</v>
      </c>
      <c r="AJ164" s="74">
        <f t="shared" si="62"/>
        <v>1</v>
      </c>
      <c r="AK164" s="74">
        <f t="shared" si="63"/>
        <v>0</v>
      </c>
      <c r="AL164" s="4">
        <f t="shared" si="64"/>
        <v>291</v>
      </c>
    </row>
    <row r="165" spans="17:38">
      <c r="Q165" s="75">
        <v>3</v>
      </c>
      <c r="R165" s="75" t="s">
        <v>95</v>
      </c>
      <c r="S165" s="56">
        <f t="shared" si="48"/>
        <v>67</v>
      </c>
      <c r="T165" s="56">
        <f t="shared" si="49"/>
        <v>18.09</v>
      </c>
      <c r="U165" s="56">
        <f t="shared" si="50"/>
        <v>2.6532</v>
      </c>
      <c r="V165" s="56">
        <f t="shared" si="51"/>
        <v>2.6532</v>
      </c>
      <c r="W165" s="56">
        <f t="shared" si="52"/>
        <v>12.06</v>
      </c>
      <c r="X165" s="56">
        <f t="shared" si="53"/>
        <v>7.37</v>
      </c>
      <c r="Y165" s="4">
        <v>1</v>
      </c>
      <c r="Z165" s="4">
        <v>0</v>
      </c>
      <c r="AB165" s="74">
        <f t="shared" si="54"/>
        <v>3</v>
      </c>
      <c r="AC165" s="74">
        <f t="shared" si="55"/>
        <v>3</v>
      </c>
      <c r="AD165" s="74">
        <f t="shared" si="56"/>
        <v>67</v>
      </c>
      <c r="AE165" s="74">
        <f t="shared" si="57"/>
        <v>18</v>
      </c>
      <c r="AF165" s="74">
        <f t="shared" si="58"/>
        <v>2</v>
      </c>
      <c r="AG165" s="74">
        <f t="shared" si="59"/>
        <v>2</v>
      </c>
      <c r="AH165" s="74">
        <f t="shared" si="60"/>
        <v>12</v>
      </c>
      <c r="AI165" s="74">
        <f t="shared" si="61"/>
        <v>7</v>
      </c>
      <c r="AJ165" s="74">
        <f t="shared" si="62"/>
        <v>1</v>
      </c>
      <c r="AK165" s="74">
        <f t="shared" si="63"/>
        <v>0</v>
      </c>
      <c r="AL165" s="4">
        <f t="shared" si="64"/>
        <v>342</v>
      </c>
    </row>
    <row r="166" spans="17:38">
      <c r="Q166" s="75">
        <v>4</v>
      </c>
      <c r="R166" s="75" t="s">
        <v>95</v>
      </c>
      <c r="S166" s="56">
        <f t="shared" si="48"/>
        <v>75.5</v>
      </c>
      <c r="T166" s="56">
        <f t="shared" si="49"/>
        <v>20.385</v>
      </c>
      <c r="U166" s="56">
        <f t="shared" si="50"/>
        <v>2.9898</v>
      </c>
      <c r="V166" s="56">
        <f t="shared" si="51"/>
        <v>2.9898</v>
      </c>
      <c r="W166" s="56">
        <f t="shared" si="52"/>
        <v>13.59</v>
      </c>
      <c r="X166" s="56">
        <f t="shared" si="53"/>
        <v>8.305</v>
      </c>
      <c r="Y166" s="4">
        <v>1</v>
      </c>
      <c r="Z166" s="4">
        <v>0</v>
      </c>
      <c r="AB166" s="74">
        <f t="shared" si="54"/>
        <v>4</v>
      </c>
      <c r="AC166" s="74">
        <f t="shared" si="55"/>
        <v>3</v>
      </c>
      <c r="AD166" s="74">
        <f t="shared" si="56"/>
        <v>75</v>
      </c>
      <c r="AE166" s="74">
        <f t="shared" si="57"/>
        <v>20</v>
      </c>
      <c r="AF166" s="74">
        <f t="shared" si="58"/>
        <v>2</v>
      </c>
      <c r="AG166" s="74">
        <f t="shared" si="59"/>
        <v>2</v>
      </c>
      <c r="AH166" s="74">
        <f t="shared" si="60"/>
        <v>13</v>
      </c>
      <c r="AI166" s="74">
        <f t="shared" si="61"/>
        <v>8</v>
      </c>
      <c r="AJ166" s="74">
        <f t="shared" si="62"/>
        <v>1</v>
      </c>
      <c r="AK166" s="74">
        <f t="shared" si="63"/>
        <v>0</v>
      </c>
      <c r="AL166" s="4">
        <f t="shared" si="64"/>
        <v>380</v>
      </c>
    </row>
    <row r="167" spans="17:38">
      <c r="Q167" s="75">
        <v>5</v>
      </c>
      <c r="R167" s="75" t="s">
        <v>95</v>
      </c>
      <c r="S167" s="56">
        <f t="shared" si="48"/>
        <v>84</v>
      </c>
      <c r="T167" s="56">
        <f t="shared" si="49"/>
        <v>22.68</v>
      </c>
      <c r="U167" s="56">
        <f t="shared" si="50"/>
        <v>3.3264</v>
      </c>
      <c r="V167" s="56">
        <f t="shared" si="51"/>
        <v>3.3264</v>
      </c>
      <c r="W167" s="56">
        <f t="shared" si="52"/>
        <v>15.12</v>
      </c>
      <c r="X167" s="56">
        <f t="shared" si="53"/>
        <v>9.24</v>
      </c>
      <c r="Y167" s="4">
        <v>1</v>
      </c>
      <c r="Z167" s="4">
        <v>0</v>
      </c>
      <c r="AB167" s="74">
        <f t="shared" si="54"/>
        <v>5</v>
      </c>
      <c r="AC167" s="74">
        <f t="shared" si="55"/>
        <v>3</v>
      </c>
      <c r="AD167" s="74">
        <f t="shared" si="56"/>
        <v>84</v>
      </c>
      <c r="AE167" s="74">
        <f t="shared" si="57"/>
        <v>22</v>
      </c>
      <c r="AF167" s="74">
        <f t="shared" si="58"/>
        <v>3</v>
      </c>
      <c r="AG167" s="74">
        <f t="shared" si="59"/>
        <v>3</v>
      </c>
      <c r="AH167" s="74">
        <f t="shared" si="60"/>
        <v>15</v>
      </c>
      <c r="AI167" s="74">
        <f t="shared" si="61"/>
        <v>9</v>
      </c>
      <c r="AJ167" s="74">
        <f t="shared" si="62"/>
        <v>1</v>
      </c>
      <c r="AK167" s="74">
        <f t="shared" si="63"/>
        <v>0</v>
      </c>
      <c r="AL167" s="4">
        <f t="shared" si="64"/>
        <v>430</v>
      </c>
    </row>
    <row r="168" spans="17:38">
      <c r="Q168" s="75">
        <v>6</v>
      </c>
      <c r="R168" s="75" t="s">
        <v>95</v>
      </c>
      <c r="S168" s="56">
        <f t="shared" si="48"/>
        <v>92.5</v>
      </c>
      <c r="T168" s="56">
        <f t="shared" si="49"/>
        <v>24.975</v>
      </c>
      <c r="U168" s="56">
        <f t="shared" si="50"/>
        <v>3.663</v>
      </c>
      <c r="V168" s="56">
        <f t="shared" si="51"/>
        <v>3.663</v>
      </c>
      <c r="W168" s="56">
        <f t="shared" si="52"/>
        <v>16.65</v>
      </c>
      <c r="X168" s="56">
        <f t="shared" si="53"/>
        <v>10.175</v>
      </c>
      <c r="Y168" s="4">
        <v>1</v>
      </c>
      <c r="Z168" s="4">
        <v>0</v>
      </c>
      <c r="AB168" s="74">
        <f t="shared" si="54"/>
        <v>6</v>
      </c>
      <c r="AC168" s="74">
        <f t="shared" si="55"/>
        <v>3</v>
      </c>
      <c r="AD168" s="74">
        <f t="shared" si="56"/>
        <v>92</v>
      </c>
      <c r="AE168" s="74">
        <f t="shared" si="57"/>
        <v>24</v>
      </c>
      <c r="AF168" s="74">
        <f t="shared" si="58"/>
        <v>3</v>
      </c>
      <c r="AG168" s="74">
        <f t="shared" si="59"/>
        <v>3</v>
      </c>
      <c r="AH168" s="74">
        <f t="shared" si="60"/>
        <v>16</v>
      </c>
      <c r="AI168" s="74">
        <f t="shared" si="61"/>
        <v>10</v>
      </c>
      <c r="AJ168" s="74">
        <f t="shared" si="62"/>
        <v>1</v>
      </c>
      <c r="AK168" s="74">
        <f t="shared" si="63"/>
        <v>0</v>
      </c>
      <c r="AL168" s="4">
        <f t="shared" si="64"/>
        <v>468</v>
      </c>
    </row>
    <row r="169" spans="17:38">
      <c r="Q169" s="75">
        <v>7</v>
      </c>
      <c r="R169" s="75" t="s">
        <v>95</v>
      </c>
      <c r="S169" s="56">
        <f t="shared" si="48"/>
        <v>101</v>
      </c>
      <c r="T169" s="56">
        <f t="shared" si="49"/>
        <v>27.27</v>
      </c>
      <c r="U169" s="56">
        <f t="shared" si="50"/>
        <v>3.9996</v>
      </c>
      <c r="V169" s="56">
        <f t="shared" si="51"/>
        <v>3.9996</v>
      </c>
      <c r="W169" s="56">
        <f t="shared" si="52"/>
        <v>18.18</v>
      </c>
      <c r="X169" s="56">
        <f t="shared" si="53"/>
        <v>11.11</v>
      </c>
      <c r="Y169" s="4">
        <v>1</v>
      </c>
      <c r="Z169" s="4">
        <v>0</v>
      </c>
      <c r="AB169" s="74">
        <f t="shared" si="54"/>
        <v>7</v>
      </c>
      <c r="AC169" s="74">
        <f t="shared" si="55"/>
        <v>3</v>
      </c>
      <c r="AD169" s="74">
        <f t="shared" si="56"/>
        <v>101</v>
      </c>
      <c r="AE169" s="74">
        <f t="shared" si="57"/>
        <v>27</v>
      </c>
      <c r="AF169" s="74">
        <f t="shared" si="58"/>
        <v>3</v>
      </c>
      <c r="AG169" s="74">
        <f t="shared" si="59"/>
        <v>3</v>
      </c>
      <c r="AH169" s="74">
        <f t="shared" si="60"/>
        <v>18</v>
      </c>
      <c r="AI169" s="74">
        <f t="shared" si="61"/>
        <v>11</v>
      </c>
      <c r="AJ169" s="74">
        <f t="shared" si="62"/>
        <v>1</v>
      </c>
      <c r="AK169" s="74">
        <f t="shared" si="63"/>
        <v>0</v>
      </c>
      <c r="AL169" s="4">
        <f t="shared" si="64"/>
        <v>519</v>
      </c>
    </row>
    <row r="170" spans="17:38">
      <c r="Q170" s="75">
        <v>8</v>
      </c>
      <c r="R170" s="75" t="s">
        <v>95</v>
      </c>
      <c r="S170" s="56">
        <f t="shared" si="48"/>
        <v>109.5</v>
      </c>
      <c r="T170" s="56">
        <f t="shared" si="49"/>
        <v>29.565</v>
      </c>
      <c r="U170" s="56">
        <f t="shared" si="50"/>
        <v>4.3362</v>
      </c>
      <c r="V170" s="56">
        <f t="shared" si="51"/>
        <v>4.3362</v>
      </c>
      <c r="W170" s="56">
        <f t="shared" si="52"/>
        <v>19.71</v>
      </c>
      <c r="X170" s="56">
        <f t="shared" si="53"/>
        <v>12.045</v>
      </c>
      <c r="Y170" s="4">
        <v>1</v>
      </c>
      <c r="Z170" s="4">
        <v>0</v>
      </c>
      <c r="AB170" s="74">
        <f t="shared" si="54"/>
        <v>8</v>
      </c>
      <c r="AC170" s="74">
        <f t="shared" si="55"/>
        <v>3</v>
      </c>
      <c r="AD170" s="74">
        <f t="shared" si="56"/>
        <v>109</v>
      </c>
      <c r="AE170" s="74">
        <f t="shared" si="57"/>
        <v>29</v>
      </c>
      <c r="AF170" s="74">
        <f t="shared" si="58"/>
        <v>4</v>
      </c>
      <c r="AG170" s="74">
        <f t="shared" si="59"/>
        <v>4</v>
      </c>
      <c r="AH170" s="74">
        <f t="shared" si="60"/>
        <v>19</v>
      </c>
      <c r="AI170" s="74">
        <f t="shared" si="61"/>
        <v>12</v>
      </c>
      <c r="AJ170" s="74">
        <f t="shared" si="62"/>
        <v>1</v>
      </c>
      <c r="AK170" s="74">
        <f t="shared" si="63"/>
        <v>0</v>
      </c>
      <c r="AL170" s="4">
        <f t="shared" si="64"/>
        <v>557</v>
      </c>
    </row>
    <row r="171" spans="17:38">
      <c r="Q171" s="75">
        <v>9</v>
      </c>
      <c r="R171" s="75" t="s">
        <v>95</v>
      </c>
      <c r="S171" s="56">
        <f t="shared" si="48"/>
        <v>118</v>
      </c>
      <c r="T171" s="56">
        <f t="shared" si="49"/>
        <v>31.86</v>
      </c>
      <c r="U171" s="56">
        <f t="shared" si="50"/>
        <v>4.6728</v>
      </c>
      <c r="V171" s="56">
        <f t="shared" si="51"/>
        <v>4.6728</v>
      </c>
      <c r="W171" s="56">
        <f t="shared" si="52"/>
        <v>21.24</v>
      </c>
      <c r="X171" s="56">
        <f t="shared" si="53"/>
        <v>12.98</v>
      </c>
      <c r="Y171" s="4">
        <v>1</v>
      </c>
      <c r="Z171" s="4">
        <v>0</v>
      </c>
      <c r="AB171" s="74">
        <f t="shared" si="54"/>
        <v>9</v>
      </c>
      <c r="AC171" s="74">
        <f t="shared" si="55"/>
        <v>3</v>
      </c>
      <c r="AD171" s="74">
        <f t="shared" si="56"/>
        <v>118</v>
      </c>
      <c r="AE171" s="74">
        <f t="shared" si="57"/>
        <v>31</v>
      </c>
      <c r="AF171" s="74">
        <f t="shared" si="58"/>
        <v>4</v>
      </c>
      <c r="AG171" s="74">
        <f t="shared" si="59"/>
        <v>4</v>
      </c>
      <c r="AH171" s="74">
        <f t="shared" si="60"/>
        <v>21</v>
      </c>
      <c r="AI171" s="74">
        <f t="shared" si="61"/>
        <v>12</v>
      </c>
      <c r="AJ171" s="74">
        <f t="shared" si="62"/>
        <v>1</v>
      </c>
      <c r="AK171" s="74">
        <f t="shared" si="63"/>
        <v>0</v>
      </c>
      <c r="AL171" s="4">
        <f t="shared" si="64"/>
        <v>597</v>
      </c>
    </row>
    <row r="172" spans="17:38">
      <c r="Q172" s="75">
        <v>10</v>
      </c>
      <c r="R172" s="75" t="s">
        <v>95</v>
      </c>
      <c r="S172" s="56">
        <f t="shared" si="48"/>
        <v>126.5</v>
      </c>
      <c r="T172" s="56">
        <f t="shared" si="49"/>
        <v>34.155</v>
      </c>
      <c r="U172" s="56">
        <f t="shared" si="50"/>
        <v>5.0094</v>
      </c>
      <c r="V172" s="56">
        <f t="shared" si="51"/>
        <v>5.0094</v>
      </c>
      <c r="W172" s="56">
        <f t="shared" si="52"/>
        <v>22.77</v>
      </c>
      <c r="X172" s="56">
        <f t="shared" si="53"/>
        <v>13.915</v>
      </c>
      <c r="Y172" s="4">
        <v>1</v>
      </c>
      <c r="Z172" s="4">
        <v>0</v>
      </c>
      <c r="AB172" s="74">
        <f t="shared" si="54"/>
        <v>10</v>
      </c>
      <c r="AC172" s="74">
        <f t="shared" si="55"/>
        <v>3</v>
      </c>
      <c r="AD172" s="74">
        <f t="shared" si="56"/>
        <v>126</v>
      </c>
      <c r="AE172" s="74">
        <f t="shared" si="57"/>
        <v>34</v>
      </c>
      <c r="AF172" s="74">
        <f t="shared" si="58"/>
        <v>5</v>
      </c>
      <c r="AG172" s="74">
        <f t="shared" si="59"/>
        <v>5</v>
      </c>
      <c r="AH172" s="74">
        <f t="shared" si="60"/>
        <v>22</v>
      </c>
      <c r="AI172" s="74">
        <f t="shared" si="61"/>
        <v>13</v>
      </c>
      <c r="AJ172" s="74">
        <f t="shared" si="62"/>
        <v>1</v>
      </c>
      <c r="AK172" s="74">
        <f t="shared" si="63"/>
        <v>0</v>
      </c>
      <c r="AL172" s="4">
        <f t="shared" si="64"/>
        <v>636</v>
      </c>
    </row>
    <row r="173" spans="17:38">
      <c r="Q173" s="75">
        <v>11</v>
      </c>
      <c r="R173" s="75" t="s">
        <v>95</v>
      </c>
      <c r="S173" s="56">
        <f t="shared" si="48"/>
        <v>133</v>
      </c>
      <c r="T173" s="56">
        <f t="shared" si="49"/>
        <v>35.91</v>
      </c>
      <c r="U173" s="56">
        <f t="shared" si="50"/>
        <v>5.2668</v>
      </c>
      <c r="V173" s="56">
        <f t="shared" si="51"/>
        <v>5.2668</v>
      </c>
      <c r="W173" s="56">
        <f t="shared" si="52"/>
        <v>23.94</v>
      </c>
      <c r="X173" s="56">
        <f t="shared" si="53"/>
        <v>14.63</v>
      </c>
      <c r="Y173" s="4">
        <v>1</v>
      </c>
      <c r="Z173" s="4">
        <v>0</v>
      </c>
      <c r="AB173" s="74">
        <f t="shared" si="54"/>
        <v>11</v>
      </c>
      <c r="AC173" s="74">
        <f t="shared" si="55"/>
        <v>3</v>
      </c>
      <c r="AD173" s="74">
        <f t="shared" si="56"/>
        <v>133</v>
      </c>
      <c r="AE173" s="74">
        <f t="shared" si="57"/>
        <v>35</v>
      </c>
      <c r="AF173" s="74">
        <f t="shared" si="58"/>
        <v>5</v>
      </c>
      <c r="AG173" s="74">
        <f t="shared" si="59"/>
        <v>5</v>
      </c>
      <c r="AH173" s="74">
        <f t="shared" si="60"/>
        <v>23</v>
      </c>
      <c r="AI173" s="74">
        <f t="shared" si="61"/>
        <v>14</v>
      </c>
      <c r="AJ173" s="74">
        <f t="shared" si="62"/>
        <v>1</v>
      </c>
      <c r="AK173" s="74">
        <f t="shared" si="63"/>
        <v>0</v>
      </c>
      <c r="AL173" s="4">
        <f t="shared" si="64"/>
        <v>671</v>
      </c>
    </row>
    <row r="174" spans="17:38">
      <c r="Q174" s="75">
        <v>12</v>
      </c>
      <c r="R174" s="75" t="s">
        <v>95</v>
      </c>
      <c r="S174" s="56">
        <f t="shared" si="48"/>
        <v>139.5</v>
      </c>
      <c r="T174" s="56">
        <f t="shared" si="49"/>
        <v>37.665</v>
      </c>
      <c r="U174" s="56">
        <f t="shared" si="50"/>
        <v>5.5242</v>
      </c>
      <c r="V174" s="56">
        <f t="shared" si="51"/>
        <v>5.5242</v>
      </c>
      <c r="W174" s="56">
        <f t="shared" si="52"/>
        <v>25.11</v>
      </c>
      <c r="X174" s="56">
        <f t="shared" si="53"/>
        <v>15.345</v>
      </c>
      <c r="Y174" s="4">
        <v>1</v>
      </c>
      <c r="Z174" s="4">
        <v>0</v>
      </c>
      <c r="AB174" s="74">
        <f t="shared" si="54"/>
        <v>12</v>
      </c>
      <c r="AC174" s="74">
        <f t="shared" si="55"/>
        <v>3</v>
      </c>
      <c r="AD174" s="74">
        <f t="shared" si="56"/>
        <v>139</v>
      </c>
      <c r="AE174" s="74">
        <f t="shared" si="57"/>
        <v>37</v>
      </c>
      <c r="AF174" s="74">
        <f t="shared" si="58"/>
        <v>5</v>
      </c>
      <c r="AG174" s="74">
        <f t="shared" si="59"/>
        <v>5</v>
      </c>
      <c r="AH174" s="74">
        <f t="shared" si="60"/>
        <v>25</v>
      </c>
      <c r="AI174" s="74">
        <f t="shared" si="61"/>
        <v>15</v>
      </c>
      <c r="AJ174" s="74">
        <f t="shared" si="62"/>
        <v>1</v>
      </c>
      <c r="AK174" s="74">
        <f t="shared" si="63"/>
        <v>0</v>
      </c>
      <c r="AL174" s="4">
        <f t="shared" si="64"/>
        <v>715</v>
      </c>
    </row>
    <row r="175" spans="17:38">
      <c r="Q175" s="75">
        <v>13</v>
      </c>
      <c r="R175" s="75" t="s">
        <v>95</v>
      </c>
      <c r="S175" s="56">
        <f t="shared" si="48"/>
        <v>146</v>
      </c>
      <c r="T175" s="56">
        <f t="shared" si="49"/>
        <v>39.42</v>
      </c>
      <c r="U175" s="56">
        <f t="shared" si="50"/>
        <v>5.7816</v>
      </c>
      <c r="V175" s="56">
        <f t="shared" si="51"/>
        <v>5.7816</v>
      </c>
      <c r="W175" s="56">
        <f t="shared" si="52"/>
        <v>26.28</v>
      </c>
      <c r="X175" s="56">
        <f t="shared" si="53"/>
        <v>16.06</v>
      </c>
      <c r="Y175" s="4">
        <v>1</v>
      </c>
      <c r="Z175" s="4">
        <v>0</v>
      </c>
      <c r="AB175" s="74">
        <f t="shared" si="54"/>
        <v>13</v>
      </c>
      <c r="AC175" s="74">
        <f t="shared" si="55"/>
        <v>3</v>
      </c>
      <c r="AD175" s="74">
        <f t="shared" si="56"/>
        <v>146</v>
      </c>
      <c r="AE175" s="74">
        <f t="shared" si="57"/>
        <v>39</v>
      </c>
      <c r="AF175" s="74">
        <f t="shared" si="58"/>
        <v>5</v>
      </c>
      <c r="AG175" s="74">
        <f t="shared" si="59"/>
        <v>5</v>
      </c>
      <c r="AH175" s="74">
        <f t="shared" si="60"/>
        <v>26</v>
      </c>
      <c r="AI175" s="74">
        <f t="shared" si="61"/>
        <v>16</v>
      </c>
      <c r="AJ175" s="74">
        <f t="shared" si="62"/>
        <v>1</v>
      </c>
      <c r="AK175" s="74">
        <f t="shared" si="63"/>
        <v>0</v>
      </c>
      <c r="AL175" s="4">
        <f t="shared" si="64"/>
        <v>751</v>
      </c>
    </row>
    <row r="176" spans="17:38">
      <c r="Q176" s="75">
        <v>14</v>
      </c>
      <c r="R176" s="75" t="s">
        <v>95</v>
      </c>
      <c r="S176" s="56">
        <f t="shared" si="48"/>
        <v>152.5</v>
      </c>
      <c r="T176" s="56">
        <f t="shared" si="49"/>
        <v>41.175</v>
      </c>
      <c r="U176" s="56">
        <f t="shared" si="50"/>
        <v>6.039</v>
      </c>
      <c r="V176" s="56">
        <f t="shared" si="51"/>
        <v>6.039</v>
      </c>
      <c r="W176" s="56">
        <f t="shared" si="52"/>
        <v>27.45</v>
      </c>
      <c r="X176" s="56">
        <f t="shared" si="53"/>
        <v>16.775</v>
      </c>
      <c r="Y176" s="4">
        <v>1</v>
      </c>
      <c r="Z176" s="4">
        <v>0</v>
      </c>
      <c r="AB176" s="74">
        <f t="shared" si="54"/>
        <v>14</v>
      </c>
      <c r="AC176" s="74">
        <f t="shared" si="55"/>
        <v>3</v>
      </c>
      <c r="AD176" s="74">
        <f t="shared" si="56"/>
        <v>152</v>
      </c>
      <c r="AE176" s="74">
        <f t="shared" si="57"/>
        <v>41</v>
      </c>
      <c r="AF176" s="74">
        <f t="shared" si="58"/>
        <v>6</v>
      </c>
      <c r="AG176" s="74">
        <f t="shared" si="59"/>
        <v>6</v>
      </c>
      <c r="AH176" s="74">
        <f t="shared" si="60"/>
        <v>27</v>
      </c>
      <c r="AI176" s="74">
        <f t="shared" si="61"/>
        <v>16</v>
      </c>
      <c r="AJ176" s="74">
        <f t="shared" si="62"/>
        <v>1</v>
      </c>
      <c r="AK176" s="74">
        <f t="shared" si="63"/>
        <v>0</v>
      </c>
      <c r="AL176" s="4">
        <f t="shared" si="64"/>
        <v>775</v>
      </c>
    </row>
    <row r="177" spans="17:38">
      <c r="Q177" s="75">
        <v>15</v>
      </c>
      <c r="R177" s="75" t="s">
        <v>95</v>
      </c>
      <c r="S177" s="56">
        <f t="shared" si="48"/>
        <v>159</v>
      </c>
      <c r="T177" s="56">
        <f t="shared" si="49"/>
        <v>42.93</v>
      </c>
      <c r="U177" s="56">
        <f t="shared" si="50"/>
        <v>6.2964</v>
      </c>
      <c r="V177" s="56">
        <f t="shared" si="51"/>
        <v>6.2964</v>
      </c>
      <c r="W177" s="56">
        <f t="shared" si="52"/>
        <v>28.62</v>
      </c>
      <c r="X177" s="56">
        <f t="shared" si="53"/>
        <v>17.49</v>
      </c>
      <c r="Y177" s="4">
        <v>1</v>
      </c>
      <c r="Z177" s="4">
        <v>0</v>
      </c>
      <c r="AB177" s="74">
        <f t="shared" si="54"/>
        <v>15</v>
      </c>
      <c r="AC177" s="74">
        <f t="shared" si="55"/>
        <v>3</v>
      </c>
      <c r="AD177" s="74">
        <f t="shared" si="56"/>
        <v>159</v>
      </c>
      <c r="AE177" s="74">
        <f t="shared" si="57"/>
        <v>42</v>
      </c>
      <c r="AF177" s="74">
        <f t="shared" si="58"/>
        <v>6</v>
      </c>
      <c r="AG177" s="74">
        <f t="shared" si="59"/>
        <v>6</v>
      </c>
      <c r="AH177" s="74">
        <f t="shared" si="60"/>
        <v>28</v>
      </c>
      <c r="AI177" s="74">
        <f t="shared" si="61"/>
        <v>17</v>
      </c>
      <c r="AJ177" s="74">
        <f t="shared" si="62"/>
        <v>1</v>
      </c>
      <c r="AK177" s="74">
        <f t="shared" si="63"/>
        <v>0</v>
      </c>
      <c r="AL177" s="4">
        <f t="shared" si="64"/>
        <v>810</v>
      </c>
    </row>
    <row r="178" spans="17:38">
      <c r="Q178" s="75">
        <v>16</v>
      </c>
      <c r="R178" s="75" t="s">
        <v>95</v>
      </c>
      <c r="S178" s="56">
        <f t="shared" si="48"/>
        <v>165.5</v>
      </c>
      <c r="T178" s="56">
        <f t="shared" si="49"/>
        <v>44.685</v>
      </c>
      <c r="U178" s="56">
        <f t="shared" si="50"/>
        <v>6.5538</v>
      </c>
      <c r="V178" s="56">
        <f t="shared" si="51"/>
        <v>6.5538</v>
      </c>
      <c r="W178" s="56">
        <f t="shared" si="52"/>
        <v>29.79</v>
      </c>
      <c r="X178" s="56">
        <f t="shared" si="53"/>
        <v>18.205</v>
      </c>
      <c r="Y178" s="4">
        <v>1</v>
      </c>
      <c r="Z178" s="4">
        <v>0</v>
      </c>
      <c r="AB178" s="74">
        <f t="shared" si="54"/>
        <v>16</v>
      </c>
      <c r="AC178" s="74">
        <f t="shared" si="55"/>
        <v>3</v>
      </c>
      <c r="AD178" s="74">
        <f t="shared" si="56"/>
        <v>165</v>
      </c>
      <c r="AE178" s="74">
        <f t="shared" si="57"/>
        <v>44</v>
      </c>
      <c r="AF178" s="74">
        <f t="shared" si="58"/>
        <v>6</v>
      </c>
      <c r="AG178" s="74">
        <f t="shared" si="59"/>
        <v>6</v>
      </c>
      <c r="AH178" s="74">
        <f t="shared" si="60"/>
        <v>29</v>
      </c>
      <c r="AI178" s="74">
        <f t="shared" si="61"/>
        <v>18</v>
      </c>
      <c r="AJ178" s="74">
        <f t="shared" si="62"/>
        <v>1</v>
      </c>
      <c r="AK178" s="74">
        <f t="shared" si="63"/>
        <v>0</v>
      </c>
      <c r="AL178" s="4">
        <f t="shared" si="64"/>
        <v>844</v>
      </c>
    </row>
    <row r="179" spans="17:38">
      <c r="Q179" s="75">
        <v>17</v>
      </c>
      <c r="R179" s="75" t="s">
        <v>95</v>
      </c>
      <c r="S179" s="56">
        <f t="shared" si="48"/>
        <v>172</v>
      </c>
      <c r="T179" s="56">
        <f t="shared" si="49"/>
        <v>46.44</v>
      </c>
      <c r="U179" s="56">
        <f t="shared" si="50"/>
        <v>6.8112</v>
      </c>
      <c r="V179" s="56">
        <f t="shared" si="51"/>
        <v>6.8112</v>
      </c>
      <c r="W179" s="56">
        <f t="shared" si="52"/>
        <v>30.96</v>
      </c>
      <c r="X179" s="56">
        <f t="shared" si="53"/>
        <v>18.92</v>
      </c>
      <c r="Y179" s="4">
        <v>1</v>
      </c>
      <c r="Z179" s="4">
        <v>0</v>
      </c>
      <c r="AB179" s="74">
        <f t="shared" si="54"/>
        <v>17</v>
      </c>
      <c r="AC179" s="74">
        <f t="shared" si="55"/>
        <v>3</v>
      </c>
      <c r="AD179" s="74">
        <f t="shared" si="56"/>
        <v>172</v>
      </c>
      <c r="AE179" s="74">
        <f t="shared" si="57"/>
        <v>46</v>
      </c>
      <c r="AF179" s="74">
        <f t="shared" si="58"/>
        <v>6</v>
      </c>
      <c r="AG179" s="74">
        <f t="shared" si="59"/>
        <v>6</v>
      </c>
      <c r="AH179" s="74">
        <f t="shared" si="60"/>
        <v>30</v>
      </c>
      <c r="AI179" s="74">
        <f t="shared" si="61"/>
        <v>18</v>
      </c>
      <c r="AJ179" s="74">
        <f t="shared" si="62"/>
        <v>1</v>
      </c>
      <c r="AK179" s="74">
        <f t="shared" si="63"/>
        <v>0</v>
      </c>
      <c r="AL179" s="4">
        <f t="shared" si="64"/>
        <v>870</v>
      </c>
    </row>
    <row r="180" spans="17:38">
      <c r="Q180" s="75">
        <v>18</v>
      </c>
      <c r="R180" s="75" t="s">
        <v>95</v>
      </c>
      <c r="S180" s="56">
        <f t="shared" si="48"/>
        <v>178.5</v>
      </c>
      <c r="T180" s="56">
        <f t="shared" si="49"/>
        <v>48.195</v>
      </c>
      <c r="U180" s="56">
        <f t="shared" si="50"/>
        <v>7.0686</v>
      </c>
      <c r="V180" s="56">
        <f t="shared" si="51"/>
        <v>7.0686</v>
      </c>
      <c r="W180" s="56">
        <f t="shared" si="52"/>
        <v>32.13</v>
      </c>
      <c r="X180" s="56">
        <f t="shared" si="53"/>
        <v>19.635</v>
      </c>
      <c r="Y180" s="4">
        <v>1</v>
      </c>
      <c r="Z180" s="4">
        <v>0</v>
      </c>
      <c r="AB180" s="74">
        <f t="shared" si="54"/>
        <v>18</v>
      </c>
      <c r="AC180" s="74">
        <f t="shared" si="55"/>
        <v>3</v>
      </c>
      <c r="AD180" s="74">
        <f t="shared" si="56"/>
        <v>178</v>
      </c>
      <c r="AE180" s="74">
        <f t="shared" si="57"/>
        <v>48</v>
      </c>
      <c r="AF180" s="74">
        <f t="shared" si="58"/>
        <v>7</v>
      </c>
      <c r="AG180" s="74">
        <f t="shared" si="59"/>
        <v>7</v>
      </c>
      <c r="AH180" s="74">
        <f t="shared" si="60"/>
        <v>32</v>
      </c>
      <c r="AI180" s="74">
        <f t="shared" si="61"/>
        <v>19</v>
      </c>
      <c r="AJ180" s="74">
        <f t="shared" si="62"/>
        <v>1</v>
      </c>
      <c r="AK180" s="74">
        <f t="shared" si="63"/>
        <v>0</v>
      </c>
      <c r="AL180" s="4">
        <f t="shared" si="64"/>
        <v>914</v>
      </c>
    </row>
    <row r="181" spans="17:38">
      <c r="Q181" s="75">
        <v>19</v>
      </c>
      <c r="R181" s="75" t="s">
        <v>95</v>
      </c>
      <c r="S181" s="56">
        <f t="shared" si="48"/>
        <v>185</v>
      </c>
      <c r="T181" s="56">
        <f t="shared" si="49"/>
        <v>49.95</v>
      </c>
      <c r="U181" s="56">
        <f t="shared" si="50"/>
        <v>7.326</v>
      </c>
      <c r="V181" s="56">
        <f t="shared" si="51"/>
        <v>7.326</v>
      </c>
      <c r="W181" s="56">
        <f t="shared" si="52"/>
        <v>33.3</v>
      </c>
      <c r="X181" s="56">
        <f t="shared" si="53"/>
        <v>20.35</v>
      </c>
      <c r="Y181" s="4">
        <v>1</v>
      </c>
      <c r="Z181" s="4">
        <v>0</v>
      </c>
      <c r="AB181" s="74">
        <f t="shared" si="54"/>
        <v>19</v>
      </c>
      <c r="AC181" s="74">
        <f t="shared" si="55"/>
        <v>3</v>
      </c>
      <c r="AD181" s="74">
        <f t="shared" si="56"/>
        <v>185</v>
      </c>
      <c r="AE181" s="74">
        <f t="shared" si="57"/>
        <v>49</v>
      </c>
      <c r="AF181" s="74">
        <f t="shared" si="58"/>
        <v>7</v>
      </c>
      <c r="AG181" s="74">
        <f t="shared" si="59"/>
        <v>7</v>
      </c>
      <c r="AH181" s="74">
        <f t="shared" si="60"/>
        <v>33</v>
      </c>
      <c r="AI181" s="74">
        <f t="shared" si="61"/>
        <v>20</v>
      </c>
      <c r="AJ181" s="74">
        <f t="shared" si="62"/>
        <v>1</v>
      </c>
      <c r="AK181" s="74">
        <f t="shared" si="63"/>
        <v>0</v>
      </c>
      <c r="AL181" s="4">
        <f t="shared" si="64"/>
        <v>949</v>
      </c>
    </row>
    <row r="182" spans="17:38">
      <c r="Q182" s="75">
        <v>20</v>
      </c>
      <c r="R182" s="75" t="s">
        <v>95</v>
      </c>
      <c r="S182" s="56">
        <f t="shared" si="48"/>
        <v>191.5</v>
      </c>
      <c r="T182" s="56">
        <f t="shared" si="49"/>
        <v>51.705</v>
      </c>
      <c r="U182" s="56">
        <f t="shared" si="50"/>
        <v>7.58339999999999</v>
      </c>
      <c r="V182" s="56">
        <f t="shared" si="51"/>
        <v>7.58339999999999</v>
      </c>
      <c r="W182" s="56">
        <f t="shared" si="52"/>
        <v>34.47</v>
      </c>
      <c r="X182" s="56">
        <f t="shared" si="53"/>
        <v>21.065</v>
      </c>
      <c r="Y182" s="4">
        <v>1</v>
      </c>
      <c r="Z182" s="4">
        <v>0</v>
      </c>
      <c r="AB182" s="74">
        <f t="shared" si="54"/>
        <v>20</v>
      </c>
      <c r="AC182" s="74">
        <f t="shared" si="55"/>
        <v>3</v>
      </c>
      <c r="AD182" s="74">
        <f t="shared" si="56"/>
        <v>191</v>
      </c>
      <c r="AE182" s="74">
        <f t="shared" si="57"/>
        <v>51</v>
      </c>
      <c r="AF182" s="74">
        <f t="shared" si="58"/>
        <v>7</v>
      </c>
      <c r="AG182" s="74">
        <f t="shared" si="59"/>
        <v>7</v>
      </c>
      <c r="AH182" s="74">
        <f t="shared" si="60"/>
        <v>34</v>
      </c>
      <c r="AI182" s="74">
        <f t="shared" si="61"/>
        <v>21</v>
      </c>
      <c r="AJ182" s="74">
        <f t="shared" si="62"/>
        <v>1</v>
      </c>
      <c r="AK182" s="74">
        <f t="shared" si="63"/>
        <v>0</v>
      </c>
      <c r="AL182" s="4">
        <f t="shared" si="64"/>
        <v>983</v>
      </c>
    </row>
    <row r="183" spans="17:38">
      <c r="Q183" s="75">
        <v>21</v>
      </c>
      <c r="R183" s="75" t="s">
        <v>95</v>
      </c>
      <c r="S183" s="56">
        <f t="shared" si="48"/>
        <v>199.5</v>
      </c>
      <c r="T183" s="56">
        <f t="shared" si="49"/>
        <v>53.865</v>
      </c>
      <c r="U183" s="56">
        <f t="shared" si="50"/>
        <v>7.90019999999999</v>
      </c>
      <c r="V183" s="56">
        <f t="shared" si="51"/>
        <v>7.90019999999999</v>
      </c>
      <c r="W183" s="56">
        <f t="shared" si="52"/>
        <v>35.91</v>
      </c>
      <c r="X183" s="56">
        <f t="shared" si="53"/>
        <v>21.945</v>
      </c>
      <c r="Y183" s="4">
        <v>1</v>
      </c>
      <c r="Z183" s="4">
        <v>0</v>
      </c>
      <c r="AB183" s="74">
        <f t="shared" si="54"/>
        <v>21</v>
      </c>
      <c r="AC183" s="74">
        <f t="shared" si="55"/>
        <v>3</v>
      </c>
      <c r="AD183" s="74">
        <f t="shared" si="56"/>
        <v>199</v>
      </c>
      <c r="AE183" s="74">
        <f t="shared" si="57"/>
        <v>53</v>
      </c>
      <c r="AF183" s="74">
        <f t="shared" si="58"/>
        <v>7</v>
      </c>
      <c r="AG183" s="74">
        <f t="shared" si="59"/>
        <v>7</v>
      </c>
      <c r="AH183" s="74">
        <f t="shared" si="60"/>
        <v>35</v>
      </c>
      <c r="AI183" s="74">
        <f t="shared" si="61"/>
        <v>21</v>
      </c>
      <c r="AJ183" s="74">
        <f t="shared" si="62"/>
        <v>1</v>
      </c>
      <c r="AK183" s="74">
        <f t="shared" si="63"/>
        <v>0</v>
      </c>
      <c r="AL183" s="4">
        <f t="shared" si="64"/>
        <v>1011</v>
      </c>
    </row>
    <row r="184" spans="17:38">
      <c r="Q184" s="75">
        <v>22</v>
      </c>
      <c r="R184" s="75" t="s">
        <v>95</v>
      </c>
      <c r="S184" s="56">
        <f t="shared" si="48"/>
        <v>207.5</v>
      </c>
      <c r="T184" s="56">
        <f t="shared" si="49"/>
        <v>56.025</v>
      </c>
      <c r="U184" s="56">
        <f t="shared" si="50"/>
        <v>8.217</v>
      </c>
      <c r="V184" s="56">
        <f t="shared" si="51"/>
        <v>8.217</v>
      </c>
      <c r="W184" s="56">
        <f t="shared" si="52"/>
        <v>37.35</v>
      </c>
      <c r="X184" s="56">
        <f t="shared" si="53"/>
        <v>22.825</v>
      </c>
      <c r="Y184" s="4">
        <v>1</v>
      </c>
      <c r="Z184" s="4">
        <v>0</v>
      </c>
      <c r="AB184" s="74">
        <f t="shared" si="54"/>
        <v>22</v>
      </c>
      <c r="AC184" s="74">
        <f t="shared" si="55"/>
        <v>3</v>
      </c>
      <c r="AD184" s="74">
        <f t="shared" si="56"/>
        <v>207</v>
      </c>
      <c r="AE184" s="74">
        <f t="shared" si="57"/>
        <v>56</v>
      </c>
      <c r="AF184" s="74">
        <f t="shared" si="58"/>
        <v>8</v>
      </c>
      <c r="AG184" s="74">
        <f t="shared" si="59"/>
        <v>8</v>
      </c>
      <c r="AH184" s="74">
        <f t="shared" si="60"/>
        <v>37</v>
      </c>
      <c r="AI184" s="74">
        <f t="shared" si="61"/>
        <v>22</v>
      </c>
      <c r="AJ184" s="74">
        <f t="shared" si="62"/>
        <v>1</v>
      </c>
      <c r="AK184" s="74">
        <f t="shared" si="63"/>
        <v>0</v>
      </c>
      <c r="AL184" s="4">
        <f t="shared" si="64"/>
        <v>1060</v>
      </c>
    </row>
    <row r="185" spans="17:38">
      <c r="Q185" s="75">
        <v>23</v>
      </c>
      <c r="R185" s="75" t="s">
        <v>95</v>
      </c>
      <c r="S185" s="56">
        <f t="shared" si="48"/>
        <v>215.5</v>
      </c>
      <c r="T185" s="56">
        <f t="shared" si="49"/>
        <v>58.185</v>
      </c>
      <c r="U185" s="56">
        <f t="shared" si="50"/>
        <v>8.5338</v>
      </c>
      <c r="V185" s="56">
        <f t="shared" si="51"/>
        <v>8.5338</v>
      </c>
      <c r="W185" s="56">
        <f t="shared" si="52"/>
        <v>38.79</v>
      </c>
      <c r="X185" s="56">
        <f t="shared" si="53"/>
        <v>23.705</v>
      </c>
      <c r="Y185" s="4">
        <v>1</v>
      </c>
      <c r="Z185" s="4">
        <v>0</v>
      </c>
      <c r="AB185" s="74">
        <f t="shared" si="54"/>
        <v>23</v>
      </c>
      <c r="AC185" s="74">
        <f t="shared" si="55"/>
        <v>3</v>
      </c>
      <c r="AD185" s="74">
        <f t="shared" si="56"/>
        <v>215</v>
      </c>
      <c r="AE185" s="74">
        <f t="shared" si="57"/>
        <v>58</v>
      </c>
      <c r="AF185" s="74">
        <f t="shared" si="58"/>
        <v>8</v>
      </c>
      <c r="AG185" s="74">
        <f t="shared" si="59"/>
        <v>8</v>
      </c>
      <c r="AH185" s="74">
        <f t="shared" si="60"/>
        <v>38</v>
      </c>
      <c r="AI185" s="74">
        <f t="shared" si="61"/>
        <v>23</v>
      </c>
      <c r="AJ185" s="74">
        <f t="shared" si="62"/>
        <v>1</v>
      </c>
      <c r="AK185" s="74">
        <f t="shared" si="63"/>
        <v>0</v>
      </c>
      <c r="AL185" s="4">
        <f t="shared" si="64"/>
        <v>1098</v>
      </c>
    </row>
    <row r="186" spans="17:38">
      <c r="Q186" s="75">
        <v>24</v>
      </c>
      <c r="R186" s="75" t="s">
        <v>95</v>
      </c>
      <c r="S186" s="56">
        <f t="shared" si="48"/>
        <v>223.5</v>
      </c>
      <c r="T186" s="56">
        <f t="shared" si="49"/>
        <v>60.345</v>
      </c>
      <c r="U186" s="56">
        <f t="shared" si="50"/>
        <v>8.8506</v>
      </c>
      <c r="V186" s="56">
        <f t="shared" si="51"/>
        <v>8.8506</v>
      </c>
      <c r="W186" s="56">
        <f t="shared" si="52"/>
        <v>40.23</v>
      </c>
      <c r="X186" s="56">
        <f t="shared" si="53"/>
        <v>24.585</v>
      </c>
      <c r="Y186" s="4">
        <v>1</v>
      </c>
      <c r="Z186" s="4">
        <v>0</v>
      </c>
      <c r="AB186" s="74">
        <f t="shared" si="54"/>
        <v>24</v>
      </c>
      <c r="AC186" s="74">
        <f t="shared" si="55"/>
        <v>3</v>
      </c>
      <c r="AD186" s="74">
        <f t="shared" si="56"/>
        <v>223</v>
      </c>
      <c r="AE186" s="74">
        <f t="shared" si="57"/>
        <v>60</v>
      </c>
      <c r="AF186" s="74">
        <f t="shared" si="58"/>
        <v>8</v>
      </c>
      <c r="AG186" s="74">
        <f t="shared" si="59"/>
        <v>8</v>
      </c>
      <c r="AH186" s="74">
        <f t="shared" si="60"/>
        <v>40</v>
      </c>
      <c r="AI186" s="74">
        <f t="shared" si="61"/>
        <v>24</v>
      </c>
      <c r="AJ186" s="74">
        <f t="shared" si="62"/>
        <v>1</v>
      </c>
      <c r="AK186" s="74">
        <f t="shared" si="63"/>
        <v>0</v>
      </c>
      <c r="AL186" s="4">
        <f t="shared" si="64"/>
        <v>1146</v>
      </c>
    </row>
    <row r="187" spans="17:38">
      <c r="Q187" s="75">
        <v>25</v>
      </c>
      <c r="R187" s="75" t="s">
        <v>95</v>
      </c>
      <c r="S187" s="56">
        <f t="shared" si="48"/>
        <v>231.5</v>
      </c>
      <c r="T187" s="56">
        <f t="shared" si="49"/>
        <v>62.5050000000001</v>
      </c>
      <c r="U187" s="56">
        <f t="shared" si="50"/>
        <v>9.1674</v>
      </c>
      <c r="V187" s="56">
        <f t="shared" si="51"/>
        <v>9.1674</v>
      </c>
      <c r="W187" s="56">
        <f t="shared" si="52"/>
        <v>41.67</v>
      </c>
      <c r="X187" s="56">
        <f t="shared" si="53"/>
        <v>25.465</v>
      </c>
      <c r="Y187" s="4">
        <v>1</v>
      </c>
      <c r="Z187" s="4">
        <v>0</v>
      </c>
      <c r="AB187" s="74">
        <f t="shared" si="54"/>
        <v>25</v>
      </c>
      <c r="AC187" s="74">
        <f t="shared" si="55"/>
        <v>3</v>
      </c>
      <c r="AD187" s="74">
        <f t="shared" si="56"/>
        <v>231</v>
      </c>
      <c r="AE187" s="74">
        <f t="shared" si="57"/>
        <v>62</v>
      </c>
      <c r="AF187" s="74">
        <f t="shared" si="58"/>
        <v>9</v>
      </c>
      <c r="AG187" s="74">
        <f t="shared" si="59"/>
        <v>9</v>
      </c>
      <c r="AH187" s="74">
        <f t="shared" si="60"/>
        <v>41</v>
      </c>
      <c r="AI187" s="74">
        <f t="shared" si="61"/>
        <v>25</v>
      </c>
      <c r="AJ187" s="74">
        <f t="shared" si="62"/>
        <v>1</v>
      </c>
      <c r="AK187" s="74">
        <f t="shared" si="63"/>
        <v>0</v>
      </c>
      <c r="AL187" s="4">
        <f t="shared" si="64"/>
        <v>1184</v>
      </c>
    </row>
    <row r="188" spans="17:38">
      <c r="Q188" s="75">
        <v>26</v>
      </c>
      <c r="R188" s="75" t="s">
        <v>95</v>
      </c>
      <c r="S188" s="56">
        <f t="shared" si="48"/>
        <v>239.5</v>
      </c>
      <c r="T188" s="56">
        <f t="shared" si="49"/>
        <v>64.665</v>
      </c>
      <c r="U188" s="56">
        <f t="shared" si="50"/>
        <v>9.4842</v>
      </c>
      <c r="V188" s="56">
        <f t="shared" si="51"/>
        <v>9.4842</v>
      </c>
      <c r="W188" s="56">
        <f t="shared" si="52"/>
        <v>43.11</v>
      </c>
      <c r="X188" s="56">
        <f t="shared" si="53"/>
        <v>26.345</v>
      </c>
      <c r="Y188" s="4">
        <v>1</v>
      </c>
      <c r="Z188" s="4">
        <v>0</v>
      </c>
      <c r="AB188" s="74">
        <f t="shared" si="54"/>
        <v>26</v>
      </c>
      <c r="AC188" s="74">
        <f t="shared" si="55"/>
        <v>3</v>
      </c>
      <c r="AD188" s="74">
        <f t="shared" si="56"/>
        <v>239</v>
      </c>
      <c r="AE188" s="74">
        <f t="shared" si="57"/>
        <v>64</v>
      </c>
      <c r="AF188" s="74">
        <f t="shared" si="58"/>
        <v>9</v>
      </c>
      <c r="AG188" s="74">
        <f t="shared" si="59"/>
        <v>9</v>
      </c>
      <c r="AH188" s="74">
        <f t="shared" si="60"/>
        <v>43</v>
      </c>
      <c r="AI188" s="74">
        <f t="shared" si="61"/>
        <v>26</v>
      </c>
      <c r="AJ188" s="74">
        <f t="shared" si="62"/>
        <v>1</v>
      </c>
      <c r="AK188" s="74">
        <f t="shared" si="63"/>
        <v>0</v>
      </c>
      <c r="AL188" s="4">
        <f t="shared" si="64"/>
        <v>1232</v>
      </c>
    </row>
    <row r="189" spans="17:38">
      <c r="Q189" s="75">
        <v>27</v>
      </c>
      <c r="R189" s="75" t="s">
        <v>95</v>
      </c>
      <c r="S189" s="56">
        <f t="shared" si="48"/>
        <v>247.5</v>
      </c>
      <c r="T189" s="56">
        <f t="shared" si="49"/>
        <v>66.825</v>
      </c>
      <c r="U189" s="56">
        <f t="shared" si="50"/>
        <v>9.801</v>
      </c>
      <c r="V189" s="56">
        <f t="shared" si="51"/>
        <v>9.801</v>
      </c>
      <c r="W189" s="56">
        <f t="shared" si="52"/>
        <v>44.55</v>
      </c>
      <c r="X189" s="56">
        <f t="shared" si="53"/>
        <v>27.225</v>
      </c>
      <c r="Y189" s="4">
        <v>1</v>
      </c>
      <c r="Z189" s="4">
        <v>0</v>
      </c>
      <c r="AB189" s="74">
        <f t="shared" si="54"/>
        <v>27</v>
      </c>
      <c r="AC189" s="74">
        <f t="shared" si="55"/>
        <v>3</v>
      </c>
      <c r="AD189" s="74">
        <f t="shared" si="56"/>
        <v>247</v>
      </c>
      <c r="AE189" s="74">
        <f t="shared" si="57"/>
        <v>66</v>
      </c>
      <c r="AF189" s="74">
        <f t="shared" si="58"/>
        <v>9</v>
      </c>
      <c r="AG189" s="74">
        <f t="shared" si="59"/>
        <v>9</v>
      </c>
      <c r="AH189" s="74">
        <f t="shared" si="60"/>
        <v>44</v>
      </c>
      <c r="AI189" s="74">
        <f t="shared" si="61"/>
        <v>27</v>
      </c>
      <c r="AJ189" s="74">
        <f t="shared" si="62"/>
        <v>1</v>
      </c>
      <c r="AK189" s="74">
        <f t="shared" si="63"/>
        <v>0</v>
      </c>
      <c r="AL189" s="4">
        <f t="shared" si="64"/>
        <v>1270</v>
      </c>
    </row>
    <row r="190" spans="17:38">
      <c r="Q190" s="75">
        <v>28</v>
      </c>
      <c r="R190" s="75" t="s">
        <v>95</v>
      </c>
      <c r="S190" s="56">
        <f t="shared" si="48"/>
        <v>255.5</v>
      </c>
      <c r="T190" s="56">
        <f t="shared" si="49"/>
        <v>68.985</v>
      </c>
      <c r="U190" s="56">
        <f t="shared" si="50"/>
        <v>10.1178</v>
      </c>
      <c r="V190" s="56">
        <f t="shared" si="51"/>
        <v>10.1178</v>
      </c>
      <c r="W190" s="56">
        <f t="shared" si="52"/>
        <v>45.99</v>
      </c>
      <c r="X190" s="56">
        <f t="shared" si="53"/>
        <v>28.105</v>
      </c>
      <c r="Y190" s="4">
        <v>1</v>
      </c>
      <c r="Z190" s="4">
        <v>0</v>
      </c>
      <c r="AB190" s="74">
        <f t="shared" si="54"/>
        <v>28</v>
      </c>
      <c r="AC190" s="74">
        <f t="shared" si="55"/>
        <v>3</v>
      </c>
      <c r="AD190" s="74">
        <f t="shared" si="56"/>
        <v>255</v>
      </c>
      <c r="AE190" s="74">
        <f t="shared" si="57"/>
        <v>68</v>
      </c>
      <c r="AF190" s="74">
        <f t="shared" si="58"/>
        <v>10</v>
      </c>
      <c r="AG190" s="74">
        <f t="shared" si="59"/>
        <v>10</v>
      </c>
      <c r="AH190" s="74">
        <f t="shared" si="60"/>
        <v>45</v>
      </c>
      <c r="AI190" s="74">
        <f t="shared" si="61"/>
        <v>28</v>
      </c>
      <c r="AJ190" s="74">
        <f t="shared" si="62"/>
        <v>1</v>
      </c>
      <c r="AK190" s="74">
        <f t="shared" si="63"/>
        <v>0</v>
      </c>
      <c r="AL190" s="4">
        <f t="shared" si="64"/>
        <v>1308</v>
      </c>
    </row>
    <row r="191" spans="17:38">
      <c r="Q191" s="75">
        <v>29</v>
      </c>
      <c r="R191" s="75" t="s">
        <v>95</v>
      </c>
      <c r="S191" s="56">
        <f t="shared" si="48"/>
        <v>263.5</v>
      </c>
      <c r="T191" s="56">
        <f t="shared" si="49"/>
        <v>71.145</v>
      </c>
      <c r="U191" s="56">
        <f t="shared" si="50"/>
        <v>10.4346</v>
      </c>
      <c r="V191" s="56">
        <f t="shared" si="51"/>
        <v>10.4346</v>
      </c>
      <c r="W191" s="56">
        <f t="shared" si="52"/>
        <v>47.43</v>
      </c>
      <c r="X191" s="56">
        <f t="shared" si="53"/>
        <v>28.985</v>
      </c>
      <c r="Y191" s="4">
        <v>1</v>
      </c>
      <c r="Z191" s="4">
        <v>0</v>
      </c>
      <c r="AB191" s="74">
        <f t="shared" si="54"/>
        <v>29</v>
      </c>
      <c r="AC191" s="74">
        <f t="shared" si="55"/>
        <v>3</v>
      </c>
      <c r="AD191" s="74">
        <f t="shared" si="56"/>
        <v>263</v>
      </c>
      <c r="AE191" s="74">
        <f t="shared" si="57"/>
        <v>71</v>
      </c>
      <c r="AF191" s="74">
        <f t="shared" si="58"/>
        <v>10</v>
      </c>
      <c r="AG191" s="74">
        <f t="shared" si="59"/>
        <v>10</v>
      </c>
      <c r="AH191" s="74">
        <f t="shared" si="60"/>
        <v>47</v>
      </c>
      <c r="AI191" s="74">
        <f t="shared" si="61"/>
        <v>28</v>
      </c>
      <c r="AJ191" s="74">
        <f t="shared" si="62"/>
        <v>1</v>
      </c>
      <c r="AK191" s="74">
        <f t="shared" si="63"/>
        <v>0</v>
      </c>
      <c r="AL191" s="4">
        <f t="shared" si="64"/>
        <v>1347</v>
      </c>
    </row>
    <row r="192" spans="17:38">
      <c r="Q192" s="75">
        <v>30</v>
      </c>
      <c r="R192" s="75" t="s">
        <v>95</v>
      </c>
      <c r="S192" s="56">
        <f t="shared" si="48"/>
        <v>271.5</v>
      </c>
      <c r="T192" s="56">
        <f t="shared" si="49"/>
        <v>73.305</v>
      </c>
      <c r="U192" s="56">
        <f t="shared" si="50"/>
        <v>10.7514</v>
      </c>
      <c r="V192" s="56">
        <f t="shared" si="51"/>
        <v>10.7514</v>
      </c>
      <c r="W192" s="56">
        <f t="shared" si="52"/>
        <v>48.87</v>
      </c>
      <c r="X192" s="56">
        <f t="shared" si="53"/>
        <v>29.865</v>
      </c>
      <c r="Y192" s="4">
        <v>1</v>
      </c>
      <c r="Z192" s="4">
        <v>0</v>
      </c>
      <c r="AB192" s="74">
        <f t="shared" si="54"/>
        <v>30</v>
      </c>
      <c r="AC192" s="74">
        <f t="shared" si="55"/>
        <v>3</v>
      </c>
      <c r="AD192" s="74">
        <f t="shared" si="56"/>
        <v>271</v>
      </c>
      <c r="AE192" s="74">
        <f t="shared" si="57"/>
        <v>73</v>
      </c>
      <c r="AF192" s="74">
        <f t="shared" si="58"/>
        <v>10</v>
      </c>
      <c r="AG192" s="74">
        <f t="shared" si="59"/>
        <v>10</v>
      </c>
      <c r="AH192" s="74">
        <f t="shared" si="60"/>
        <v>48</v>
      </c>
      <c r="AI192" s="74">
        <f t="shared" si="61"/>
        <v>29</v>
      </c>
      <c r="AJ192" s="74">
        <f t="shared" si="62"/>
        <v>1</v>
      </c>
      <c r="AK192" s="74">
        <f t="shared" si="63"/>
        <v>0</v>
      </c>
      <c r="AL192" s="4">
        <f t="shared" si="64"/>
        <v>1385</v>
      </c>
    </row>
    <row r="193" spans="17:38">
      <c r="Q193" s="75">
        <v>31</v>
      </c>
      <c r="R193" s="75" t="s">
        <v>95</v>
      </c>
      <c r="S193" s="56">
        <f t="shared" si="48"/>
        <v>281.5</v>
      </c>
      <c r="T193" s="56">
        <f t="shared" si="49"/>
        <v>76.005</v>
      </c>
      <c r="U193" s="56">
        <f t="shared" si="50"/>
        <v>11.1474</v>
      </c>
      <c r="V193" s="56">
        <f t="shared" si="51"/>
        <v>11.1474</v>
      </c>
      <c r="W193" s="56">
        <f t="shared" si="52"/>
        <v>50.67</v>
      </c>
      <c r="X193" s="56">
        <f t="shared" si="53"/>
        <v>30.965</v>
      </c>
      <c r="Y193" s="4">
        <v>1</v>
      </c>
      <c r="Z193" s="4">
        <v>0</v>
      </c>
      <c r="AB193" s="74">
        <f t="shared" si="54"/>
        <v>31</v>
      </c>
      <c r="AC193" s="74">
        <f t="shared" si="55"/>
        <v>3</v>
      </c>
      <c r="AD193" s="74">
        <f t="shared" si="56"/>
        <v>281</v>
      </c>
      <c r="AE193" s="74">
        <f t="shared" si="57"/>
        <v>76</v>
      </c>
      <c r="AF193" s="74">
        <f t="shared" si="58"/>
        <v>11</v>
      </c>
      <c r="AG193" s="74">
        <f t="shared" si="59"/>
        <v>11</v>
      </c>
      <c r="AH193" s="74">
        <f t="shared" si="60"/>
        <v>50</v>
      </c>
      <c r="AI193" s="74">
        <f t="shared" si="61"/>
        <v>30</v>
      </c>
      <c r="AJ193" s="74">
        <f t="shared" si="62"/>
        <v>1</v>
      </c>
      <c r="AK193" s="74">
        <f t="shared" si="63"/>
        <v>0</v>
      </c>
      <c r="AL193" s="4">
        <f t="shared" si="64"/>
        <v>1438</v>
      </c>
    </row>
    <row r="194" spans="17:38">
      <c r="Q194" s="75">
        <v>32</v>
      </c>
      <c r="R194" s="75" t="s">
        <v>95</v>
      </c>
      <c r="S194" s="56">
        <f t="shared" si="48"/>
        <v>291.5</v>
      </c>
      <c r="T194" s="56">
        <f t="shared" si="49"/>
        <v>78.705</v>
      </c>
      <c r="U194" s="56">
        <f t="shared" si="50"/>
        <v>11.5434</v>
      </c>
      <c r="V194" s="56">
        <f t="shared" si="51"/>
        <v>11.5434</v>
      </c>
      <c r="W194" s="56">
        <f t="shared" si="52"/>
        <v>52.47</v>
      </c>
      <c r="X194" s="56">
        <f t="shared" si="53"/>
        <v>32.065</v>
      </c>
      <c r="Y194" s="4">
        <v>1</v>
      </c>
      <c r="Z194" s="4">
        <v>0</v>
      </c>
      <c r="AB194" s="74">
        <f t="shared" si="54"/>
        <v>32</v>
      </c>
      <c r="AC194" s="74">
        <f t="shared" si="55"/>
        <v>3</v>
      </c>
      <c r="AD194" s="74">
        <f t="shared" si="56"/>
        <v>291</v>
      </c>
      <c r="AE194" s="74">
        <f t="shared" si="57"/>
        <v>78</v>
      </c>
      <c r="AF194" s="74">
        <f t="shared" si="58"/>
        <v>11</v>
      </c>
      <c r="AG194" s="74">
        <f t="shared" si="59"/>
        <v>11</v>
      </c>
      <c r="AH194" s="74">
        <f t="shared" si="60"/>
        <v>52</v>
      </c>
      <c r="AI194" s="74">
        <f t="shared" si="61"/>
        <v>32</v>
      </c>
      <c r="AJ194" s="74">
        <f t="shared" si="62"/>
        <v>1</v>
      </c>
      <c r="AK194" s="74">
        <f t="shared" si="63"/>
        <v>0</v>
      </c>
      <c r="AL194" s="4">
        <f t="shared" si="64"/>
        <v>1500</v>
      </c>
    </row>
    <row r="195" spans="17:38">
      <c r="Q195" s="75">
        <v>33</v>
      </c>
      <c r="R195" s="75" t="s">
        <v>95</v>
      </c>
      <c r="S195" s="56">
        <f t="shared" si="48"/>
        <v>301.5</v>
      </c>
      <c r="T195" s="56">
        <f t="shared" si="49"/>
        <v>81.405</v>
      </c>
      <c r="U195" s="56">
        <f t="shared" si="50"/>
        <v>11.9394</v>
      </c>
      <c r="V195" s="56">
        <f t="shared" si="51"/>
        <v>11.9394</v>
      </c>
      <c r="W195" s="56">
        <f t="shared" si="52"/>
        <v>54.27</v>
      </c>
      <c r="X195" s="56">
        <f t="shared" si="53"/>
        <v>33.165</v>
      </c>
      <c r="Y195" s="4">
        <v>1</v>
      </c>
      <c r="Z195" s="4">
        <v>0</v>
      </c>
      <c r="AB195" s="74">
        <f t="shared" si="54"/>
        <v>33</v>
      </c>
      <c r="AC195" s="74">
        <f t="shared" si="55"/>
        <v>3</v>
      </c>
      <c r="AD195" s="74">
        <f t="shared" si="56"/>
        <v>301</v>
      </c>
      <c r="AE195" s="74">
        <f t="shared" si="57"/>
        <v>81</v>
      </c>
      <c r="AF195" s="74">
        <f t="shared" si="58"/>
        <v>11</v>
      </c>
      <c r="AG195" s="74">
        <f t="shared" si="59"/>
        <v>11</v>
      </c>
      <c r="AH195" s="74">
        <f t="shared" si="60"/>
        <v>54</v>
      </c>
      <c r="AI195" s="74">
        <f t="shared" si="61"/>
        <v>33</v>
      </c>
      <c r="AJ195" s="74">
        <f t="shared" si="62"/>
        <v>1</v>
      </c>
      <c r="AK195" s="74">
        <f t="shared" si="63"/>
        <v>0</v>
      </c>
      <c r="AL195" s="4">
        <f t="shared" si="64"/>
        <v>1553</v>
      </c>
    </row>
    <row r="196" spans="17:38">
      <c r="Q196" s="75">
        <v>34</v>
      </c>
      <c r="R196" s="75" t="s">
        <v>95</v>
      </c>
      <c r="S196" s="56">
        <f t="shared" ref="S196:S242" si="65">IF($Q196=1,(D$3*VLOOKUP($R196,$C$4:$K$6,S$1,0)*LOOKUP($Q196,$M$8:$M$16,$O$8:$O$16)),(D$3*VLOOKUP($R196,$C$4:$K$6,S$1,0)*LOOKUP($Q196,$M$8:$M$16,$O$8:$O$16)+S195))</f>
        <v>311.5</v>
      </c>
      <c r="T196" s="56">
        <f t="shared" ref="T196:T242" si="66">IF($Q196=1,(E$3*VLOOKUP($R196,$C$4:$K$6,T$1,0)*LOOKUP($Q196,$M$8:$M$16,$O$8:$O$16)),(E$3*VLOOKUP($R196,$C$4:$K$6,T$1,0)*LOOKUP($Q196,$M$8:$M$16,$O$8:$O$16)+T195))</f>
        <v>84.105</v>
      </c>
      <c r="U196" s="56">
        <f t="shared" ref="U196:U242" si="67">IF($Q196=1,(F$3*VLOOKUP($R196,$C$4:$K$6,U$1,0)*LOOKUP($Q196,$M$8:$M$16,$O$8:$O$16)),(F$3*VLOOKUP($R196,$C$4:$K$6,U$1,0)*LOOKUP($Q196,$M$8:$M$16,$O$8:$O$16)+U195))</f>
        <v>12.3354</v>
      </c>
      <c r="V196" s="56">
        <f t="shared" ref="V196:V242" si="68">IF($Q196=1,(G$3*VLOOKUP($R196,$C$4:$K$6,V$1,0)*LOOKUP($Q196,$M$8:$M$16,$O$8:$O$16)),(G$3*VLOOKUP($R196,$C$4:$K$6,V$1,0)*LOOKUP($Q196,$M$8:$M$16,$O$8:$O$16)+V195))</f>
        <v>12.3354</v>
      </c>
      <c r="W196" s="56">
        <f t="shared" ref="W196:W242" si="69">IF($Q196=1,(H$3*VLOOKUP($R196,$C$4:$K$6,W$1,0)*LOOKUP($Q196,$M$8:$M$16,$O$8:$O$16)),(H$3*VLOOKUP($R196,$C$4:$K$6,W$1,0)*LOOKUP($Q196,$M$8:$M$16,$O$8:$O$16)+W195))</f>
        <v>56.07</v>
      </c>
      <c r="X196" s="56">
        <f t="shared" ref="X196:X242" si="70">IF($Q196=1,(I$3*VLOOKUP($R196,$C$4:$K$6,X$1,0)*LOOKUP($Q196,$M$8:$M$16,$O$8:$O$16)),(I$3*VLOOKUP($R196,$C$4:$K$6,X$1,0)*LOOKUP($Q196,$M$8:$M$16,$O$8:$O$16)+X195))</f>
        <v>34.265</v>
      </c>
      <c r="Y196" s="4">
        <v>1</v>
      </c>
      <c r="Z196" s="4">
        <v>0</v>
      </c>
      <c r="AB196" s="74">
        <f t="shared" ref="AB196:AB242" si="71">Q196</f>
        <v>34</v>
      </c>
      <c r="AC196" s="74">
        <f t="shared" ref="AC196:AC242" si="72">VLOOKUP(R196,$M$4:$N$6,2,0)</f>
        <v>3</v>
      </c>
      <c r="AD196" s="74">
        <f t="shared" ref="AD196:AD242" si="73">INT(S196)</f>
        <v>311</v>
      </c>
      <c r="AE196" s="74">
        <f t="shared" ref="AE196:AE242" si="74">INT(T196)</f>
        <v>84</v>
      </c>
      <c r="AF196" s="74">
        <f t="shared" ref="AF196:AF242" si="75">INT(U196)</f>
        <v>12</v>
      </c>
      <c r="AG196" s="74">
        <f t="shared" ref="AG196:AG242" si="76">INT(V196)</f>
        <v>12</v>
      </c>
      <c r="AH196" s="74">
        <f t="shared" ref="AH196:AH242" si="77">INT(W196)</f>
        <v>56</v>
      </c>
      <c r="AI196" s="74">
        <f t="shared" ref="AI196:AI242" si="78">INT(X196)</f>
        <v>34</v>
      </c>
      <c r="AJ196" s="74">
        <f t="shared" ref="AJ196:AJ242" si="79">INT(Y196)</f>
        <v>1</v>
      </c>
      <c r="AK196" s="74">
        <f t="shared" ref="AK196:AK242" si="80">INT(Z196)</f>
        <v>0</v>
      </c>
      <c r="AL196" s="4">
        <f t="shared" ref="AL196:AL242" si="81">$AD$1*AD196+$AE$1*AE196+MAX($AF$1:$AH$1)*MAX(AF196:AH196)+$AI$1*AI196</f>
        <v>1606</v>
      </c>
    </row>
    <row r="197" spans="17:38">
      <c r="Q197" s="75">
        <v>35</v>
      </c>
      <c r="R197" s="75" t="s">
        <v>95</v>
      </c>
      <c r="S197" s="56">
        <f t="shared" si="65"/>
        <v>321.5</v>
      </c>
      <c r="T197" s="56">
        <f t="shared" si="66"/>
        <v>86.805</v>
      </c>
      <c r="U197" s="56">
        <f t="shared" si="67"/>
        <v>12.7314</v>
      </c>
      <c r="V197" s="56">
        <f t="shared" si="68"/>
        <v>12.7314</v>
      </c>
      <c r="W197" s="56">
        <f t="shared" si="69"/>
        <v>57.87</v>
      </c>
      <c r="X197" s="56">
        <f t="shared" si="70"/>
        <v>35.365</v>
      </c>
      <c r="Y197" s="4">
        <v>1</v>
      </c>
      <c r="Z197" s="4">
        <v>0</v>
      </c>
      <c r="AB197" s="74">
        <f t="shared" si="71"/>
        <v>35</v>
      </c>
      <c r="AC197" s="74">
        <f t="shared" si="72"/>
        <v>3</v>
      </c>
      <c r="AD197" s="74">
        <f t="shared" si="73"/>
        <v>321</v>
      </c>
      <c r="AE197" s="74">
        <f t="shared" si="74"/>
        <v>86</v>
      </c>
      <c r="AF197" s="74">
        <f t="shared" si="75"/>
        <v>12</v>
      </c>
      <c r="AG197" s="74">
        <f t="shared" si="76"/>
        <v>12</v>
      </c>
      <c r="AH197" s="74">
        <f t="shared" si="77"/>
        <v>57</v>
      </c>
      <c r="AI197" s="74">
        <f t="shared" si="78"/>
        <v>35</v>
      </c>
      <c r="AJ197" s="74">
        <f t="shared" si="79"/>
        <v>1</v>
      </c>
      <c r="AK197" s="74">
        <f t="shared" si="80"/>
        <v>0</v>
      </c>
      <c r="AL197" s="4">
        <f t="shared" si="81"/>
        <v>1648</v>
      </c>
    </row>
    <row r="198" spans="17:38">
      <c r="Q198" s="75">
        <v>36</v>
      </c>
      <c r="R198" s="75" t="s">
        <v>95</v>
      </c>
      <c r="S198" s="56">
        <f t="shared" si="65"/>
        <v>331.5</v>
      </c>
      <c r="T198" s="56">
        <f t="shared" si="66"/>
        <v>89.5050000000001</v>
      </c>
      <c r="U198" s="56">
        <f t="shared" si="67"/>
        <v>13.1274</v>
      </c>
      <c r="V198" s="56">
        <f t="shared" si="68"/>
        <v>13.1274</v>
      </c>
      <c r="W198" s="56">
        <f t="shared" si="69"/>
        <v>59.67</v>
      </c>
      <c r="X198" s="56">
        <f t="shared" si="70"/>
        <v>36.465</v>
      </c>
      <c r="Y198" s="4">
        <v>1</v>
      </c>
      <c r="Z198" s="4">
        <v>0</v>
      </c>
      <c r="AB198" s="74">
        <f t="shared" si="71"/>
        <v>36</v>
      </c>
      <c r="AC198" s="74">
        <f t="shared" si="72"/>
        <v>3</v>
      </c>
      <c r="AD198" s="74">
        <f t="shared" si="73"/>
        <v>331</v>
      </c>
      <c r="AE198" s="74">
        <f t="shared" si="74"/>
        <v>89</v>
      </c>
      <c r="AF198" s="74">
        <f t="shared" si="75"/>
        <v>13</v>
      </c>
      <c r="AG198" s="74">
        <f t="shared" si="76"/>
        <v>13</v>
      </c>
      <c r="AH198" s="74">
        <f t="shared" si="77"/>
        <v>59</v>
      </c>
      <c r="AI198" s="74">
        <f t="shared" si="78"/>
        <v>36</v>
      </c>
      <c r="AJ198" s="74">
        <f t="shared" si="79"/>
        <v>1</v>
      </c>
      <c r="AK198" s="74">
        <f t="shared" si="80"/>
        <v>0</v>
      </c>
      <c r="AL198" s="4">
        <f t="shared" si="81"/>
        <v>1701</v>
      </c>
    </row>
    <row r="199" spans="17:38">
      <c r="Q199" s="75">
        <v>37</v>
      </c>
      <c r="R199" s="75" t="s">
        <v>95</v>
      </c>
      <c r="S199" s="56">
        <f t="shared" si="65"/>
        <v>341.5</v>
      </c>
      <c r="T199" s="56">
        <f t="shared" si="66"/>
        <v>92.2050000000001</v>
      </c>
      <c r="U199" s="56">
        <f t="shared" si="67"/>
        <v>13.5234</v>
      </c>
      <c r="V199" s="56">
        <f t="shared" si="68"/>
        <v>13.5234</v>
      </c>
      <c r="W199" s="56">
        <f t="shared" si="69"/>
        <v>61.4699999999999</v>
      </c>
      <c r="X199" s="56">
        <f t="shared" si="70"/>
        <v>37.565</v>
      </c>
      <c r="Y199" s="4">
        <v>1</v>
      </c>
      <c r="Z199" s="4">
        <v>0</v>
      </c>
      <c r="AB199" s="74">
        <f t="shared" si="71"/>
        <v>37</v>
      </c>
      <c r="AC199" s="74">
        <f t="shared" si="72"/>
        <v>3</v>
      </c>
      <c r="AD199" s="74">
        <f t="shared" si="73"/>
        <v>341</v>
      </c>
      <c r="AE199" s="74">
        <f t="shared" si="74"/>
        <v>92</v>
      </c>
      <c r="AF199" s="74">
        <f t="shared" si="75"/>
        <v>13</v>
      </c>
      <c r="AG199" s="74">
        <f t="shared" si="76"/>
        <v>13</v>
      </c>
      <c r="AH199" s="74">
        <f t="shared" si="77"/>
        <v>61</v>
      </c>
      <c r="AI199" s="74">
        <f t="shared" si="78"/>
        <v>37</v>
      </c>
      <c r="AJ199" s="74">
        <f t="shared" si="79"/>
        <v>1</v>
      </c>
      <c r="AK199" s="74">
        <f t="shared" si="80"/>
        <v>0</v>
      </c>
      <c r="AL199" s="4">
        <f t="shared" si="81"/>
        <v>1754</v>
      </c>
    </row>
    <row r="200" spans="17:38">
      <c r="Q200" s="75">
        <v>38</v>
      </c>
      <c r="R200" s="75" t="s">
        <v>95</v>
      </c>
      <c r="S200" s="56">
        <f t="shared" si="65"/>
        <v>351.5</v>
      </c>
      <c r="T200" s="56">
        <f t="shared" si="66"/>
        <v>94.9050000000001</v>
      </c>
      <c r="U200" s="56">
        <f t="shared" si="67"/>
        <v>13.9194</v>
      </c>
      <c r="V200" s="56">
        <f t="shared" si="68"/>
        <v>13.9194</v>
      </c>
      <c r="W200" s="56">
        <f t="shared" si="69"/>
        <v>63.2699999999999</v>
      </c>
      <c r="X200" s="56">
        <f t="shared" si="70"/>
        <v>38.665</v>
      </c>
      <c r="Y200" s="4">
        <v>1</v>
      </c>
      <c r="Z200" s="4">
        <v>0</v>
      </c>
      <c r="AB200" s="74">
        <f t="shared" si="71"/>
        <v>38</v>
      </c>
      <c r="AC200" s="74">
        <f t="shared" si="72"/>
        <v>3</v>
      </c>
      <c r="AD200" s="74">
        <f t="shared" si="73"/>
        <v>351</v>
      </c>
      <c r="AE200" s="74">
        <f t="shared" si="74"/>
        <v>94</v>
      </c>
      <c r="AF200" s="74">
        <f t="shared" si="75"/>
        <v>13</v>
      </c>
      <c r="AG200" s="74">
        <f t="shared" si="76"/>
        <v>13</v>
      </c>
      <c r="AH200" s="74">
        <f t="shared" si="77"/>
        <v>63</v>
      </c>
      <c r="AI200" s="74">
        <f t="shared" si="78"/>
        <v>38</v>
      </c>
      <c r="AJ200" s="74">
        <f t="shared" si="79"/>
        <v>1</v>
      </c>
      <c r="AK200" s="74">
        <f t="shared" si="80"/>
        <v>0</v>
      </c>
      <c r="AL200" s="4">
        <f t="shared" si="81"/>
        <v>1806</v>
      </c>
    </row>
    <row r="201" spans="17:38">
      <c r="Q201" s="75">
        <v>39</v>
      </c>
      <c r="R201" s="75" t="s">
        <v>95</v>
      </c>
      <c r="S201" s="56">
        <f t="shared" si="65"/>
        <v>361.5</v>
      </c>
      <c r="T201" s="56">
        <f t="shared" si="66"/>
        <v>97.6050000000001</v>
      </c>
      <c r="U201" s="56">
        <f t="shared" si="67"/>
        <v>14.3154</v>
      </c>
      <c r="V201" s="56">
        <f t="shared" si="68"/>
        <v>14.3154</v>
      </c>
      <c r="W201" s="56">
        <f t="shared" si="69"/>
        <v>65.07</v>
      </c>
      <c r="X201" s="56">
        <f t="shared" si="70"/>
        <v>39.765</v>
      </c>
      <c r="Y201" s="4">
        <v>1</v>
      </c>
      <c r="Z201" s="4">
        <v>0</v>
      </c>
      <c r="AB201" s="74">
        <f t="shared" si="71"/>
        <v>39</v>
      </c>
      <c r="AC201" s="74">
        <f t="shared" si="72"/>
        <v>3</v>
      </c>
      <c r="AD201" s="74">
        <f t="shared" si="73"/>
        <v>361</v>
      </c>
      <c r="AE201" s="74">
        <f t="shared" si="74"/>
        <v>97</v>
      </c>
      <c r="AF201" s="74">
        <f t="shared" si="75"/>
        <v>14</v>
      </c>
      <c r="AG201" s="74">
        <f t="shared" si="76"/>
        <v>14</v>
      </c>
      <c r="AH201" s="74">
        <f t="shared" si="77"/>
        <v>65</v>
      </c>
      <c r="AI201" s="74">
        <f t="shared" si="78"/>
        <v>39</v>
      </c>
      <c r="AJ201" s="74">
        <f t="shared" si="79"/>
        <v>1</v>
      </c>
      <c r="AK201" s="74">
        <f t="shared" si="80"/>
        <v>0</v>
      </c>
      <c r="AL201" s="4">
        <f t="shared" si="81"/>
        <v>1859</v>
      </c>
    </row>
    <row r="202" spans="17:38">
      <c r="Q202" s="75">
        <v>40</v>
      </c>
      <c r="R202" s="75" t="s">
        <v>95</v>
      </c>
      <c r="S202" s="56">
        <f t="shared" si="65"/>
        <v>371.5</v>
      </c>
      <c r="T202" s="56">
        <f t="shared" si="66"/>
        <v>100.305</v>
      </c>
      <c r="U202" s="56">
        <f t="shared" si="67"/>
        <v>14.7114</v>
      </c>
      <c r="V202" s="56">
        <f t="shared" si="68"/>
        <v>14.7114</v>
      </c>
      <c r="W202" s="56">
        <f t="shared" si="69"/>
        <v>66.8699999999999</v>
      </c>
      <c r="X202" s="56">
        <f t="shared" si="70"/>
        <v>40.865</v>
      </c>
      <c r="Y202" s="4">
        <v>1</v>
      </c>
      <c r="Z202" s="4">
        <v>0</v>
      </c>
      <c r="AB202" s="74">
        <f t="shared" si="71"/>
        <v>40</v>
      </c>
      <c r="AC202" s="74">
        <f t="shared" si="72"/>
        <v>3</v>
      </c>
      <c r="AD202" s="74">
        <f t="shared" si="73"/>
        <v>371</v>
      </c>
      <c r="AE202" s="74">
        <f t="shared" si="74"/>
        <v>100</v>
      </c>
      <c r="AF202" s="74">
        <f t="shared" si="75"/>
        <v>14</v>
      </c>
      <c r="AG202" s="74">
        <f t="shared" si="76"/>
        <v>14</v>
      </c>
      <c r="AH202" s="74">
        <f t="shared" si="77"/>
        <v>66</v>
      </c>
      <c r="AI202" s="74">
        <f t="shared" si="78"/>
        <v>40</v>
      </c>
      <c r="AJ202" s="74">
        <f t="shared" si="79"/>
        <v>1</v>
      </c>
      <c r="AK202" s="74">
        <f t="shared" si="80"/>
        <v>0</v>
      </c>
      <c r="AL202" s="4">
        <f t="shared" si="81"/>
        <v>1902</v>
      </c>
    </row>
    <row r="203" spans="17:38">
      <c r="Q203" s="75">
        <v>41</v>
      </c>
      <c r="R203" s="75" t="s">
        <v>95</v>
      </c>
      <c r="S203" s="56">
        <f t="shared" si="65"/>
        <v>383.5</v>
      </c>
      <c r="T203" s="56">
        <f t="shared" si="66"/>
        <v>103.545</v>
      </c>
      <c r="U203" s="56">
        <f t="shared" si="67"/>
        <v>15.1866</v>
      </c>
      <c r="V203" s="56">
        <f t="shared" si="68"/>
        <v>15.1866</v>
      </c>
      <c r="W203" s="56">
        <f t="shared" si="69"/>
        <v>69.0299999999999</v>
      </c>
      <c r="X203" s="56">
        <f t="shared" si="70"/>
        <v>42.185</v>
      </c>
      <c r="Y203" s="4">
        <v>1</v>
      </c>
      <c r="Z203" s="4">
        <v>0</v>
      </c>
      <c r="AB203" s="74">
        <f t="shared" si="71"/>
        <v>41</v>
      </c>
      <c r="AC203" s="74">
        <f t="shared" si="72"/>
        <v>3</v>
      </c>
      <c r="AD203" s="74">
        <f t="shared" si="73"/>
        <v>383</v>
      </c>
      <c r="AE203" s="74">
        <f t="shared" si="74"/>
        <v>103</v>
      </c>
      <c r="AF203" s="74">
        <f t="shared" si="75"/>
        <v>15</v>
      </c>
      <c r="AG203" s="74">
        <f t="shared" si="76"/>
        <v>15</v>
      </c>
      <c r="AH203" s="74">
        <f t="shared" si="77"/>
        <v>69</v>
      </c>
      <c r="AI203" s="74">
        <f t="shared" si="78"/>
        <v>42</v>
      </c>
      <c r="AJ203" s="74">
        <f t="shared" si="79"/>
        <v>1</v>
      </c>
      <c r="AK203" s="74">
        <f t="shared" si="80"/>
        <v>0</v>
      </c>
      <c r="AL203" s="4">
        <f t="shared" si="81"/>
        <v>1979</v>
      </c>
    </row>
    <row r="204" spans="17:38">
      <c r="Q204" s="75">
        <v>42</v>
      </c>
      <c r="R204" s="75" t="s">
        <v>95</v>
      </c>
      <c r="S204" s="56">
        <f t="shared" si="65"/>
        <v>395.5</v>
      </c>
      <c r="T204" s="56">
        <f t="shared" si="66"/>
        <v>106.785</v>
      </c>
      <c r="U204" s="56">
        <f t="shared" si="67"/>
        <v>15.6618</v>
      </c>
      <c r="V204" s="56">
        <f t="shared" si="68"/>
        <v>15.6618</v>
      </c>
      <c r="W204" s="56">
        <f t="shared" si="69"/>
        <v>71.1899999999999</v>
      </c>
      <c r="X204" s="56">
        <f t="shared" si="70"/>
        <v>43.505</v>
      </c>
      <c r="Y204" s="4">
        <v>1</v>
      </c>
      <c r="Z204" s="4">
        <v>0</v>
      </c>
      <c r="AB204" s="74">
        <f t="shared" si="71"/>
        <v>42</v>
      </c>
      <c r="AC204" s="74">
        <f t="shared" si="72"/>
        <v>3</v>
      </c>
      <c r="AD204" s="74">
        <f t="shared" si="73"/>
        <v>395</v>
      </c>
      <c r="AE204" s="74">
        <f t="shared" si="74"/>
        <v>106</v>
      </c>
      <c r="AF204" s="74">
        <f t="shared" si="75"/>
        <v>15</v>
      </c>
      <c r="AG204" s="74">
        <f t="shared" si="76"/>
        <v>15</v>
      </c>
      <c r="AH204" s="74">
        <f t="shared" si="77"/>
        <v>71</v>
      </c>
      <c r="AI204" s="74">
        <f t="shared" si="78"/>
        <v>43</v>
      </c>
      <c r="AJ204" s="74">
        <f t="shared" si="79"/>
        <v>1</v>
      </c>
      <c r="AK204" s="74">
        <f t="shared" si="80"/>
        <v>0</v>
      </c>
      <c r="AL204" s="4">
        <f t="shared" si="81"/>
        <v>2036</v>
      </c>
    </row>
    <row r="205" spans="17:38">
      <c r="Q205" s="75">
        <v>43</v>
      </c>
      <c r="R205" s="75" t="s">
        <v>95</v>
      </c>
      <c r="S205" s="56">
        <f t="shared" si="65"/>
        <v>407.5</v>
      </c>
      <c r="T205" s="56">
        <f t="shared" si="66"/>
        <v>110.025</v>
      </c>
      <c r="U205" s="56">
        <f t="shared" si="67"/>
        <v>16.137</v>
      </c>
      <c r="V205" s="56">
        <f t="shared" si="68"/>
        <v>16.137</v>
      </c>
      <c r="W205" s="56">
        <f t="shared" si="69"/>
        <v>73.3499999999999</v>
      </c>
      <c r="X205" s="56">
        <f t="shared" si="70"/>
        <v>44.825</v>
      </c>
      <c r="Y205" s="4">
        <v>1</v>
      </c>
      <c r="Z205" s="4">
        <v>0</v>
      </c>
      <c r="AB205" s="74">
        <f t="shared" si="71"/>
        <v>43</v>
      </c>
      <c r="AC205" s="74">
        <f t="shared" si="72"/>
        <v>3</v>
      </c>
      <c r="AD205" s="74">
        <f t="shared" si="73"/>
        <v>407</v>
      </c>
      <c r="AE205" s="74">
        <f t="shared" si="74"/>
        <v>110</v>
      </c>
      <c r="AF205" s="74">
        <f t="shared" si="75"/>
        <v>16</v>
      </c>
      <c r="AG205" s="74">
        <f t="shared" si="76"/>
        <v>16</v>
      </c>
      <c r="AH205" s="74">
        <f t="shared" si="77"/>
        <v>73</v>
      </c>
      <c r="AI205" s="74">
        <f t="shared" si="78"/>
        <v>44</v>
      </c>
      <c r="AJ205" s="74">
        <f t="shared" si="79"/>
        <v>1</v>
      </c>
      <c r="AK205" s="74">
        <f t="shared" si="80"/>
        <v>0</v>
      </c>
      <c r="AL205" s="4">
        <f t="shared" si="81"/>
        <v>2094</v>
      </c>
    </row>
    <row r="206" spans="17:38">
      <c r="Q206" s="75">
        <v>44</v>
      </c>
      <c r="R206" s="75" t="s">
        <v>95</v>
      </c>
      <c r="S206" s="56">
        <f t="shared" si="65"/>
        <v>419.5</v>
      </c>
      <c r="T206" s="56">
        <f t="shared" si="66"/>
        <v>113.265</v>
      </c>
      <c r="U206" s="56">
        <f t="shared" si="67"/>
        <v>16.6122</v>
      </c>
      <c r="V206" s="56">
        <f t="shared" si="68"/>
        <v>16.6122</v>
      </c>
      <c r="W206" s="56">
        <f t="shared" si="69"/>
        <v>75.5099999999999</v>
      </c>
      <c r="X206" s="56">
        <f t="shared" si="70"/>
        <v>46.145</v>
      </c>
      <c r="Y206" s="4">
        <v>1</v>
      </c>
      <c r="Z206" s="4">
        <v>0</v>
      </c>
      <c r="AB206" s="74">
        <f t="shared" si="71"/>
        <v>44</v>
      </c>
      <c r="AC206" s="74">
        <f t="shared" si="72"/>
        <v>3</v>
      </c>
      <c r="AD206" s="74">
        <f t="shared" si="73"/>
        <v>419</v>
      </c>
      <c r="AE206" s="74">
        <f t="shared" si="74"/>
        <v>113</v>
      </c>
      <c r="AF206" s="74">
        <f t="shared" si="75"/>
        <v>16</v>
      </c>
      <c r="AG206" s="74">
        <f t="shared" si="76"/>
        <v>16</v>
      </c>
      <c r="AH206" s="74">
        <f t="shared" si="77"/>
        <v>75</v>
      </c>
      <c r="AI206" s="74">
        <f t="shared" si="78"/>
        <v>46</v>
      </c>
      <c r="AJ206" s="74">
        <f t="shared" si="79"/>
        <v>1</v>
      </c>
      <c r="AK206" s="74">
        <f t="shared" si="80"/>
        <v>0</v>
      </c>
      <c r="AL206" s="4">
        <f t="shared" si="81"/>
        <v>2161</v>
      </c>
    </row>
    <row r="207" spans="17:38">
      <c r="Q207" s="75">
        <v>45</v>
      </c>
      <c r="R207" s="75" t="s">
        <v>95</v>
      </c>
      <c r="S207" s="56">
        <f t="shared" si="65"/>
        <v>431.5</v>
      </c>
      <c r="T207" s="56">
        <f t="shared" si="66"/>
        <v>116.505</v>
      </c>
      <c r="U207" s="56">
        <f t="shared" si="67"/>
        <v>17.0874</v>
      </c>
      <c r="V207" s="56">
        <f t="shared" si="68"/>
        <v>17.0874</v>
      </c>
      <c r="W207" s="56">
        <f t="shared" si="69"/>
        <v>77.6699999999999</v>
      </c>
      <c r="X207" s="56">
        <f t="shared" si="70"/>
        <v>47.465</v>
      </c>
      <c r="Y207" s="4">
        <v>1</v>
      </c>
      <c r="Z207" s="4">
        <v>0</v>
      </c>
      <c r="AB207" s="74">
        <f t="shared" si="71"/>
        <v>45</v>
      </c>
      <c r="AC207" s="74">
        <f t="shared" si="72"/>
        <v>3</v>
      </c>
      <c r="AD207" s="74">
        <f t="shared" si="73"/>
        <v>431</v>
      </c>
      <c r="AE207" s="74">
        <f t="shared" si="74"/>
        <v>116</v>
      </c>
      <c r="AF207" s="74">
        <f t="shared" si="75"/>
        <v>17</v>
      </c>
      <c r="AG207" s="74">
        <f t="shared" si="76"/>
        <v>17</v>
      </c>
      <c r="AH207" s="74">
        <f t="shared" si="77"/>
        <v>77</v>
      </c>
      <c r="AI207" s="74">
        <f t="shared" si="78"/>
        <v>47</v>
      </c>
      <c r="AJ207" s="74">
        <f t="shared" si="79"/>
        <v>1</v>
      </c>
      <c r="AK207" s="74">
        <f t="shared" si="80"/>
        <v>0</v>
      </c>
      <c r="AL207" s="4">
        <f t="shared" si="81"/>
        <v>2218</v>
      </c>
    </row>
    <row r="208" spans="17:38">
      <c r="Q208" s="75">
        <v>46</v>
      </c>
      <c r="R208" s="75" t="s">
        <v>95</v>
      </c>
      <c r="S208" s="56">
        <f t="shared" si="65"/>
        <v>443.5</v>
      </c>
      <c r="T208" s="56">
        <f t="shared" si="66"/>
        <v>119.745</v>
      </c>
      <c r="U208" s="56">
        <f t="shared" si="67"/>
        <v>17.5626</v>
      </c>
      <c r="V208" s="56">
        <f t="shared" si="68"/>
        <v>17.5626</v>
      </c>
      <c r="W208" s="56">
        <f t="shared" si="69"/>
        <v>79.8299999999999</v>
      </c>
      <c r="X208" s="56">
        <f t="shared" si="70"/>
        <v>48.785</v>
      </c>
      <c r="Y208" s="4">
        <v>1</v>
      </c>
      <c r="Z208" s="4">
        <v>0</v>
      </c>
      <c r="AB208" s="74">
        <f t="shared" si="71"/>
        <v>46</v>
      </c>
      <c r="AC208" s="74">
        <f t="shared" si="72"/>
        <v>3</v>
      </c>
      <c r="AD208" s="74">
        <f t="shared" si="73"/>
        <v>443</v>
      </c>
      <c r="AE208" s="74">
        <f t="shared" si="74"/>
        <v>119</v>
      </c>
      <c r="AF208" s="74">
        <f t="shared" si="75"/>
        <v>17</v>
      </c>
      <c r="AG208" s="74">
        <f t="shared" si="76"/>
        <v>17</v>
      </c>
      <c r="AH208" s="74">
        <f t="shared" si="77"/>
        <v>79</v>
      </c>
      <c r="AI208" s="74">
        <f t="shared" si="78"/>
        <v>48</v>
      </c>
      <c r="AJ208" s="74">
        <f t="shared" si="79"/>
        <v>1</v>
      </c>
      <c r="AK208" s="74">
        <f t="shared" si="80"/>
        <v>0</v>
      </c>
      <c r="AL208" s="4">
        <f t="shared" si="81"/>
        <v>2275</v>
      </c>
    </row>
    <row r="209" spans="17:38">
      <c r="Q209" s="75">
        <v>47</v>
      </c>
      <c r="R209" s="75" t="s">
        <v>95</v>
      </c>
      <c r="S209" s="56">
        <f t="shared" si="65"/>
        <v>455.5</v>
      </c>
      <c r="T209" s="56">
        <f t="shared" si="66"/>
        <v>122.985</v>
      </c>
      <c r="U209" s="56">
        <f t="shared" si="67"/>
        <v>18.0378</v>
      </c>
      <c r="V209" s="56">
        <f t="shared" si="68"/>
        <v>18.0378</v>
      </c>
      <c r="W209" s="56">
        <f t="shared" si="69"/>
        <v>81.9899999999999</v>
      </c>
      <c r="X209" s="56">
        <f t="shared" si="70"/>
        <v>50.105</v>
      </c>
      <c r="Y209" s="4">
        <v>1</v>
      </c>
      <c r="Z209" s="4">
        <v>0</v>
      </c>
      <c r="AB209" s="74">
        <f t="shared" si="71"/>
        <v>47</v>
      </c>
      <c r="AC209" s="74">
        <f t="shared" si="72"/>
        <v>3</v>
      </c>
      <c r="AD209" s="74">
        <f t="shared" si="73"/>
        <v>455</v>
      </c>
      <c r="AE209" s="74">
        <f t="shared" si="74"/>
        <v>122</v>
      </c>
      <c r="AF209" s="74">
        <f t="shared" si="75"/>
        <v>18</v>
      </c>
      <c r="AG209" s="74">
        <f t="shared" si="76"/>
        <v>18</v>
      </c>
      <c r="AH209" s="74">
        <f t="shared" si="77"/>
        <v>81</v>
      </c>
      <c r="AI209" s="74">
        <f t="shared" si="78"/>
        <v>50</v>
      </c>
      <c r="AJ209" s="74">
        <f t="shared" si="79"/>
        <v>1</v>
      </c>
      <c r="AK209" s="74">
        <f t="shared" si="80"/>
        <v>0</v>
      </c>
      <c r="AL209" s="4">
        <f t="shared" si="81"/>
        <v>2342</v>
      </c>
    </row>
    <row r="210" spans="17:38">
      <c r="Q210" s="75">
        <v>48</v>
      </c>
      <c r="R210" s="75" t="s">
        <v>95</v>
      </c>
      <c r="S210" s="56">
        <f t="shared" si="65"/>
        <v>467.5</v>
      </c>
      <c r="T210" s="56">
        <f t="shared" si="66"/>
        <v>126.225</v>
      </c>
      <c r="U210" s="56">
        <f t="shared" si="67"/>
        <v>18.513</v>
      </c>
      <c r="V210" s="56">
        <f t="shared" si="68"/>
        <v>18.513</v>
      </c>
      <c r="W210" s="56">
        <f t="shared" si="69"/>
        <v>84.1499999999999</v>
      </c>
      <c r="X210" s="56">
        <f t="shared" si="70"/>
        <v>51.425</v>
      </c>
      <c r="Y210" s="4">
        <v>1</v>
      </c>
      <c r="Z210" s="4">
        <v>0</v>
      </c>
      <c r="AB210" s="74">
        <f t="shared" si="71"/>
        <v>48</v>
      </c>
      <c r="AC210" s="74">
        <f t="shared" si="72"/>
        <v>3</v>
      </c>
      <c r="AD210" s="74">
        <f t="shared" si="73"/>
        <v>467</v>
      </c>
      <c r="AE210" s="74">
        <f t="shared" si="74"/>
        <v>126</v>
      </c>
      <c r="AF210" s="74">
        <f t="shared" si="75"/>
        <v>18</v>
      </c>
      <c r="AG210" s="74">
        <f t="shared" si="76"/>
        <v>18</v>
      </c>
      <c r="AH210" s="74">
        <f t="shared" si="77"/>
        <v>84</v>
      </c>
      <c r="AI210" s="74">
        <f t="shared" si="78"/>
        <v>51</v>
      </c>
      <c r="AJ210" s="74">
        <f t="shared" si="79"/>
        <v>1</v>
      </c>
      <c r="AK210" s="74">
        <f t="shared" si="80"/>
        <v>0</v>
      </c>
      <c r="AL210" s="4">
        <f t="shared" si="81"/>
        <v>2410</v>
      </c>
    </row>
    <row r="211" spans="17:38">
      <c r="Q211" s="75">
        <v>49</v>
      </c>
      <c r="R211" s="75" t="s">
        <v>95</v>
      </c>
      <c r="S211" s="56">
        <f t="shared" si="65"/>
        <v>479.5</v>
      </c>
      <c r="T211" s="56">
        <f t="shared" si="66"/>
        <v>129.465</v>
      </c>
      <c r="U211" s="56">
        <f t="shared" si="67"/>
        <v>18.9882</v>
      </c>
      <c r="V211" s="56">
        <f t="shared" si="68"/>
        <v>18.9882</v>
      </c>
      <c r="W211" s="56">
        <f t="shared" si="69"/>
        <v>86.3099999999999</v>
      </c>
      <c r="X211" s="56">
        <f t="shared" si="70"/>
        <v>52.745</v>
      </c>
      <c r="Y211" s="4">
        <v>1</v>
      </c>
      <c r="Z211" s="4">
        <v>0</v>
      </c>
      <c r="AB211" s="74">
        <f t="shared" si="71"/>
        <v>49</v>
      </c>
      <c r="AC211" s="74">
        <f t="shared" si="72"/>
        <v>3</v>
      </c>
      <c r="AD211" s="74">
        <f t="shared" si="73"/>
        <v>479</v>
      </c>
      <c r="AE211" s="74">
        <f t="shared" si="74"/>
        <v>129</v>
      </c>
      <c r="AF211" s="74">
        <f t="shared" si="75"/>
        <v>18</v>
      </c>
      <c r="AG211" s="74">
        <f t="shared" si="76"/>
        <v>18</v>
      </c>
      <c r="AH211" s="74">
        <f t="shared" si="77"/>
        <v>86</v>
      </c>
      <c r="AI211" s="74">
        <f t="shared" si="78"/>
        <v>52</v>
      </c>
      <c r="AJ211" s="74">
        <f t="shared" si="79"/>
        <v>1</v>
      </c>
      <c r="AK211" s="74">
        <f t="shared" si="80"/>
        <v>0</v>
      </c>
      <c r="AL211" s="4">
        <f t="shared" si="81"/>
        <v>2467</v>
      </c>
    </row>
    <row r="212" spans="17:38">
      <c r="Q212" s="75">
        <v>50</v>
      </c>
      <c r="R212" s="75" t="s">
        <v>95</v>
      </c>
      <c r="S212" s="56">
        <f t="shared" si="65"/>
        <v>491.5</v>
      </c>
      <c r="T212" s="56">
        <f t="shared" si="66"/>
        <v>132.705</v>
      </c>
      <c r="U212" s="56">
        <f t="shared" si="67"/>
        <v>19.4634</v>
      </c>
      <c r="V212" s="56">
        <f t="shared" si="68"/>
        <v>19.4634</v>
      </c>
      <c r="W212" s="56">
        <f t="shared" si="69"/>
        <v>88.4699999999999</v>
      </c>
      <c r="X212" s="56">
        <f t="shared" si="70"/>
        <v>54.065</v>
      </c>
      <c r="Y212" s="4">
        <v>1</v>
      </c>
      <c r="Z212" s="4">
        <v>0</v>
      </c>
      <c r="AB212" s="74">
        <f t="shared" si="71"/>
        <v>50</v>
      </c>
      <c r="AC212" s="74">
        <f t="shared" si="72"/>
        <v>3</v>
      </c>
      <c r="AD212" s="74">
        <f t="shared" si="73"/>
        <v>491</v>
      </c>
      <c r="AE212" s="74">
        <f t="shared" si="74"/>
        <v>132</v>
      </c>
      <c r="AF212" s="74">
        <f t="shared" si="75"/>
        <v>19</v>
      </c>
      <c r="AG212" s="74">
        <f t="shared" si="76"/>
        <v>19</v>
      </c>
      <c r="AH212" s="74">
        <f t="shared" si="77"/>
        <v>88</v>
      </c>
      <c r="AI212" s="74">
        <f t="shared" si="78"/>
        <v>54</v>
      </c>
      <c r="AJ212" s="74">
        <f t="shared" si="79"/>
        <v>1</v>
      </c>
      <c r="AK212" s="74">
        <f t="shared" si="80"/>
        <v>0</v>
      </c>
      <c r="AL212" s="4">
        <f t="shared" si="81"/>
        <v>2534</v>
      </c>
    </row>
    <row r="213" spans="17:38">
      <c r="Q213" s="75">
        <v>51</v>
      </c>
      <c r="R213" s="75" t="s">
        <v>95</v>
      </c>
      <c r="S213" s="56">
        <f t="shared" si="65"/>
        <v>506.5</v>
      </c>
      <c r="T213" s="56">
        <f t="shared" si="66"/>
        <v>136.755</v>
      </c>
      <c r="U213" s="56">
        <f t="shared" si="67"/>
        <v>20.0574</v>
      </c>
      <c r="V213" s="56">
        <f t="shared" si="68"/>
        <v>20.0574</v>
      </c>
      <c r="W213" s="56">
        <f t="shared" si="69"/>
        <v>91.1699999999999</v>
      </c>
      <c r="X213" s="56">
        <f t="shared" si="70"/>
        <v>55.715</v>
      </c>
      <c r="Y213" s="4">
        <v>1</v>
      </c>
      <c r="Z213" s="4">
        <v>0</v>
      </c>
      <c r="AB213" s="74">
        <f t="shared" si="71"/>
        <v>51</v>
      </c>
      <c r="AC213" s="74">
        <f t="shared" si="72"/>
        <v>3</v>
      </c>
      <c r="AD213" s="74">
        <f t="shared" si="73"/>
        <v>506</v>
      </c>
      <c r="AE213" s="74">
        <f t="shared" si="74"/>
        <v>136</v>
      </c>
      <c r="AF213" s="74">
        <f t="shared" si="75"/>
        <v>20</v>
      </c>
      <c r="AG213" s="74">
        <f t="shared" si="76"/>
        <v>20</v>
      </c>
      <c r="AH213" s="74">
        <f t="shared" si="77"/>
        <v>91</v>
      </c>
      <c r="AI213" s="74">
        <f t="shared" si="78"/>
        <v>55</v>
      </c>
      <c r="AJ213" s="74">
        <f t="shared" si="79"/>
        <v>1</v>
      </c>
      <c r="AK213" s="74">
        <f t="shared" si="80"/>
        <v>0</v>
      </c>
      <c r="AL213" s="4">
        <f t="shared" si="81"/>
        <v>2608</v>
      </c>
    </row>
    <row r="214" spans="17:38">
      <c r="Q214" s="75">
        <v>52</v>
      </c>
      <c r="R214" s="75" t="s">
        <v>95</v>
      </c>
      <c r="S214" s="56">
        <f t="shared" si="65"/>
        <v>521.5</v>
      </c>
      <c r="T214" s="56">
        <f t="shared" si="66"/>
        <v>140.805</v>
      </c>
      <c r="U214" s="56">
        <f t="shared" si="67"/>
        <v>20.6514</v>
      </c>
      <c r="V214" s="56">
        <f t="shared" si="68"/>
        <v>20.6514</v>
      </c>
      <c r="W214" s="56">
        <f t="shared" si="69"/>
        <v>93.8699999999999</v>
      </c>
      <c r="X214" s="56">
        <f t="shared" si="70"/>
        <v>57.365</v>
      </c>
      <c r="Y214" s="4">
        <v>1</v>
      </c>
      <c r="Z214" s="4">
        <v>0</v>
      </c>
      <c r="AB214" s="74">
        <f t="shared" si="71"/>
        <v>52</v>
      </c>
      <c r="AC214" s="74">
        <f t="shared" si="72"/>
        <v>3</v>
      </c>
      <c r="AD214" s="74">
        <f t="shared" si="73"/>
        <v>521</v>
      </c>
      <c r="AE214" s="74">
        <f t="shared" si="74"/>
        <v>140</v>
      </c>
      <c r="AF214" s="74">
        <f t="shared" si="75"/>
        <v>20</v>
      </c>
      <c r="AG214" s="74">
        <f t="shared" si="76"/>
        <v>20</v>
      </c>
      <c r="AH214" s="74">
        <f t="shared" si="77"/>
        <v>93</v>
      </c>
      <c r="AI214" s="74">
        <f t="shared" si="78"/>
        <v>57</v>
      </c>
      <c r="AJ214" s="74">
        <f t="shared" si="79"/>
        <v>1</v>
      </c>
      <c r="AK214" s="74">
        <f t="shared" si="80"/>
        <v>0</v>
      </c>
      <c r="AL214" s="4">
        <f t="shared" si="81"/>
        <v>2682</v>
      </c>
    </row>
    <row r="215" spans="17:38">
      <c r="Q215" s="75">
        <v>53</v>
      </c>
      <c r="R215" s="75" t="s">
        <v>95</v>
      </c>
      <c r="S215" s="56">
        <f t="shared" si="65"/>
        <v>536.5</v>
      </c>
      <c r="T215" s="56">
        <f t="shared" si="66"/>
        <v>144.855</v>
      </c>
      <c r="U215" s="56">
        <f t="shared" si="67"/>
        <v>21.2454</v>
      </c>
      <c r="V215" s="56">
        <f t="shared" si="68"/>
        <v>21.2454</v>
      </c>
      <c r="W215" s="56">
        <f t="shared" si="69"/>
        <v>96.5699999999999</v>
      </c>
      <c r="X215" s="56">
        <f t="shared" si="70"/>
        <v>59.015</v>
      </c>
      <c r="Y215" s="4">
        <v>1</v>
      </c>
      <c r="Z215" s="4">
        <v>0</v>
      </c>
      <c r="AB215" s="74">
        <f t="shared" si="71"/>
        <v>53</v>
      </c>
      <c r="AC215" s="74">
        <f t="shared" si="72"/>
        <v>3</v>
      </c>
      <c r="AD215" s="74">
        <f t="shared" si="73"/>
        <v>536</v>
      </c>
      <c r="AE215" s="74">
        <f t="shared" si="74"/>
        <v>144</v>
      </c>
      <c r="AF215" s="74">
        <f t="shared" si="75"/>
        <v>21</v>
      </c>
      <c r="AG215" s="74">
        <f t="shared" si="76"/>
        <v>21</v>
      </c>
      <c r="AH215" s="74">
        <f t="shared" si="77"/>
        <v>96</v>
      </c>
      <c r="AI215" s="74">
        <f t="shared" si="78"/>
        <v>59</v>
      </c>
      <c r="AJ215" s="74">
        <f t="shared" si="79"/>
        <v>1</v>
      </c>
      <c r="AK215" s="74">
        <f t="shared" si="80"/>
        <v>0</v>
      </c>
      <c r="AL215" s="4">
        <f t="shared" si="81"/>
        <v>2766</v>
      </c>
    </row>
    <row r="216" spans="17:38">
      <c r="Q216" s="75">
        <v>54</v>
      </c>
      <c r="R216" s="75" t="s">
        <v>95</v>
      </c>
      <c r="S216" s="56">
        <f t="shared" si="65"/>
        <v>551.5</v>
      </c>
      <c r="T216" s="56">
        <f t="shared" si="66"/>
        <v>148.905</v>
      </c>
      <c r="U216" s="56">
        <f t="shared" si="67"/>
        <v>21.8394</v>
      </c>
      <c r="V216" s="56">
        <f t="shared" si="68"/>
        <v>21.8394</v>
      </c>
      <c r="W216" s="56">
        <f t="shared" si="69"/>
        <v>99.2699999999999</v>
      </c>
      <c r="X216" s="56">
        <f t="shared" si="70"/>
        <v>60.665</v>
      </c>
      <c r="Y216" s="4">
        <v>1</v>
      </c>
      <c r="Z216" s="4">
        <v>0</v>
      </c>
      <c r="AB216" s="74">
        <f t="shared" si="71"/>
        <v>54</v>
      </c>
      <c r="AC216" s="74">
        <f t="shared" si="72"/>
        <v>3</v>
      </c>
      <c r="AD216" s="74">
        <f t="shared" si="73"/>
        <v>551</v>
      </c>
      <c r="AE216" s="74">
        <f t="shared" si="74"/>
        <v>148</v>
      </c>
      <c r="AF216" s="74">
        <f t="shared" si="75"/>
        <v>21</v>
      </c>
      <c r="AG216" s="74">
        <f t="shared" si="76"/>
        <v>21</v>
      </c>
      <c r="AH216" s="74">
        <f t="shared" si="77"/>
        <v>99</v>
      </c>
      <c r="AI216" s="74">
        <f t="shared" si="78"/>
        <v>60</v>
      </c>
      <c r="AJ216" s="74">
        <f t="shared" si="79"/>
        <v>1</v>
      </c>
      <c r="AK216" s="74">
        <f t="shared" si="80"/>
        <v>0</v>
      </c>
      <c r="AL216" s="4">
        <f t="shared" si="81"/>
        <v>2840</v>
      </c>
    </row>
    <row r="217" spans="17:38">
      <c r="Q217" s="75">
        <v>55</v>
      </c>
      <c r="R217" s="75" t="s">
        <v>95</v>
      </c>
      <c r="S217" s="56">
        <f t="shared" si="65"/>
        <v>566.5</v>
      </c>
      <c r="T217" s="56">
        <f t="shared" si="66"/>
        <v>152.955</v>
      </c>
      <c r="U217" s="56">
        <f t="shared" si="67"/>
        <v>22.4334</v>
      </c>
      <c r="V217" s="56">
        <f t="shared" si="68"/>
        <v>22.4334</v>
      </c>
      <c r="W217" s="56">
        <f t="shared" si="69"/>
        <v>101.97</v>
      </c>
      <c r="X217" s="56">
        <f t="shared" si="70"/>
        <v>62.315</v>
      </c>
      <c r="Y217" s="4">
        <v>1</v>
      </c>
      <c r="Z217" s="4">
        <v>0</v>
      </c>
      <c r="AB217" s="74">
        <f t="shared" si="71"/>
        <v>55</v>
      </c>
      <c r="AC217" s="74">
        <f t="shared" si="72"/>
        <v>3</v>
      </c>
      <c r="AD217" s="74">
        <f t="shared" si="73"/>
        <v>566</v>
      </c>
      <c r="AE217" s="74">
        <f t="shared" si="74"/>
        <v>152</v>
      </c>
      <c r="AF217" s="74">
        <f t="shared" si="75"/>
        <v>22</v>
      </c>
      <c r="AG217" s="74">
        <f t="shared" si="76"/>
        <v>22</v>
      </c>
      <c r="AH217" s="74">
        <f t="shared" si="77"/>
        <v>101</v>
      </c>
      <c r="AI217" s="74">
        <f t="shared" si="78"/>
        <v>62</v>
      </c>
      <c r="AJ217" s="74">
        <f t="shared" si="79"/>
        <v>1</v>
      </c>
      <c r="AK217" s="74">
        <f t="shared" si="80"/>
        <v>0</v>
      </c>
      <c r="AL217" s="4">
        <f t="shared" si="81"/>
        <v>2914</v>
      </c>
    </row>
    <row r="218" spans="17:38">
      <c r="Q218" s="75">
        <v>56</v>
      </c>
      <c r="R218" s="75" t="s">
        <v>95</v>
      </c>
      <c r="S218" s="56">
        <f t="shared" si="65"/>
        <v>581.5</v>
      </c>
      <c r="T218" s="56">
        <f t="shared" si="66"/>
        <v>157.005</v>
      </c>
      <c r="U218" s="56">
        <f t="shared" si="67"/>
        <v>23.0274</v>
      </c>
      <c r="V218" s="56">
        <f t="shared" si="68"/>
        <v>23.0274</v>
      </c>
      <c r="W218" s="56">
        <f t="shared" si="69"/>
        <v>104.67</v>
      </c>
      <c r="X218" s="56">
        <f t="shared" si="70"/>
        <v>63.965</v>
      </c>
      <c r="Y218" s="4">
        <v>1</v>
      </c>
      <c r="Z218" s="4">
        <v>0</v>
      </c>
      <c r="AB218" s="74">
        <f t="shared" si="71"/>
        <v>56</v>
      </c>
      <c r="AC218" s="74">
        <f t="shared" si="72"/>
        <v>3</v>
      </c>
      <c r="AD218" s="74">
        <f t="shared" si="73"/>
        <v>581</v>
      </c>
      <c r="AE218" s="74">
        <f t="shared" si="74"/>
        <v>157</v>
      </c>
      <c r="AF218" s="74">
        <f t="shared" si="75"/>
        <v>23</v>
      </c>
      <c r="AG218" s="74">
        <f t="shared" si="76"/>
        <v>23</v>
      </c>
      <c r="AH218" s="74">
        <f t="shared" si="77"/>
        <v>104</v>
      </c>
      <c r="AI218" s="74">
        <f t="shared" si="78"/>
        <v>63</v>
      </c>
      <c r="AJ218" s="74">
        <f t="shared" si="79"/>
        <v>1</v>
      </c>
      <c r="AK218" s="74">
        <f t="shared" si="80"/>
        <v>0</v>
      </c>
      <c r="AL218" s="4">
        <f t="shared" si="81"/>
        <v>2989</v>
      </c>
    </row>
    <row r="219" spans="17:38">
      <c r="Q219" s="75">
        <v>57</v>
      </c>
      <c r="R219" s="75" t="s">
        <v>95</v>
      </c>
      <c r="S219" s="56">
        <f t="shared" si="65"/>
        <v>596.5</v>
      </c>
      <c r="T219" s="56">
        <f t="shared" si="66"/>
        <v>161.055</v>
      </c>
      <c r="U219" s="56">
        <f t="shared" si="67"/>
        <v>23.6214</v>
      </c>
      <c r="V219" s="56">
        <f t="shared" si="68"/>
        <v>23.6214</v>
      </c>
      <c r="W219" s="56">
        <f t="shared" si="69"/>
        <v>107.37</v>
      </c>
      <c r="X219" s="56">
        <f t="shared" si="70"/>
        <v>65.615</v>
      </c>
      <c r="Y219" s="4">
        <v>1</v>
      </c>
      <c r="Z219" s="4">
        <v>0</v>
      </c>
      <c r="AB219" s="74">
        <f t="shared" si="71"/>
        <v>57</v>
      </c>
      <c r="AC219" s="74">
        <f t="shared" si="72"/>
        <v>3</v>
      </c>
      <c r="AD219" s="74">
        <f t="shared" si="73"/>
        <v>596</v>
      </c>
      <c r="AE219" s="74">
        <f t="shared" si="74"/>
        <v>161</v>
      </c>
      <c r="AF219" s="74">
        <f t="shared" si="75"/>
        <v>23</v>
      </c>
      <c r="AG219" s="74">
        <f t="shared" si="76"/>
        <v>23</v>
      </c>
      <c r="AH219" s="74">
        <f t="shared" si="77"/>
        <v>107</v>
      </c>
      <c r="AI219" s="74">
        <f t="shared" si="78"/>
        <v>65</v>
      </c>
      <c r="AJ219" s="74">
        <f t="shared" si="79"/>
        <v>1</v>
      </c>
      <c r="AK219" s="74">
        <f t="shared" si="80"/>
        <v>0</v>
      </c>
      <c r="AL219" s="4">
        <f t="shared" si="81"/>
        <v>3073</v>
      </c>
    </row>
    <row r="220" spans="17:38">
      <c r="Q220" s="75">
        <v>58</v>
      </c>
      <c r="R220" s="75" t="s">
        <v>95</v>
      </c>
      <c r="S220" s="56">
        <f t="shared" si="65"/>
        <v>611.5</v>
      </c>
      <c r="T220" s="56">
        <f t="shared" si="66"/>
        <v>165.105</v>
      </c>
      <c r="U220" s="56">
        <f t="shared" si="67"/>
        <v>24.2154</v>
      </c>
      <c r="V220" s="56">
        <f t="shared" si="68"/>
        <v>24.2154</v>
      </c>
      <c r="W220" s="56">
        <f t="shared" si="69"/>
        <v>110.07</v>
      </c>
      <c r="X220" s="56">
        <f t="shared" si="70"/>
        <v>67.265</v>
      </c>
      <c r="Y220" s="4">
        <v>1</v>
      </c>
      <c r="Z220" s="4">
        <v>0</v>
      </c>
      <c r="AB220" s="74">
        <f t="shared" si="71"/>
        <v>58</v>
      </c>
      <c r="AC220" s="74">
        <f t="shared" si="72"/>
        <v>3</v>
      </c>
      <c r="AD220" s="74">
        <f t="shared" si="73"/>
        <v>611</v>
      </c>
      <c r="AE220" s="74">
        <f t="shared" si="74"/>
        <v>165</v>
      </c>
      <c r="AF220" s="74">
        <f t="shared" si="75"/>
        <v>24</v>
      </c>
      <c r="AG220" s="74">
        <f t="shared" si="76"/>
        <v>24</v>
      </c>
      <c r="AH220" s="74">
        <f t="shared" si="77"/>
        <v>110</v>
      </c>
      <c r="AI220" s="74">
        <f t="shared" si="78"/>
        <v>67</v>
      </c>
      <c r="AJ220" s="74">
        <f t="shared" si="79"/>
        <v>1</v>
      </c>
      <c r="AK220" s="74">
        <f t="shared" si="80"/>
        <v>0</v>
      </c>
      <c r="AL220" s="4">
        <f t="shared" si="81"/>
        <v>3157</v>
      </c>
    </row>
    <row r="221" spans="17:38">
      <c r="Q221" s="75">
        <v>59</v>
      </c>
      <c r="R221" s="75" t="s">
        <v>95</v>
      </c>
      <c r="S221" s="56">
        <f t="shared" si="65"/>
        <v>626.5</v>
      </c>
      <c r="T221" s="56">
        <f t="shared" si="66"/>
        <v>169.155</v>
      </c>
      <c r="U221" s="56">
        <f t="shared" si="67"/>
        <v>24.8094</v>
      </c>
      <c r="V221" s="56">
        <f t="shared" si="68"/>
        <v>24.8094</v>
      </c>
      <c r="W221" s="56">
        <f t="shared" si="69"/>
        <v>112.77</v>
      </c>
      <c r="X221" s="56">
        <f t="shared" si="70"/>
        <v>68.915</v>
      </c>
      <c r="Y221" s="4">
        <v>1</v>
      </c>
      <c r="Z221" s="4">
        <v>0</v>
      </c>
      <c r="AB221" s="74">
        <f t="shared" si="71"/>
        <v>59</v>
      </c>
      <c r="AC221" s="74">
        <f t="shared" si="72"/>
        <v>3</v>
      </c>
      <c r="AD221" s="74">
        <f t="shared" si="73"/>
        <v>626</v>
      </c>
      <c r="AE221" s="74">
        <f t="shared" si="74"/>
        <v>169</v>
      </c>
      <c r="AF221" s="74">
        <f t="shared" si="75"/>
        <v>24</v>
      </c>
      <c r="AG221" s="74">
        <f t="shared" si="76"/>
        <v>24</v>
      </c>
      <c r="AH221" s="74">
        <f t="shared" si="77"/>
        <v>112</v>
      </c>
      <c r="AI221" s="74">
        <f t="shared" si="78"/>
        <v>68</v>
      </c>
      <c r="AJ221" s="74">
        <f t="shared" si="79"/>
        <v>1</v>
      </c>
      <c r="AK221" s="74">
        <f t="shared" si="80"/>
        <v>0</v>
      </c>
      <c r="AL221" s="4">
        <f t="shared" si="81"/>
        <v>3221</v>
      </c>
    </row>
    <row r="222" spans="17:38">
      <c r="Q222" s="75">
        <v>60</v>
      </c>
      <c r="R222" s="75" t="s">
        <v>95</v>
      </c>
      <c r="S222" s="56">
        <f t="shared" si="65"/>
        <v>641.5</v>
      </c>
      <c r="T222" s="56">
        <f t="shared" si="66"/>
        <v>173.205</v>
      </c>
      <c r="U222" s="56">
        <f t="shared" si="67"/>
        <v>25.4034</v>
      </c>
      <c r="V222" s="56">
        <f t="shared" si="68"/>
        <v>25.4034</v>
      </c>
      <c r="W222" s="56">
        <f t="shared" si="69"/>
        <v>115.47</v>
      </c>
      <c r="X222" s="56">
        <f t="shared" si="70"/>
        <v>70.565</v>
      </c>
      <c r="Y222" s="4">
        <v>1</v>
      </c>
      <c r="Z222" s="4">
        <v>0</v>
      </c>
      <c r="AB222" s="74">
        <f t="shared" si="71"/>
        <v>60</v>
      </c>
      <c r="AC222" s="74">
        <f t="shared" si="72"/>
        <v>3</v>
      </c>
      <c r="AD222" s="74">
        <f t="shared" si="73"/>
        <v>641</v>
      </c>
      <c r="AE222" s="74">
        <f t="shared" si="74"/>
        <v>173</v>
      </c>
      <c r="AF222" s="74">
        <f t="shared" si="75"/>
        <v>25</v>
      </c>
      <c r="AG222" s="74">
        <f t="shared" si="76"/>
        <v>25</v>
      </c>
      <c r="AH222" s="74">
        <f t="shared" si="77"/>
        <v>115</v>
      </c>
      <c r="AI222" s="74">
        <f t="shared" si="78"/>
        <v>70</v>
      </c>
      <c r="AJ222" s="74">
        <f t="shared" si="79"/>
        <v>1</v>
      </c>
      <c r="AK222" s="74">
        <f t="shared" si="80"/>
        <v>0</v>
      </c>
      <c r="AL222" s="4">
        <f t="shared" si="81"/>
        <v>3305</v>
      </c>
    </row>
    <row r="223" spans="17:38">
      <c r="Q223" s="75">
        <v>61</v>
      </c>
      <c r="R223" s="75" t="s">
        <v>95</v>
      </c>
      <c r="S223" s="56">
        <f t="shared" si="65"/>
        <v>659.5</v>
      </c>
      <c r="T223" s="56">
        <f t="shared" si="66"/>
        <v>178.065</v>
      </c>
      <c r="U223" s="56">
        <f t="shared" si="67"/>
        <v>26.1162</v>
      </c>
      <c r="V223" s="56">
        <f t="shared" si="68"/>
        <v>26.1162</v>
      </c>
      <c r="W223" s="56">
        <f t="shared" si="69"/>
        <v>118.71</v>
      </c>
      <c r="X223" s="56">
        <f t="shared" si="70"/>
        <v>72.545</v>
      </c>
      <c r="Y223" s="4">
        <v>1</v>
      </c>
      <c r="Z223" s="4">
        <v>0</v>
      </c>
      <c r="AB223" s="74">
        <f t="shared" si="71"/>
        <v>61</v>
      </c>
      <c r="AC223" s="74">
        <f t="shared" si="72"/>
        <v>3</v>
      </c>
      <c r="AD223" s="74">
        <f t="shared" si="73"/>
        <v>659</v>
      </c>
      <c r="AE223" s="74">
        <f t="shared" si="74"/>
        <v>178</v>
      </c>
      <c r="AF223" s="74">
        <f t="shared" si="75"/>
        <v>26</v>
      </c>
      <c r="AG223" s="74">
        <f t="shared" si="76"/>
        <v>26</v>
      </c>
      <c r="AH223" s="74">
        <f t="shared" si="77"/>
        <v>118</v>
      </c>
      <c r="AI223" s="74">
        <f t="shared" si="78"/>
        <v>72</v>
      </c>
      <c r="AJ223" s="74">
        <f t="shared" si="79"/>
        <v>1</v>
      </c>
      <c r="AK223" s="74">
        <f t="shared" si="80"/>
        <v>0</v>
      </c>
      <c r="AL223" s="4">
        <f t="shared" si="81"/>
        <v>3396</v>
      </c>
    </row>
    <row r="224" spans="17:38">
      <c r="Q224" s="75">
        <v>62</v>
      </c>
      <c r="R224" s="75" t="s">
        <v>95</v>
      </c>
      <c r="S224" s="56">
        <f t="shared" si="65"/>
        <v>677.5</v>
      </c>
      <c r="T224" s="56">
        <f t="shared" si="66"/>
        <v>182.925</v>
      </c>
      <c r="U224" s="56">
        <f t="shared" si="67"/>
        <v>26.829</v>
      </c>
      <c r="V224" s="56">
        <f t="shared" si="68"/>
        <v>26.829</v>
      </c>
      <c r="W224" s="56">
        <f t="shared" si="69"/>
        <v>121.95</v>
      </c>
      <c r="X224" s="56">
        <f t="shared" si="70"/>
        <v>74.525</v>
      </c>
      <c r="Y224" s="4">
        <v>1</v>
      </c>
      <c r="Z224" s="4">
        <v>0</v>
      </c>
      <c r="AB224" s="74">
        <f t="shared" si="71"/>
        <v>62</v>
      </c>
      <c r="AC224" s="74">
        <f t="shared" si="72"/>
        <v>3</v>
      </c>
      <c r="AD224" s="74">
        <f t="shared" si="73"/>
        <v>677</v>
      </c>
      <c r="AE224" s="74">
        <f t="shared" si="74"/>
        <v>182</v>
      </c>
      <c r="AF224" s="74">
        <f t="shared" si="75"/>
        <v>26</v>
      </c>
      <c r="AG224" s="74">
        <f t="shared" si="76"/>
        <v>26</v>
      </c>
      <c r="AH224" s="74">
        <f t="shared" si="77"/>
        <v>121</v>
      </c>
      <c r="AI224" s="74">
        <f t="shared" si="78"/>
        <v>74</v>
      </c>
      <c r="AJ224" s="74">
        <f t="shared" si="79"/>
        <v>1</v>
      </c>
      <c r="AK224" s="74">
        <f t="shared" si="80"/>
        <v>0</v>
      </c>
      <c r="AL224" s="4">
        <f t="shared" si="81"/>
        <v>3486</v>
      </c>
    </row>
    <row r="225" spans="17:38">
      <c r="Q225" s="75">
        <v>63</v>
      </c>
      <c r="R225" s="75" t="s">
        <v>95</v>
      </c>
      <c r="S225" s="56">
        <f t="shared" si="65"/>
        <v>695.5</v>
      </c>
      <c r="T225" s="56">
        <f t="shared" si="66"/>
        <v>187.785</v>
      </c>
      <c r="U225" s="56">
        <f t="shared" si="67"/>
        <v>27.5418</v>
      </c>
      <c r="V225" s="56">
        <f t="shared" si="68"/>
        <v>27.5418</v>
      </c>
      <c r="W225" s="56">
        <f t="shared" si="69"/>
        <v>125.19</v>
      </c>
      <c r="X225" s="56">
        <f t="shared" si="70"/>
        <v>76.505</v>
      </c>
      <c r="Y225" s="4">
        <v>1</v>
      </c>
      <c r="Z225" s="4">
        <v>0</v>
      </c>
      <c r="AB225" s="74">
        <f t="shared" si="71"/>
        <v>63</v>
      </c>
      <c r="AC225" s="74">
        <f t="shared" si="72"/>
        <v>3</v>
      </c>
      <c r="AD225" s="74">
        <f t="shared" si="73"/>
        <v>695</v>
      </c>
      <c r="AE225" s="74">
        <f t="shared" si="74"/>
        <v>187</v>
      </c>
      <c r="AF225" s="74">
        <f t="shared" si="75"/>
        <v>27</v>
      </c>
      <c r="AG225" s="74">
        <f t="shared" si="76"/>
        <v>27</v>
      </c>
      <c r="AH225" s="74">
        <f t="shared" si="77"/>
        <v>125</v>
      </c>
      <c r="AI225" s="74">
        <f t="shared" si="78"/>
        <v>76</v>
      </c>
      <c r="AJ225" s="74">
        <f t="shared" si="79"/>
        <v>1</v>
      </c>
      <c r="AK225" s="74">
        <f t="shared" si="80"/>
        <v>0</v>
      </c>
      <c r="AL225" s="4">
        <f t="shared" si="81"/>
        <v>3587</v>
      </c>
    </row>
    <row r="226" spans="17:38">
      <c r="Q226" s="75">
        <v>64</v>
      </c>
      <c r="R226" s="75" t="s">
        <v>95</v>
      </c>
      <c r="S226" s="56">
        <f t="shared" si="65"/>
        <v>713.5</v>
      </c>
      <c r="T226" s="56">
        <f t="shared" si="66"/>
        <v>192.645</v>
      </c>
      <c r="U226" s="56">
        <f t="shared" si="67"/>
        <v>28.2546</v>
      </c>
      <c r="V226" s="56">
        <f t="shared" si="68"/>
        <v>28.2546</v>
      </c>
      <c r="W226" s="56">
        <f t="shared" si="69"/>
        <v>128.43</v>
      </c>
      <c r="X226" s="56">
        <f t="shared" si="70"/>
        <v>78.485</v>
      </c>
      <c r="Y226" s="4">
        <v>1</v>
      </c>
      <c r="Z226" s="4">
        <v>0</v>
      </c>
      <c r="AB226" s="74">
        <f t="shared" si="71"/>
        <v>64</v>
      </c>
      <c r="AC226" s="74">
        <f t="shared" si="72"/>
        <v>3</v>
      </c>
      <c r="AD226" s="74">
        <f t="shared" si="73"/>
        <v>713</v>
      </c>
      <c r="AE226" s="74">
        <f t="shared" si="74"/>
        <v>192</v>
      </c>
      <c r="AF226" s="74">
        <f t="shared" si="75"/>
        <v>28</v>
      </c>
      <c r="AG226" s="74">
        <f t="shared" si="76"/>
        <v>28</v>
      </c>
      <c r="AH226" s="74">
        <f t="shared" si="77"/>
        <v>128</v>
      </c>
      <c r="AI226" s="74">
        <f t="shared" si="78"/>
        <v>78</v>
      </c>
      <c r="AJ226" s="74">
        <f t="shared" si="79"/>
        <v>1</v>
      </c>
      <c r="AK226" s="74">
        <f t="shared" si="80"/>
        <v>0</v>
      </c>
      <c r="AL226" s="4">
        <f t="shared" si="81"/>
        <v>3678</v>
      </c>
    </row>
    <row r="227" spans="17:38">
      <c r="Q227" s="75">
        <v>65</v>
      </c>
      <c r="R227" s="75" t="s">
        <v>95</v>
      </c>
      <c r="S227" s="56">
        <f t="shared" si="65"/>
        <v>731.5</v>
      </c>
      <c r="T227" s="56">
        <f t="shared" si="66"/>
        <v>197.505</v>
      </c>
      <c r="U227" s="56">
        <f t="shared" si="67"/>
        <v>28.9674</v>
      </c>
      <c r="V227" s="56">
        <f t="shared" si="68"/>
        <v>28.9674</v>
      </c>
      <c r="W227" s="56">
        <f t="shared" si="69"/>
        <v>131.67</v>
      </c>
      <c r="X227" s="56">
        <f t="shared" si="70"/>
        <v>80.465</v>
      </c>
      <c r="Y227" s="4">
        <v>1</v>
      </c>
      <c r="Z227" s="4">
        <v>0</v>
      </c>
      <c r="AB227" s="74">
        <f t="shared" si="71"/>
        <v>65</v>
      </c>
      <c r="AC227" s="74">
        <f t="shared" si="72"/>
        <v>3</v>
      </c>
      <c r="AD227" s="74">
        <f t="shared" si="73"/>
        <v>731</v>
      </c>
      <c r="AE227" s="74">
        <f t="shared" si="74"/>
        <v>197</v>
      </c>
      <c r="AF227" s="74">
        <f t="shared" si="75"/>
        <v>28</v>
      </c>
      <c r="AG227" s="74">
        <f t="shared" si="76"/>
        <v>28</v>
      </c>
      <c r="AH227" s="74">
        <f t="shared" si="77"/>
        <v>131</v>
      </c>
      <c r="AI227" s="74">
        <f t="shared" si="78"/>
        <v>80</v>
      </c>
      <c r="AJ227" s="74">
        <f t="shared" si="79"/>
        <v>1</v>
      </c>
      <c r="AK227" s="74">
        <f t="shared" si="80"/>
        <v>0</v>
      </c>
      <c r="AL227" s="4">
        <f t="shared" si="81"/>
        <v>3769</v>
      </c>
    </row>
    <row r="228" spans="17:38">
      <c r="Q228" s="75">
        <v>66</v>
      </c>
      <c r="R228" s="75" t="s">
        <v>95</v>
      </c>
      <c r="S228" s="56">
        <f t="shared" si="65"/>
        <v>749.5</v>
      </c>
      <c r="T228" s="56">
        <f t="shared" si="66"/>
        <v>202.365</v>
      </c>
      <c r="U228" s="56">
        <f t="shared" si="67"/>
        <v>29.6802</v>
      </c>
      <c r="V228" s="56">
        <f t="shared" si="68"/>
        <v>29.6802</v>
      </c>
      <c r="W228" s="56">
        <f t="shared" si="69"/>
        <v>134.91</v>
      </c>
      <c r="X228" s="56">
        <f t="shared" si="70"/>
        <v>82.445</v>
      </c>
      <c r="Y228" s="4">
        <v>1</v>
      </c>
      <c r="Z228" s="4">
        <v>0</v>
      </c>
      <c r="AB228" s="74">
        <f t="shared" si="71"/>
        <v>66</v>
      </c>
      <c r="AC228" s="74">
        <f t="shared" si="72"/>
        <v>3</v>
      </c>
      <c r="AD228" s="74">
        <f t="shared" si="73"/>
        <v>749</v>
      </c>
      <c r="AE228" s="74">
        <f t="shared" si="74"/>
        <v>202</v>
      </c>
      <c r="AF228" s="74">
        <f t="shared" si="75"/>
        <v>29</v>
      </c>
      <c r="AG228" s="74">
        <f t="shared" si="76"/>
        <v>29</v>
      </c>
      <c r="AH228" s="74">
        <f t="shared" si="77"/>
        <v>134</v>
      </c>
      <c r="AI228" s="74">
        <f t="shared" si="78"/>
        <v>82</v>
      </c>
      <c r="AJ228" s="74">
        <f t="shared" si="79"/>
        <v>1</v>
      </c>
      <c r="AK228" s="74">
        <f t="shared" si="80"/>
        <v>0</v>
      </c>
      <c r="AL228" s="4">
        <f t="shared" si="81"/>
        <v>3860</v>
      </c>
    </row>
    <row r="229" spans="17:38">
      <c r="Q229" s="75">
        <v>67</v>
      </c>
      <c r="R229" s="75" t="s">
        <v>95</v>
      </c>
      <c r="S229" s="56">
        <f t="shared" si="65"/>
        <v>767.5</v>
      </c>
      <c r="T229" s="56">
        <f t="shared" si="66"/>
        <v>207.225</v>
      </c>
      <c r="U229" s="56">
        <f t="shared" si="67"/>
        <v>30.393</v>
      </c>
      <c r="V229" s="56">
        <f t="shared" si="68"/>
        <v>30.393</v>
      </c>
      <c r="W229" s="56">
        <f t="shared" si="69"/>
        <v>138.15</v>
      </c>
      <c r="X229" s="56">
        <f t="shared" si="70"/>
        <v>84.4250000000001</v>
      </c>
      <c r="Y229" s="4">
        <v>1</v>
      </c>
      <c r="Z229" s="4">
        <v>0</v>
      </c>
      <c r="AB229" s="74">
        <f t="shared" si="71"/>
        <v>67</v>
      </c>
      <c r="AC229" s="74">
        <f t="shared" si="72"/>
        <v>3</v>
      </c>
      <c r="AD229" s="74">
        <f t="shared" si="73"/>
        <v>767</v>
      </c>
      <c r="AE229" s="74">
        <f t="shared" si="74"/>
        <v>207</v>
      </c>
      <c r="AF229" s="74">
        <f t="shared" si="75"/>
        <v>30</v>
      </c>
      <c r="AG229" s="74">
        <f t="shared" si="76"/>
        <v>30</v>
      </c>
      <c r="AH229" s="74">
        <f t="shared" si="77"/>
        <v>138</v>
      </c>
      <c r="AI229" s="74">
        <f t="shared" si="78"/>
        <v>84</v>
      </c>
      <c r="AJ229" s="74">
        <f t="shared" si="79"/>
        <v>1</v>
      </c>
      <c r="AK229" s="74">
        <f t="shared" si="80"/>
        <v>0</v>
      </c>
      <c r="AL229" s="4">
        <f t="shared" si="81"/>
        <v>3961</v>
      </c>
    </row>
    <row r="230" spans="17:38">
      <c r="Q230" s="75">
        <v>68</v>
      </c>
      <c r="R230" s="75" t="s">
        <v>95</v>
      </c>
      <c r="S230" s="56">
        <f t="shared" si="65"/>
        <v>785.5</v>
      </c>
      <c r="T230" s="56">
        <f t="shared" si="66"/>
        <v>212.085</v>
      </c>
      <c r="U230" s="56">
        <f t="shared" si="67"/>
        <v>31.1058</v>
      </c>
      <c r="V230" s="56">
        <f t="shared" si="68"/>
        <v>31.1058</v>
      </c>
      <c r="W230" s="56">
        <f t="shared" si="69"/>
        <v>141.39</v>
      </c>
      <c r="X230" s="56">
        <f t="shared" si="70"/>
        <v>86.4050000000001</v>
      </c>
      <c r="Y230" s="4">
        <v>1</v>
      </c>
      <c r="Z230" s="4">
        <v>0</v>
      </c>
      <c r="AB230" s="74">
        <f t="shared" si="71"/>
        <v>68</v>
      </c>
      <c r="AC230" s="74">
        <f t="shared" si="72"/>
        <v>3</v>
      </c>
      <c r="AD230" s="74">
        <f t="shared" si="73"/>
        <v>785</v>
      </c>
      <c r="AE230" s="74">
        <f t="shared" si="74"/>
        <v>212</v>
      </c>
      <c r="AF230" s="74">
        <f t="shared" si="75"/>
        <v>31</v>
      </c>
      <c r="AG230" s="74">
        <f t="shared" si="76"/>
        <v>31</v>
      </c>
      <c r="AH230" s="74">
        <f t="shared" si="77"/>
        <v>141</v>
      </c>
      <c r="AI230" s="74">
        <f t="shared" si="78"/>
        <v>86</v>
      </c>
      <c r="AJ230" s="74">
        <f t="shared" si="79"/>
        <v>1</v>
      </c>
      <c r="AK230" s="74">
        <f t="shared" si="80"/>
        <v>0</v>
      </c>
      <c r="AL230" s="4">
        <f t="shared" si="81"/>
        <v>4052</v>
      </c>
    </row>
    <row r="231" spans="17:38">
      <c r="Q231" s="75">
        <v>69</v>
      </c>
      <c r="R231" s="75" t="s">
        <v>95</v>
      </c>
      <c r="S231" s="56">
        <f t="shared" si="65"/>
        <v>803.5</v>
      </c>
      <c r="T231" s="56">
        <f t="shared" si="66"/>
        <v>216.945</v>
      </c>
      <c r="U231" s="56">
        <f t="shared" si="67"/>
        <v>31.8186</v>
      </c>
      <c r="V231" s="56">
        <f t="shared" si="68"/>
        <v>31.8186</v>
      </c>
      <c r="W231" s="56">
        <f t="shared" si="69"/>
        <v>144.63</v>
      </c>
      <c r="X231" s="56">
        <f t="shared" si="70"/>
        <v>88.3850000000001</v>
      </c>
      <c r="Y231" s="4">
        <v>1</v>
      </c>
      <c r="Z231" s="4">
        <v>0</v>
      </c>
      <c r="AB231" s="74">
        <f t="shared" si="71"/>
        <v>69</v>
      </c>
      <c r="AC231" s="74">
        <f t="shared" si="72"/>
        <v>3</v>
      </c>
      <c r="AD231" s="74">
        <f t="shared" si="73"/>
        <v>803</v>
      </c>
      <c r="AE231" s="74">
        <f t="shared" si="74"/>
        <v>216</v>
      </c>
      <c r="AF231" s="74">
        <f t="shared" si="75"/>
        <v>31</v>
      </c>
      <c r="AG231" s="74">
        <f t="shared" si="76"/>
        <v>31</v>
      </c>
      <c r="AH231" s="74">
        <f t="shared" si="77"/>
        <v>144</v>
      </c>
      <c r="AI231" s="74">
        <f t="shared" si="78"/>
        <v>88</v>
      </c>
      <c r="AJ231" s="74">
        <f t="shared" si="79"/>
        <v>1</v>
      </c>
      <c r="AK231" s="74">
        <f t="shared" si="80"/>
        <v>0</v>
      </c>
      <c r="AL231" s="4">
        <f t="shared" si="81"/>
        <v>4142</v>
      </c>
    </row>
    <row r="232" spans="17:38">
      <c r="Q232" s="75">
        <v>70</v>
      </c>
      <c r="R232" s="75" t="s">
        <v>95</v>
      </c>
      <c r="S232" s="56">
        <f t="shared" si="65"/>
        <v>821.5</v>
      </c>
      <c r="T232" s="56">
        <f t="shared" si="66"/>
        <v>221.805</v>
      </c>
      <c r="U232" s="56">
        <f t="shared" si="67"/>
        <v>32.5314</v>
      </c>
      <c r="V232" s="56">
        <f t="shared" si="68"/>
        <v>32.5314</v>
      </c>
      <c r="W232" s="56">
        <f t="shared" si="69"/>
        <v>147.87</v>
      </c>
      <c r="X232" s="56">
        <f t="shared" si="70"/>
        <v>90.3650000000001</v>
      </c>
      <c r="Y232" s="4">
        <v>1</v>
      </c>
      <c r="Z232" s="4">
        <v>0</v>
      </c>
      <c r="AB232" s="74">
        <f t="shared" si="71"/>
        <v>70</v>
      </c>
      <c r="AC232" s="74">
        <f t="shared" si="72"/>
        <v>3</v>
      </c>
      <c r="AD232" s="74">
        <f t="shared" si="73"/>
        <v>821</v>
      </c>
      <c r="AE232" s="74">
        <f t="shared" si="74"/>
        <v>221</v>
      </c>
      <c r="AF232" s="74">
        <f t="shared" si="75"/>
        <v>32</v>
      </c>
      <c r="AG232" s="74">
        <f t="shared" si="76"/>
        <v>32</v>
      </c>
      <c r="AH232" s="74">
        <f t="shared" si="77"/>
        <v>147</v>
      </c>
      <c r="AI232" s="74">
        <f t="shared" si="78"/>
        <v>90</v>
      </c>
      <c r="AJ232" s="74">
        <f t="shared" si="79"/>
        <v>1</v>
      </c>
      <c r="AK232" s="74">
        <f t="shared" si="80"/>
        <v>0</v>
      </c>
      <c r="AL232" s="4">
        <f t="shared" si="81"/>
        <v>4233</v>
      </c>
    </row>
    <row r="233" spans="17:38">
      <c r="Q233" s="75">
        <v>71</v>
      </c>
      <c r="R233" s="75" t="s">
        <v>95</v>
      </c>
      <c r="S233" s="56">
        <f t="shared" si="65"/>
        <v>843.5</v>
      </c>
      <c r="T233" s="56">
        <f t="shared" si="66"/>
        <v>227.745</v>
      </c>
      <c r="U233" s="56">
        <f t="shared" si="67"/>
        <v>33.4026</v>
      </c>
      <c r="V233" s="56">
        <f t="shared" si="68"/>
        <v>33.4026</v>
      </c>
      <c r="W233" s="56">
        <f t="shared" si="69"/>
        <v>151.83</v>
      </c>
      <c r="X233" s="56">
        <f t="shared" si="70"/>
        <v>92.7850000000001</v>
      </c>
      <c r="Y233" s="4">
        <v>1</v>
      </c>
      <c r="Z233" s="4">
        <v>0</v>
      </c>
      <c r="AB233" s="74">
        <f t="shared" si="71"/>
        <v>71</v>
      </c>
      <c r="AC233" s="74">
        <f t="shared" si="72"/>
        <v>3</v>
      </c>
      <c r="AD233" s="74">
        <f t="shared" si="73"/>
        <v>843</v>
      </c>
      <c r="AE233" s="74">
        <f t="shared" si="74"/>
        <v>227</v>
      </c>
      <c r="AF233" s="74">
        <f t="shared" si="75"/>
        <v>33</v>
      </c>
      <c r="AG233" s="74">
        <f t="shared" si="76"/>
        <v>33</v>
      </c>
      <c r="AH233" s="74">
        <f t="shared" si="77"/>
        <v>151</v>
      </c>
      <c r="AI233" s="74">
        <f t="shared" si="78"/>
        <v>92</v>
      </c>
      <c r="AJ233" s="74">
        <f t="shared" si="79"/>
        <v>1</v>
      </c>
      <c r="AK233" s="74">
        <f t="shared" si="80"/>
        <v>0</v>
      </c>
      <c r="AL233" s="4">
        <f t="shared" si="81"/>
        <v>4343</v>
      </c>
    </row>
    <row r="234" spans="17:38">
      <c r="Q234" s="75">
        <v>72</v>
      </c>
      <c r="R234" s="75" t="s">
        <v>95</v>
      </c>
      <c r="S234" s="56">
        <f t="shared" si="65"/>
        <v>865.5</v>
      </c>
      <c r="T234" s="56">
        <f t="shared" si="66"/>
        <v>233.685</v>
      </c>
      <c r="U234" s="56">
        <f t="shared" si="67"/>
        <v>34.2738</v>
      </c>
      <c r="V234" s="56">
        <f t="shared" si="68"/>
        <v>34.2738</v>
      </c>
      <c r="W234" s="56">
        <f t="shared" si="69"/>
        <v>155.79</v>
      </c>
      <c r="X234" s="56">
        <f t="shared" si="70"/>
        <v>95.2050000000001</v>
      </c>
      <c r="Y234" s="4">
        <v>1</v>
      </c>
      <c r="Z234" s="4">
        <v>0</v>
      </c>
      <c r="AB234" s="74">
        <f t="shared" si="71"/>
        <v>72</v>
      </c>
      <c r="AC234" s="74">
        <f t="shared" si="72"/>
        <v>3</v>
      </c>
      <c r="AD234" s="74">
        <f t="shared" si="73"/>
        <v>865</v>
      </c>
      <c r="AE234" s="74">
        <f t="shared" si="74"/>
        <v>233</v>
      </c>
      <c r="AF234" s="74">
        <f t="shared" si="75"/>
        <v>34</v>
      </c>
      <c r="AG234" s="74">
        <f t="shared" si="76"/>
        <v>34</v>
      </c>
      <c r="AH234" s="74">
        <f t="shared" si="77"/>
        <v>155</v>
      </c>
      <c r="AI234" s="74">
        <f t="shared" si="78"/>
        <v>95</v>
      </c>
      <c r="AJ234" s="74">
        <f t="shared" si="79"/>
        <v>1</v>
      </c>
      <c r="AK234" s="74">
        <f t="shared" si="80"/>
        <v>0</v>
      </c>
      <c r="AL234" s="4">
        <f t="shared" si="81"/>
        <v>4463</v>
      </c>
    </row>
    <row r="235" spans="17:38">
      <c r="Q235" s="75">
        <v>73</v>
      </c>
      <c r="R235" s="75" t="s">
        <v>95</v>
      </c>
      <c r="S235" s="56">
        <f t="shared" si="65"/>
        <v>887.5</v>
      </c>
      <c r="T235" s="56">
        <f t="shared" si="66"/>
        <v>239.625</v>
      </c>
      <c r="U235" s="56">
        <f t="shared" si="67"/>
        <v>35.145</v>
      </c>
      <c r="V235" s="56">
        <f t="shared" si="68"/>
        <v>35.145</v>
      </c>
      <c r="W235" s="56">
        <f t="shared" si="69"/>
        <v>159.75</v>
      </c>
      <c r="X235" s="56">
        <f t="shared" si="70"/>
        <v>97.6250000000001</v>
      </c>
      <c r="Y235" s="4">
        <v>1</v>
      </c>
      <c r="Z235" s="4">
        <v>0</v>
      </c>
      <c r="AB235" s="74">
        <f t="shared" si="71"/>
        <v>73</v>
      </c>
      <c r="AC235" s="74">
        <f t="shared" si="72"/>
        <v>3</v>
      </c>
      <c r="AD235" s="74">
        <f t="shared" si="73"/>
        <v>887</v>
      </c>
      <c r="AE235" s="74">
        <f t="shared" si="74"/>
        <v>239</v>
      </c>
      <c r="AF235" s="74">
        <f t="shared" si="75"/>
        <v>35</v>
      </c>
      <c r="AG235" s="74">
        <f t="shared" si="76"/>
        <v>35</v>
      </c>
      <c r="AH235" s="74">
        <f t="shared" si="77"/>
        <v>159</v>
      </c>
      <c r="AI235" s="74">
        <f t="shared" si="78"/>
        <v>97</v>
      </c>
      <c r="AJ235" s="74">
        <f t="shared" si="79"/>
        <v>1</v>
      </c>
      <c r="AK235" s="74">
        <f t="shared" si="80"/>
        <v>0</v>
      </c>
      <c r="AL235" s="4">
        <f t="shared" si="81"/>
        <v>4573</v>
      </c>
    </row>
    <row r="236" spans="17:38">
      <c r="Q236" s="75">
        <v>74</v>
      </c>
      <c r="R236" s="75" t="s">
        <v>95</v>
      </c>
      <c r="S236" s="56">
        <f t="shared" si="65"/>
        <v>909.5</v>
      </c>
      <c r="T236" s="56">
        <f t="shared" si="66"/>
        <v>245.565</v>
      </c>
      <c r="U236" s="56">
        <f t="shared" si="67"/>
        <v>36.0162</v>
      </c>
      <c r="V236" s="56">
        <f t="shared" si="68"/>
        <v>36.0162</v>
      </c>
      <c r="W236" s="56">
        <f t="shared" si="69"/>
        <v>163.71</v>
      </c>
      <c r="X236" s="56">
        <f t="shared" si="70"/>
        <v>100.045</v>
      </c>
      <c r="Y236" s="4">
        <v>1</v>
      </c>
      <c r="Z236" s="4">
        <v>0</v>
      </c>
      <c r="AB236" s="74">
        <f t="shared" si="71"/>
        <v>74</v>
      </c>
      <c r="AC236" s="74">
        <f t="shared" si="72"/>
        <v>3</v>
      </c>
      <c r="AD236" s="74">
        <f t="shared" si="73"/>
        <v>909</v>
      </c>
      <c r="AE236" s="74">
        <f t="shared" si="74"/>
        <v>245</v>
      </c>
      <c r="AF236" s="74">
        <f t="shared" si="75"/>
        <v>36</v>
      </c>
      <c r="AG236" s="74">
        <f t="shared" si="76"/>
        <v>36</v>
      </c>
      <c r="AH236" s="74">
        <f t="shared" si="77"/>
        <v>163</v>
      </c>
      <c r="AI236" s="74">
        <f t="shared" si="78"/>
        <v>100</v>
      </c>
      <c r="AJ236" s="74">
        <f t="shared" si="79"/>
        <v>1</v>
      </c>
      <c r="AK236" s="74">
        <f t="shared" si="80"/>
        <v>0</v>
      </c>
      <c r="AL236" s="4">
        <f t="shared" si="81"/>
        <v>4693</v>
      </c>
    </row>
    <row r="237" spans="17:38">
      <c r="Q237" s="75">
        <v>75</v>
      </c>
      <c r="R237" s="75" t="s">
        <v>95</v>
      </c>
      <c r="S237" s="56">
        <f t="shared" si="65"/>
        <v>931.5</v>
      </c>
      <c r="T237" s="56">
        <f t="shared" si="66"/>
        <v>251.505</v>
      </c>
      <c r="U237" s="56">
        <f t="shared" si="67"/>
        <v>36.8874</v>
      </c>
      <c r="V237" s="56">
        <f t="shared" si="68"/>
        <v>36.8874</v>
      </c>
      <c r="W237" s="56">
        <f t="shared" si="69"/>
        <v>167.67</v>
      </c>
      <c r="X237" s="56">
        <f t="shared" si="70"/>
        <v>102.465</v>
      </c>
      <c r="Y237" s="4">
        <v>1</v>
      </c>
      <c r="Z237" s="4">
        <v>0</v>
      </c>
      <c r="AB237" s="74">
        <f t="shared" si="71"/>
        <v>75</v>
      </c>
      <c r="AC237" s="74">
        <f t="shared" si="72"/>
        <v>3</v>
      </c>
      <c r="AD237" s="74">
        <f t="shared" si="73"/>
        <v>931</v>
      </c>
      <c r="AE237" s="74">
        <f t="shared" si="74"/>
        <v>251</v>
      </c>
      <c r="AF237" s="74">
        <f t="shared" si="75"/>
        <v>36</v>
      </c>
      <c r="AG237" s="74">
        <f t="shared" si="76"/>
        <v>36</v>
      </c>
      <c r="AH237" s="74">
        <f t="shared" si="77"/>
        <v>167</v>
      </c>
      <c r="AI237" s="74">
        <f t="shared" si="78"/>
        <v>102</v>
      </c>
      <c r="AJ237" s="74">
        <f t="shared" si="79"/>
        <v>1</v>
      </c>
      <c r="AK237" s="74">
        <f t="shared" si="80"/>
        <v>0</v>
      </c>
      <c r="AL237" s="4">
        <f t="shared" si="81"/>
        <v>4803</v>
      </c>
    </row>
    <row r="238" spans="17:38">
      <c r="Q238" s="75">
        <v>76</v>
      </c>
      <c r="R238" s="75" t="s">
        <v>95</v>
      </c>
      <c r="S238" s="56">
        <f t="shared" si="65"/>
        <v>953.5</v>
      </c>
      <c r="T238" s="56">
        <f t="shared" si="66"/>
        <v>257.445</v>
      </c>
      <c r="U238" s="56">
        <f t="shared" si="67"/>
        <v>37.7586000000001</v>
      </c>
      <c r="V238" s="56">
        <f t="shared" si="68"/>
        <v>37.7586000000001</v>
      </c>
      <c r="W238" s="56">
        <f t="shared" si="69"/>
        <v>171.63</v>
      </c>
      <c r="X238" s="56">
        <f t="shared" si="70"/>
        <v>104.885</v>
      </c>
      <c r="Y238" s="4">
        <v>1</v>
      </c>
      <c r="Z238" s="4">
        <v>0</v>
      </c>
      <c r="AB238" s="74">
        <f t="shared" si="71"/>
        <v>76</v>
      </c>
      <c r="AC238" s="74">
        <f t="shared" si="72"/>
        <v>3</v>
      </c>
      <c r="AD238" s="74">
        <f t="shared" si="73"/>
        <v>953</v>
      </c>
      <c r="AE238" s="74">
        <f t="shared" si="74"/>
        <v>257</v>
      </c>
      <c r="AF238" s="74">
        <f t="shared" si="75"/>
        <v>37</v>
      </c>
      <c r="AG238" s="74">
        <f t="shared" si="76"/>
        <v>37</v>
      </c>
      <c r="AH238" s="74">
        <f t="shared" si="77"/>
        <v>171</v>
      </c>
      <c r="AI238" s="74">
        <f t="shared" si="78"/>
        <v>104</v>
      </c>
      <c r="AJ238" s="74">
        <f t="shared" si="79"/>
        <v>1</v>
      </c>
      <c r="AK238" s="74">
        <f t="shared" si="80"/>
        <v>0</v>
      </c>
      <c r="AL238" s="4">
        <f t="shared" si="81"/>
        <v>4913</v>
      </c>
    </row>
    <row r="239" spans="17:38">
      <c r="Q239" s="75">
        <v>77</v>
      </c>
      <c r="R239" s="75" t="s">
        <v>95</v>
      </c>
      <c r="S239" s="56">
        <f t="shared" si="65"/>
        <v>975.5</v>
      </c>
      <c r="T239" s="56">
        <f t="shared" si="66"/>
        <v>263.385</v>
      </c>
      <c r="U239" s="56">
        <f t="shared" si="67"/>
        <v>38.6298000000001</v>
      </c>
      <c r="V239" s="56">
        <f t="shared" si="68"/>
        <v>38.6298000000001</v>
      </c>
      <c r="W239" s="56">
        <f t="shared" si="69"/>
        <v>175.59</v>
      </c>
      <c r="X239" s="56">
        <f t="shared" si="70"/>
        <v>107.305</v>
      </c>
      <c r="Y239" s="4">
        <v>1</v>
      </c>
      <c r="Z239" s="4">
        <v>0</v>
      </c>
      <c r="AB239" s="74">
        <f t="shared" si="71"/>
        <v>77</v>
      </c>
      <c r="AC239" s="74">
        <f t="shared" si="72"/>
        <v>3</v>
      </c>
      <c r="AD239" s="74">
        <f t="shared" si="73"/>
        <v>975</v>
      </c>
      <c r="AE239" s="74">
        <f t="shared" si="74"/>
        <v>263</v>
      </c>
      <c r="AF239" s="74">
        <f t="shared" si="75"/>
        <v>38</v>
      </c>
      <c r="AG239" s="74">
        <f t="shared" si="76"/>
        <v>38</v>
      </c>
      <c r="AH239" s="74">
        <f t="shared" si="77"/>
        <v>175</v>
      </c>
      <c r="AI239" s="74">
        <f t="shared" si="78"/>
        <v>107</v>
      </c>
      <c r="AJ239" s="74">
        <f t="shared" si="79"/>
        <v>1</v>
      </c>
      <c r="AK239" s="74">
        <f t="shared" si="80"/>
        <v>0</v>
      </c>
      <c r="AL239" s="4">
        <f t="shared" si="81"/>
        <v>5033</v>
      </c>
    </row>
    <row r="240" spans="17:38">
      <c r="Q240" s="75">
        <v>78</v>
      </c>
      <c r="R240" s="75" t="s">
        <v>95</v>
      </c>
      <c r="S240" s="56">
        <f t="shared" si="65"/>
        <v>997.5</v>
      </c>
      <c r="T240" s="56">
        <f t="shared" si="66"/>
        <v>269.325</v>
      </c>
      <c r="U240" s="56">
        <f t="shared" si="67"/>
        <v>39.5010000000001</v>
      </c>
      <c r="V240" s="56">
        <f t="shared" si="68"/>
        <v>39.5010000000001</v>
      </c>
      <c r="W240" s="56">
        <f t="shared" si="69"/>
        <v>179.55</v>
      </c>
      <c r="X240" s="56">
        <f t="shared" si="70"/>
        <v>109.725</v>
      </c>
      <c r="Y240" s="4">
        <v>1</v>
      </c>
      <c r="Z240" s="4">
        <v>0</v>
      </c>
      <c r="AB240" s="74">
        <f t="shared" si="71"/>
        <v>78</v>
      </c>
      <c r="AC240" s="74">
        <f t="shared" si="72"/>
        <v>3</v>
      </c>
      <c r="AD240" s="74">
        <f t="shared" si="73"/>
        <v>997</v>
      </c>
      <c r="AE240" s="74">
        <f t="shared" si="74"/>
        <v>269</v>
      </c>
      <c r="AF240" s="74">
        <f t="shared" si="75"/>
        <v>39</v>
      </c>
      <c r="AG240" s="74">
        <f t="shared" si="76"/>
        <v>39</v>
      </c>
      <c r="AH240" s="74">
        <f t="shared" si="77"/>
        <v>179</v>
      </c>
      <c r="AI240" s="74">
        <f t="shared" si="78"/>
        <v>109</v>
      </c>
      <c r="AJ240" s="74">
        <f t="shared" si="79"/>
        <v>1</v>
      </c>
      <c r="AK240" s="74">
        <f t="shared" si="80"/>
        <v>0</v>
      </c>
      <c r="AL240" s="4">
        <f t="shared" si="81"/>
        <v>5143</v>
      </c>
    </row>
    <row r="241" spans="17:38">
      <c r="Q241" s="75">
        <v>79</v>
      </c>
      <c r="R241" s="75" t="s">
        <v>95</v>
      </c>
      <c r="S241" s="56">
        <f t="shared" si="65"/>
        <v>1019.5</v>
      </c>
      <c r="T241" s="56">
        <f t="shared" si="66"/>
        <v>275.265</v>
      </c>
      <c r="U241" s="56">
        <f t="shared" si="67"/>
        <v>40.3722000000001</v>
      </c>
      <c r="V241" s="56">
        <f t="shared" si="68"/>
        <v>40.3722000000001</v>
      </c>
      <c r="W241" s="56">
        <f t="shared" si="69"/>
        <v>183.51</v>
      </c>
      <c r="X241" s="56">
        <f t="shared" si="70"/>
        <v>112.145</v>
      </c>
      <c r="Y241" s="4">
        <v>1</v>
      </c>
      <c r="Z241" s="4">
        <v>0</v>
      </c>
      <c r="AB241" s="74">
        <f t="shared" si="71"/>
        <v>79</v>
      </c>
      <c r="AC241" s="74">
        <f t="shared" si="72"/>
        <v>3</v>
      </c>
      <c r="AD241" s="74">
        <f t="shared" si="73"/>
        <v>1019</v>
      </c>
      <c r="AE241" s="74">
        <f t="shared" si="74"/>
        <v>275</v>
      </c>
      <c r="AF241" s="74">
        <f t="shared" si="75"/>
        <v>40</v>
      </c>
      <c r="AG241" s="74">
        <f t="shared" si="76"/>
        <v>40</v>
      </c>
      <c r="AH241" s="74">
        <f t="shared" si="77"/>
        <v>183</v>
      </c>
      <c r="AI241" s="74">
        <f t="shared" si="78"/>
        <v>112</v>
      </c>
      <c r="AJ241" s="74">
        <f t="shared" si="79"/>
        <v>1</v>
      </c>
      <c r="AK241" s="74">
        <f t="shared" si="80"/>
        <v>0</v>
      </c>
      <c r="AL241" s="4">
        <f t="shared" si="81"/>
        <v>5263</v>
      </c>
    </row>
    <row r="242" spans="17:38">
      <c r="Q242" s="75">
        <v>80</v>
      </c>
      <c r="R242" s="75" t="s">
        <v>95</v>
      </c>
      <c r="S242" s="56">
        <f t="shared" si="65"/>
        <v>1041.5</v>
      </c>
      <c r="T242" s="56">
        <f t="shared" si="66"/>
        <v>281.205</v>
      </c>
      <c r="U242" s="56">
        <f t="shared" si="67"/>
        <v>41.2434000000001</v>
      </c>
      <c r="V242" s="56">
        <f t="shared" si="68"/>
        <v>41.2434000000001</v>
      </c>
      <c r="W242" s="56">
        <f t="shared" si="69"/>
        <v>187.47</v>
      </c>
      <c r="X242" s="56">
        <f t="shared" si="70"/>
        <v>114.565</v>
      </c>
      <c r="Y242" s="4">
        <v>1</v>
      </c>
      <c r="Z242" s="4">
        <v>0</v>
      </c>
      <c r="AB242" s="74">
        <f t="shared" si="71"/>
        <v>80</v>
      </c>
      <c r="AC242" s="74">
        <f t="shared" si="72"/>
        <v>3</v>
      </c>
      <c r="AD242" s="74">
        <f t="shared" si="73"/>
        <v>1041</v>
      </c>
      <c r="AE242" s="74">
        <f t="shared" si="74"/>
        <v>281</v>
      </c>
      <c r="AF242" s="74">
        <f t="shared" si="75"/>
        <v>41</v>
      </c>
      <c r="AG242" s="74">
        <f t="shared" si="76"/>
        <v>41</v>
      </c>
      <c r="AH242" s="74">
        <f t="shared" si="77"/>
        <v>187</v>
      </c>
      <c r="AI242" s="74">
        <f t="shared" si="78"/>
        <v>114</v>
      </c>
      <c r="AJ242" s="74">
        <f t="shared" si="79"/>
        <v>1</v>
      </c>
      <c r="AK242" s="74">
        <f t="shared" si="80"/>
        <v>0</v>
      </c>
      <c r="AL242" s="4">
        <f t="shared" si="81"/>
        <v>5373</v>
      </c>
    </row>
  </sheetData>
  <pageMargins left="0.7" right="0.7" top="0.75" bottom="0.75" header="0.3" footer="0.3"/>
  <pageSetup paperSize="9" orientation="portrait" horizontalDpi="360" verticalDpi="36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BY203"/>
  <sheetViews>
    <sheetView workbookViewId="0">
      <selection activeCell="C2" sqref="C2:O7"/>
    </sheetView>
  </sheetViews>
  <sheetFormatPr defaultColWidth="9" defaultRowHeight="14.25"/>
  <cols>
    <col min="1" max="1" width="15.5" style="4" customWidth="1"/>
    <col min="2" max="2" width="3.625" style="4" customWidth="1"/>
    <col min="3" max="6" width="6.625" style="4" customWidth="1"/>
    <col min="7" max="7" width="7.5" style="4" customWidth="1"/>
    <col min="8" max="8" width="6.625" style="4" customWidth="1"/>
    <col min="9" max="9" width="5.875" style="4" customWidth="1"/>
    <col min="10" max="10" width="4.375" style="4" customWidth="1"/>
    <col min="11" max="11" width="5.875" style="4" customWidth="1"/>
    <col min="12" max="12" width="7" style="4" customWidth="1"/>
    <col min="13" max="14" width="6.125" style="4" customWidth="1"/>
    <col min="15" max="16" width="4" style="4" customWidth="1"/>
    <col min="17" max="17" width="2.875" style="4" customWidth="1"/>
    <col min="18" max="18" width="12.625" style="4" customWidth="1"/>
    <col min="19" max="19" width="6.75" style="4" customWidth="1"/>
    <col min="20" max="20" width="10.875" style="4" customWidth="1"/>
    <col min="21" max="23" width="5.5" style="36" customWidth="1"/>
    <col min="24" max="24" width="6.125" style="4" customWidth="1"/>
    <col min="25" max="25" width="7.5" style="4" customWidth="1"/>
    <col min="26" max="26" width="4.5" style="4" customWidth="1"/>
    <col min="27" max="27" width="10.5" style="4" customWidth="1"/>
    <col min="28" max="28" width="7.5" style="36" customWidth="1"/>
    <col min="29" max="30" width="3.25" style="36" customWidth="1"/>
    <col min="31" max="34" width="4.125" style="36" customWidth="1"/>
    <col min="35" max="35" width="3.5" style="4" customWidth="1"/>
    <col min="36" max="37" width="7.5" style="4" customWidth="1"/>
    <col min="38" max="39" width="4.125" style="4" customWidth="1"/>
    <col min="40" max="42" width="5" style="4" customWidth="1"/>
    <col min="43" max="43" width="3.5" style="4" customWidth="1"/>
    <col min="44" max="45" width="7.5" style="4" customWidth="1"/>
    <col min="46" max="46" width="5" style="4" customWidth="1"/>
    <col min="47" max="47" width="5.875" style="4" customWidth="1"/>
    <col min="48" max="49" width="5" style="4" customWidth="1"/>
    <col min="50" max="50" width="5.875" style="4" customWidth="1"/>
    <col min="51" max="51" width="3.5" style="4" customWidth="1"/>
    <col min="52" max="53" width="3.625" style="4" customWidth="1"/>
    <col min="54" max="54" width="4.5" style="4" customWidth="1"/>
    <col min="55" max="57" width="7" style="35" customWidth="1"/>
    <col min="58" max="60" width="5.25" style="36" customWidth="1"/>
    <col min="61" max="62" width="8.125" style="34" customWidth="1"/>
    <col min="63" max="63" width="9" style="34" hidden="1" customWidth="1" outlineLevel="1"/>
    <col min="64" max="64" width="6" style="4" hidden="1" customWidth="1" outlineLevel="1"/>
    <col min="65" max="69" width="7.5" style="4" hidden="1" customWidth="1" outlineLevel="1"/>
    <col min="70" max="70" width="24.5" style="34" customWidth="1" collapsed="1"/>
    <col min="71" max="71" width="10.5" style="4" customWidth="1"/>
    <col min="72" max="77" width="6.875" style="4" customWidth="1"/>
    <col min="78" max="16384" width="9" style="4"/>
  </cols>
  <sheetData>
    <row r="1" spans="1:77">
      <c r="A1" s="4" t="s">
        <v>108</v>
      </c>
      <c r="S1" s="4" t="s">
        <v>109</v>
      </c>
      <c r="U1" s="36" t="s">
        <v>110</v>
      </c>
      <c r="V1" s="36" t="s">
        <v>111</v>
      </c>
      <c r="X1" s="4" t="s">
        <v>112</v>
      </c>
      <c r="Y1" s="4" t="s">
        <v>113</v>
      </c>
      <c r="Z1" s="4" t="s">
        <v>91</v>
      </c>
      <c r="AA1" s="4" t="s">
        <v>114</v>
      </c>
      <c r="AB1" s="36" t="s">
        <v>115</v>
      </c>
      <c r="AC1" s="36" t="s">
        <v>116</v>
      </c>
      <c r="AD1" s="36" t="s">
        <v>117</v>
      </c>
      <c r="AE1" s="36" t="s">
        <v>118</v>
      </c>
      <c r="AF1" s="36" t="s">
        <v>119</v>
      </c>
      <c r="AG1" s="36" t="s">
        <v>120</v>
      </c>
      <c r="AH1" s="36" t="s">
        <v>121</v>
      </c>
      <c r="AJ1" s="4" t="s">
        <v>122</v>
      </c>
      <c r="AK1" s="4" t="s">
        <v>123</v>
      </c>
      <c r="AL1" s="4" t="s">
        <v>116</v>
      </c>
      <c r="AM1" s="4" t="s">
        <v>117</v>
      </c>
      <c r="AN1" s="4" t="s">
        <v>118</v>
      </c>
      <c r="AO1" s="4" t="s">
        <v>119</v>
      </c>
      <c r="AP1" s="4" t="s">
        <v>120</v>
      </c>
      <c r="AR1" s="4" t="s">
        <v>124</v>
      </c>
      <c r="AS1" s="4" t="s">
        <v>123</v>
      </c>
      <c r="AT1" s="4" t="s">
        <v>116</v>
      </c>
      <c r="AU1" s="4" t="s">
        <v>117</v>
      </c>
      <c r="AV1" s="4" t="s">
        <v>118</v>
      </c>
      <c r="AW1" s="4" t="s">
        <v>119</v>
      </c>
      <c r="AX1" s="4" t="s">
        <v>120</v>
      </c>
      <c r="AZ1" s="4" t="s">
        <v>10</v>
      </c>
      <c r="BA1" s="4" t="s">
        <v>106</v>
      </c>
      <c r="BB1" s="4" t="s">
        <v>17</v>
      </c>
      <c r="BC1" s="35" t="s">
        <v>125</v>
      </c>
      <c r="BD1" s="35" t="s">
        <v>126</v>
      </c>
      <c r="BE1" s="35" t="s">
        <v>127</v>
      </c>
      <c r="BF1" s="36" t="s">
        <v>128</v>
      </c>
      <c r="BG1" s="36" t="s">
        <v>129</v>
      </c>
      <c r="BH1" s="36" t="s">
        <v>130</v>
      </c>
      <c r="BI1" s="34" t="s">
        <v>131</v>
      </c>
      <c r="BJ1" s="34" t="s">
        <v>132</v>
      </c>
      <c r="BK1" s="34" t="s">
        <v>133</v>
      </c>
      <c r="BL1" s="4" t="s">
        <v>134</v>
      </c>
      <c r="BM1" s="4" t="s">
        <v>135</v>
      </c>
      <c r="BN1" s="4" t="s">
        <v>136</v>
      </c>
      <c r="BO1" s="4" t="s">
        <v>137</v>
      </c>
      <c r="BP1" s="4" t="s">
        <v>138</v>
      </c>
      <c r="BQ1" s="4" t="s">
        <v>139</v>
      </c>
      <c r="BR1" s="34" t="s">
        <v>140</v>
      </c>
      <c r="BS1" s="34" t="s">
        <v>141</v>
      </c>
      <c r="BT1" s="4" t="s">
        <v>142</v>
      </c>
      <c r="BU1" s="4" t="s">
        <v>143</v>
      </c>
      <c r="BV1" s="4" t="s">
        <v>144</v>
      </c>
      <c r="BW1" s="4" t="s">
        <v>145</v>
      </c>
      <c r="BX1" s="4" t="s">
        <v>146</v>
      </c>
      <c r="BY1" s="4" t="s">
        <v>147</v>
      </c>
    </row>
    <row r="2" spans="3:77">
      <c r="C2" s="4" t="s">
        <v>148</v>
      </c>
      <c r="R2" s="4" t="s">
        <v>149</v>
      </c>
      <c r="S2" s="4" t="str">
        <f>10&amp;(U2+10)&amp;TEXT(Z2,"0")&amp;X2</f>
        <v>101001</v>
      </c>
      <c r="T2" s="4" t="s">
        <v>150</v>
      </c>
      <c r="U2" s="36">
        <v>0</v>
      </c>
      <c r="V2" s="36" t="str">
        <f>RIGHT(T2,2)</f>
        <v>武器</v>
      </c>
      <c r="W2" s="36" t="str">
        <f>VLOOKUP(V2,$C$22:$I$29,7,0)</f>
        <v>武器</v>
      </c>
      <c r="X2" s="4">
        <f>VLOOKUP(V2,$C$22:$L$29,9,)</f>
        <v>1</v>
      </c>
      <c r="Y2" s="4">
        <f>U2+VLOOKUP(RIGHT(T2,2),$C$22:$L$29,10,0)</f>
        <v>1</v>
      </c>
      <c r="Z2" s="4">
        <f>VLOOKUP(MID(T2,4,2),$O$22:$P$25,2,0)</f>
        <v>0</v>
      </c>
      <c r="AA2" s="4" t="str">
        <f>AC2&amp;","&amp;AD2&amp;","&amp;AE2&amp;","&amp;AF2&amp;","&amp;AG2&amp;","&amp;AH2</f>
        <v>20,24,36,60,100,200</v>
      </c>
      <c r="AB2" s="36">
        <f>LEFT(T2,2)*2</f>
        <v>20</v>
      </c>
      <c r="AC2" s="36">
        <f t="shared" ref="AC2:AH2" si="0">INT($AB2*VLOOKUP(AC$1,$B$11:$L$16,11,0)*VLOOKUP($V2,$C$22:$M$29,11,0))</f>
        <v>20</v>
      </c>
      <c r="AD2" s="36">
        <f t="shared" si="0"/>
        <v>24</v>
      </c>
      <c r="AE2" s="36">
        <f t="shared" si="0"/>
        <v>36</v>
      </c>
      <c r="AF2" s="36">
        <f t="shared" si="0"/>
        <v>60</v>
      </c>
      <c r="AG2" s="36">
        <f t="shared" si="0"/>
        <v>100</v>
      </c>
      <c r="AH2" s="36">
        <f t="shared" si="0"/>
        <v>200</v>
      </c>
      <c r="AJ2" s="4" t="str">
        <f>AL2&amp;","&amp;AM2&amp;","&amp;AN2&amp;","&amp;AO2&amp;","&amp;AP2&amp;","&amp;AQ2</f>
        <v>100,120,180,300,500,</v>
      </c>
      <c r="AK2" s="36">
        <f>LEFT(T2,2)*10</f>
        <v>100</v>
      </c>
      <c r="AL2" s="36">
        <f>INT($AK2*VLOOKUP(AL$1,$B$11:$L$16,11,0)*VLOOKUP($V2,$C$22:$M$29,11,0))</f>
        <v>100</v>
      </c>
      <c r="AM2" s="36">
        <f t="shared" ref="AM2:AP17" si="1">INT($AK2*VLOOKUP(AM$1,$B$11:$L$16,11,0)*VLOOKUP($V2,$C$22:$M$29,11,0))</f>
        <v>120</v>
      </c>
      <c r="AN2" s="36">
        <f t="shared" si="1"/>
        <v>180</v>
      </c>
      <c r="AO2" s="36">
        <f t="shared" si="1"/>
        <v>300</v>
      </c>
      <c r="AP2" s="36">
        <f t="shared" si="1"/>
        <v>500</v>
      </c>
      <c r="AR2" s="4" t="str">
        <f>AT2&amp;","&amp;AU2&amp;","&amp;AV2&amp;","&amp;AW2&amp;","&amp;AX2&amp;","&amp;AY2</f>
        <v>8000,9600,14400,24000,40000,</v>
      </c>
      <c r="AS2" s="36">
        <f>AK2*80</f>
        <v>8000</v>
      </c>
      <c r="AT2" s="36">
        <f>INT($AS2*VLOOKUP(AT$1,$B$11:$L$16,11,0)*VLOOKUP($V2,$C$22:$M$29,11,0))</f>
        <v>8000</v>
      </c>
      <c r="AU2" s="36">
        <f t="shared" ref="AU2:AX17" si="2">INT($AS2*VLOOKUP(AU$1,$B$11:$L$16,11,0)*VLOOKUP($V2,$C$22:$M$29,11,0))</f>
        <v>9600</v>
      </c>
      <c r="AV2" s="36">
        <f t="shared" si="2"/>
        <v>14400</v>
      </c>
      <c r="AW2" s="36">
        <f t="shared" si="2"/>
        <v>24000</v>
      </c>
      <c r="AX2" s="36">
        <f>INT($AS2*VLOOKUP(AX$1,$B$11:$L$16,11,0)*VLOOKUP($V2,$C$22:$M$29,11,0))</f>
        <v>40000</v>
      </c>
      <c r="AZ2" s="4">
        <f>INT(LOOKUP($Y2,$B$34:$B$41,$D$34:$D$41)*VLOOKUP($V2,$C$22:$F$29,2,0))</f>
        <v>0</v>
      </c>
      <c r="BA2" s="4">
        <f>INT(LOOKUP($Y2,$B$34:$B$41,$F$34:$F$41)*VLOOKUP($V2,$C$22:$F$29,3,0))</f>
        <v>5</v>
      </c>
      <c r="BB2" s="4">
        <f>INT(LOOKUP($Y2,$B$34:$B$41,$I$34:$I$41)*VLOOKUP($V2,$C$22:$F$29,4,0))</f>
        <v>0</v>
      </c>
      <c r="BC2" s="35" t="str">
        <f>IF(AZ2=0,"",AZ2&amp;",")</f>
        <v/>
      </c>
      <c r="BD2" s="35" t="str">
        <f t="shared" ref="BD2:BD65" si="3">IF(BA2=0,"",IF(Z2=0,BA2&amp;","&amp;BA2&amp;","&amp;BA2&amp;",",INT(BA2*2.2)&amp;","))</f>
        <v>5,5,5,</v>
      </c>
      <c r="BE2" s="35" t="str">
        <f>IF(BB2=0,"",BB2&amp;",")</f>
        <v/>
      </c>
      <c r="BF2" s="36" t="str">
        <f>IF(AZ2=0,"","1,")</f>
        <v/>
      </c>
      <c r="BG2" s="36" t="str">
        <f>IF(BA2=0,"",IF(Z2=0,"3,4,5",VLOOKUP(Z2,{1,3;2,4;3,5},2,0))&amp;",")</f>
        <v>3,4,5,</v>
      </c>
      <c r="BH2" s="36" t="str">
        <f>IF(BB2=0,"","6,")</f>
        <v/>
      </c>
      <c r="BI2" s="34" t="str">
        <f>LEFT(BF2&amp;BG2&amp;BH2,LEN(BF2&amp;BG2&amp;BH2)-1)</f>
        <v>3,4,5</v>
      </c>
      <c r="BJ2" s="34" t="str">
        <f>LEFT(BC2&amp;BD2&amp;BE2,LEN(BC2&amp;BD2&amp;BE2)-1)</f>
        <v>5,5,5</v>
      </c>
      <c r="BK2" s="34" t="str">
        <f>BL2&amp;","&amp;BM2&amp;","&amp;BN2&amp;","&amp;BO2&amp;","&amp;BP2&amp;","&amp;BQ2</f>
        <v>0,3,6,9,18,36</v>
      </c>
      <c r="BL2" s="4">
        <f t="shared" ref="BL2:BL65" si="4">INT(LOOKUP($Y2,$B$48:$B$55,C$48:C$55)*VLOOKUP($V2,$C$22:$N$29,12,0))</f>
        <v>0</v>
      </c>
      <c r="BM2" s="4">
        <f t="shared" ref="BM2:BM65" si="5">INT(LOOKUP($Y2,$B$48:$B$55,D$48:D$55)*VLOOKUP($V2,$C$22:$N$29,12,0))</f>
        <v>3</v>
      </c>
      <c r="BN2" s="4">
        <f t="shared" ref="BN2:BN65" si="6">INT(LOOKUP($Y2,$B$48:$B$55,E$48:E$55)*VLOOKUP($V2,$C$22:$N$29,12,0))</f>
        <v>6</v>
      </c>
      <c r="BO2" s="4">
        <f t="shared" ref="BO2:BO65" si="7">INT(LOOKUP($Y2,$B$48:$B$55,F$48:F$55)*VLOOKUP($V2,$C$22:$N$29,12,0))</f>
        <v>9</v>
      </c>
      <c r="BP2" s="4">
        <f t="shared" ref="BP2:BP65" si="8">INT(LOOKUP($Y2,$B$48:$B$55,G$48:G$55)*VLOOKUP($V2,$C$22:$N$29,12,0))</f>
        <v>18</v>
      </c>
      <c r="BQ2" s="4">
        <f t="shared" ref="BQ2:BQ65" si="9">INT(LOOKUP($Y2,$B$48:$B$55,H$48:H$55)*VLOOKUP($V2,$C$22:$N$29,12,0))</f>
        <v>36</v>
      </c>
      <c r="BR2" s="34" t="str">
        <f t="shared" ref="BR2:BR65" si="10">IF(V2="武器",$H$68,IF(V2="手镯",$H$70,IF(V2="戒指",$H$71,$H$69)))</f>
        <v>1001,1002,1003,1004,1005,1006</v>
      </c>
      <c r="BS2" s="34" t="str">
        <f>BT2&amp;","&amp;BU2&amp;","&amp;BV2&amp;","&amp;BW2&amp;","&amp;BX2&amp;","&amp;BY2</f>
        <v>10001,10002,10003,10004,10005,10006</v>
      </c>
      <c r="BT2" s="4">
        <f>VLOOKUP(LOOKUP($Y2,$K$48:$K$55,$L$48:$L$55)&amp;BT$1&amp;$W2,装备额外附加!$M:$O,3,0)</f>
        <v>10001</v>
      </c>
      <c r="BU2" s="4">
        <f>VLOOKUP(LOOKUP($Y2,$K$48:$K$55,$L$48:$L$55)&amp;BU$1&amp;$W2,装备额外附加!$M:$O,3,0)</f>
        <v>10002</v>
      </c>
      <c r="BV2" s="4">
        <f>VLOOKUP(LOOKUP($Y2,$K$48:$K$55,$L$48:$L$55)&amp;BV$1&amp;$W2,装备额外附加!$M:$O,3,0)</f>
        <v>10003</v>
      </c>
      <c r="BW2" s="4">
        <f>VLOOKUP(LOOKUP($Y2,$K$48:$K$55,$L$48:$L$55)&amp;BW$1&amp;$W2,装备额外附加!$M:$O,3,0)</f>
        <v>10004</v>
      </c>
      <c r="BX2" s="4">
        <f>VLOOKUP(LOOKUP($Y2,$K$48:$K$55,$L$48:$L$55)&amp;BX$1&amp;$W2,装备额外附加!$M:$O,3,0)</f>
        <v>10005</v>
      </c>
      <c r="BY2" s="4">
        <f>VLOOKUP(LOOKUP($Y2,$K$48:$K$55,$L$48:$L$55)&amp;BY$1&amp;$W2,装备额外附加!$M:$O,3,0)</f>
        <v>10006</v>
      </c>
    </row>
    <row r="3" spans="3:77">
      <c r="C3" s="4" t="s">
        <v>151</v>
      </c>
      <c r="R3" s="4" t="s">
        <v>152</v>
      </c>
      <c r="S3" s="4" t="str">
        <f t="shared" ref="S3:S66" si="11">10&amp;(U3+10)&amp;TEXT(Z3,"0")&amp;X3</f>
        <v>101002</v>
      </c>
      <c r="T3" s="4" t="s">
        <v>153</v>
      </c>
      <c r="U3" s="36">
        <v>0</v>
      </c>
      <c r="V3" s="36" t="str">
        <f t="shared" ref="V3:V66" si="12">RIGHT(T3,2)</f>
        <v>头盔</v>
      </c>
      <c r="W3" s="36" t="str">
        <f t="shared" ref="W3:W66" si="13">VLOOKUP(V3,$C$22:$I$29,7,0)</f>
        <v>护甲</v>
      </c>
      <c r="X3" s="4">
        <f t="shared" ref="X3:X66" si="14">VLOOKUP(V3,$C$22:$L$29,9,)</f>
        <v>2</v>
      </c>
      <c r="Y3" s="4">
        <f t="shared" ref="Y3:Y66" si="15">U3+VLOOKUP(RIGHT(T3,2),$C$22:$L$29,10,0)</f>
        <v>7</v>
      </c>
      <c r="Z3" s="4">
        <f t="shared" ref="Z3:Z66" si="16">VLOOKUP(MID(T3,4,2),$O$22:$P$25,2,0)</f>
        <v>0</v>
      </c>
      <c r="AA3" s="4" t="str">
        <f t="shared" ref="AA3:AA66" si="17">AC3&amp;","&amp;AD3&amp;","&amp;AE3&amp;","&amp;AF3&amp;","&amp;AG3&amp;","&amp;AH3</f>
        <v>18,21,32,54,90,180</v>
      </c>
      <c r="AB3" s="36">
        <f t="shared" ref="AB3:AB66" si="18">LEFT(T3,2)*2</f>
        <v>20</v>
      </c>
      <c r="AC3" s="36">
        <f t="shared" ref="AC3:AC6" si="19">INT($AB3*VLOOKUP(AC$1,$B$11:$L$16,11,0)*VLOOKUP($V3,$C$22:$M$29,11,0))</f>
        <v>18</v>
      </c>
      <c r="AD3" s="36">
        <f t="shared" ref="AD3:AH17" si="20">INT($AB3*VLOOKUP(AD$1,$B$11:$L$16,11,0)*VLOOKUP($V3,$C$22:$M$29,11,0))</f>
        <v>21</v>
      </c>
      <c r="AE3" s="36">
        <f t="shared" si="20"/>
        <v>32</v>
      </c>
      <c r="AF3" s="36">
        <f t="shared" si="20"/>
        <v>54</v>
      </c>
      <c r="AG3" s="36">
        <f t="shared" si="20"/>
        <v>90</v>
      </c>
      <c r="AH3" s="36">
        <f t="shared" si="20"/>
        <v>180</v>
      </c>
      <c r="AJ3" s="4" t="str">
        <f t="shared" ref="AJ3:AJ66" si="21">AL3&amp;","&amp;AM3&amp;","&amp;AN3&amp;","&amp;AO3&amp;","&amp;AP3&amp;","&amp;AQ3</f>
        <v>90,108,162,270,450,</v>
      </c>
      <c r="AK3" s="36">
        <f t="shared" ref="AK3:AK66" si="22">LEFT(T3,2)*10</f>
        <v>100</v>
      </c>
      <c r="AL3" s="36">
        <f t="shared" ref="AL3:AP65" si="23">INT($AK3*VLOOKUP(AL$1,$B$11:$L$16,11,0)*VLOOKUP($V3,$C$22:$M$29,11,0))</f>
        <v>90</v>
      </c>
      <c r="AM3" s="36">
        <f t="shared" si="1"/>
        <v>108</v>
      </c>
      <c r="AN3" s="36">
        <f t="shared" si="1"/>
        <v>162</v>
      </c>
      <c r="AO3" s="36">
        <f t="shared" si="1"/>
        <v>270</v>
      </c>
      <c r="AP3" s="36">
        <f t="shared" si="1"/>
        <v>450</v>
      </c>
      <c r="AR3" s="4" t="str">
        <f t="shared" ref="AR3:AR66" si="24">AT3&amp;","&amp;AU3&amp;","&amp;AV3&amp;","&amp;AW3&amp;","&amp;AX3&amp;","&amp;AY3</f>
        <v>7200,8640,12960,21600,36000,</v>
      </c>
      <c r="AS3" s="36">
        <f t="shared" ref="AS3:AS66" si="25">AK3*80</f>
        <v>8000</v>
      </c>
      <c r="AT3" s="36">
        <f t="shared" ref="AT3:AX65" si="26">INT($AS3*VLOOKUP(AT$1,$B$11:$L$16,11,0)*VLOOKUP($V3,$C$22:$M$29,11,0))</f>
        <v>7200</v>
      </c>
      <c r="AU3" s="36">
        <f t="shared" si="2"/>
        <v>8640</v>
      </c>
      <c r="AV3" s="36">
        <f t="shared" si="2"/>
        <v>12960</v>
      </c>
      <c r="AW3" s="36">
        <f t="shared" si="2"/>
        <v>21600</v>
      </c>
      <c r="AX3" s="36">
        <f t="shared" si="2"/>
        <v>36000</v>
      </c>
      <c r="AZ3" s="4">
        <f t="shared" ref="AZ3:AZ66" si="27">INT(LOOKUP($Y3,$B$34:$B$41,$D$34:$D$41)*VLOOKUP($V3,$C$22:$F$29,2,0))</f>
        <v>0</v>
      </c>
      <c r="BA3" s="4">
        <f t="shared" ref="BA3:BA66" si="28">INT(LOOKUP($Y3,$B$34:$B$41,$F$34:$F$41)*VLOOKUP($V3,$C$22:$F$29,3,0))</f>
        <v>2</v>
      </c>
      <c r="BB3" s="4">
        <f t="shared" ref="BB3:BB66" si="29">INT(LOOKUP($Y3,$B$34:$B$41,$I$34:$I$41)*VLOOKUP($V3,$C$22:$F$29,4,0))</f>
        <v>2</v>
      </c>
      <c r="BC3" s="35" t="str">
        <f t="shared" ref="BC3:BC66" si="30">IF(AZ3=0,"",AZ3&amp;",")</f>
        <v/>
      </c>
      <c r="BD3" s="35" t="str">
        <f t="shared" si="3"/>
        <v>2,2,2,</v>
      </c>
      <c r="BE3" s="35" t="str">
        <f t="shared" ref="BE3:BE66" si="31">IF(BB3=0,"",BB3&amp;",")</f>
        <v>2,</v>
      </c>
      <c r="BF3" s="36" t="str">
        <f t="shared" ref="BF3:BF66" si="32">IF(AZ3=0,"","1,")</f>
        <v/>
      </c>
      <c r="BG3" s="36" t="str">
        <f>IF(BA3=0,"",IF(Z3=0,"3,4,5",VLOOKUP(Z3,{1,3;2,4;3,5},2,0))&amp;",")</f>
        <v>3,4,5,</v>
      </c>
      <c r="BH3" s="36" t="str">
        <f t="shared" ref="BH3:BH66" si="33">IF(BB3=0,"","6,")</f>
        <v>6,</v>
      </c>
      <c r="BI3" s="34" t="str">
        <f t="shared" ref="BI3:BI66" si="34">LEFT(BF3&amp;BG3&amp;BH3,LEN(BF3&amp;BG3&amp;BH3)-1)</f>
        <v>3,4,5,6</v>
      </c>
      <c r="BJ3" s="34" t="str">
        <f>LEFT(BC3&amp;BD3&amp;BE3,LEN(BC3&amp;BD3&amp;BE3)-1)</f>
        <v>2,2,2,2</v>
      </c>
      <c r="BK3" s="34" t="str">
        <f t="shared" ref="BK3:BK66" si="35">BL3&amp;","&amp;BM3&amp;","&amp;BN3&amp;","&amp;BO3&amp;","&amp;BP3&amp;","&amp;BQ3</f>
        <v>0,2,4,6,12,24</v>
      </c>
      <c r="BL3" s="4">
        <f t="shared" si="4"/>
        <v>0</v>
      </c>
      <c r="BM3" s="4">
        <f t="shared" si="5"/>
        <v>2</v>
      </c>
      <c r="BN3" s="4">
        <f t="shared" si="6"/>
        <v>4</v>
      </c>
      <c r="BO3" s="4">
        <f t="shared" si="7"/>
        <v>6</v>
      </c>
      <c r="BP3" s="4">
        <f t="shared" si="8"/>
        <v>12</v>
      </c>
      <c r="BQ3" s="4">
        <f t="shared" si="9"/>
        <v>24</v>
      </c>
      <c r="BR3" s="34" t="str">
        <f t="shared" si="10"/>
        <v>2001,2002,2003,2004,2005,2006</v>
      </c>
      <c r="BS3" s="34" t="str">
        <f t="shared" ref="BS3:BS66" si="36">BT3&amp;","&amp;BU3&amp;","&amp;BV3&amp;","&amp;BW3&amp;","&amp;BX3&amp;","&amp;BY3</f>
        <v>20001,20002,20003,20004,20005,20006</v>
      </c>
      <c r="BT3" s="4">
        <f>VLOOKUP(LOOKUP($Y3,$K$48:$K$55,$L$48:$L$55)&amp;BT$1&amp;$W3,装备额外附加!$M:$O,3,0)</f>
        <v>20001</v>
      </c>
      <c r="BU3" s="4">
        <f>VLOOKUP(LOOKUP($Y3,$K$48:$K$55,$L$48:$L$55)&amp;BU$1&amp;$W3,装备额外附加!$M:$O,3,0)</f>
        <v>20002</v>
      </c>
      <c r="BV3" s="4">
        <f>VLOOKUP(LOOKUP($Y3,$K$48:$K$55,$L$48:$L$55)&amp;BV$1&amp;$W3,装备额外附加!$M:$O,3,0)</f>
        <v>20003</v>
      </c>
      <c r="BW3" s="4">
        <f>VLOOKUP(LOOKUP($Y3,$K$48:$K$55,$L$48:$L$55)&amp;BW$1&amp;$W3,装备额外附加!$M:$O,3,0)</f>
        <v>20004</v>
      </c>
      <c r="BX3" s="4">
        <f>VLOOKUP(LOOKUP($Y3,$K$48:$K$55,$L$48:$L$55)&amp;BX$1&amp;$W3,装备额外附加!$M:$O,3,0)</f>
        <v>20005</v>
      </c>
      <c r="BY3" s="4">
        <f>VLOOKUP(LOOKUP($Y3,$K$48:$K$55,$L$48:$L$55)&amp;BY$1&amp;$W3,装备额外附加!$M:$O,3,0)</f>
        <v>20006</v>
      </c>
    </row>
    <row r="4" spans="3:77">
      <c r="C4" s="4" t="s">
        <v>154</v>
      </c>
      <c r="R4" s="4" t="s">
        <v>155</v>
      </c>
      <c r="S4" s="4" t="str">
        <f t="shared" si="11"/>
        <v>101003</v>
      </c>
      <c r="T4" s="4" t="s">
        <v>156</v>
      </c>
      <c r="U4" s="36">
        <v>0</v>
      </c>
      <c r="V4" s="36" t="str">
        <f t="shared" si="12"/>
        <v>衣服</v>
      </c>
      <c r="W4" s="36" t="str">
        <f t="shared" si="13"/>
        <v>护甲</v>
      </c>
      <c r="X4" s="4">
        <f t="shared" si="14"/>
        <v>3</v>
      </c>
      <c r="Y4" s="4">
        <f t="shared" si="15"/>
        <v>5</v>
      </c>
      <c r="Z4" s="4">
        <f t="shared" si="16"/>
        <v>0</v>
      </c>
      <c r="AA4" s="4" t="str">
        <f t="shared" si="17"/>
        <v>18,21,32,54,90,180</v>
      </c>
      <c r="AB4" s="36">
        <f t="shared" si="18"/>
        <v>20</v>
      </c>
      <c r="AC4" s="36">
        <f t="shared" si="19"/>
        <v>18</v>
      </c>
      <c r="AD4" s="36">
        <f t="shared" si="20"/>
        <v>21</v>
      </c>
      <c r="AE4" s="36">
        <f t="shared" si="20"/>
        <v>32</v>
      </c>
      <c r="AF4" s="36">
        <f t="shared" si="20"/>
        <v>54</v>
      </c>
      <c r="AG4" s="36">
        <f t="shared" si="20"/>
        <v>90</v>
      </c>
      <c r="AH4" s="36">
        <f t="shared" si="20"/>
        <v>180</v>
      </c>
      <c r="AJ4" s="4" t="str">
        <f t="shared" si="21"/>
        <v>90,108,162,270,450,</v>
      </c>
      <c r="AK4" s="36">
        <f t="shared" si="22"/>
        <v>100</v>
      </c>
      <c r="AL4" s="36">
        <f t="shared" si="23"/>
        <v>90</v>
      </c>
      <c r="AM4" s="36">
        <f t="shared" si="1"/>
        <v>108</v>
      </c>
      <c r="AN4" s="36">
        <f t="shared" si="1"/>
        <v>162</v>
      </c>
      <c r="AO4" s="36">
        <f t="shared" si="1"/>
        <v>270</v>
      </c>
      <c r="AP4" s="36">
        <f t="shared" si="1"/>
        <v>450</v>
      </c>
      <c r="AR4" s="4" t="str">
        <f t="shared" si="24"/>
        <v>7200,8640,12960,21600,36000,</v>
      </c>
      <c r="AS4" s="36">
        <f t="shared" si="25"/>
        <v>8000</v>
      </c>
      <c r="AT4" s="36">
        <f t="shared" si="26"/>
        <v>7200</v>
      </c>
      <c r="AU4" s="36">
        <f t="shared" si="2"/>
        <v>8640</v>
      </c>
      <c r="AV4" s="36">
        <f t="shared" si="2"/>
        <v>12960</v>
      </c>
      <c r="AW4" s="36">
        <f t="shared" si="2"/>
        <v>21600</v>
      </c>
      <c r="AX4" s="36">
        <f t="shared" si="2"/>
        <v>36000</v>
      </c>
      <c r="AZ4" s="4">
        <f t="shared" si="27"/>
        <v>40</v>
      </c>
      <c r="BA4" s="4">
        <f t="shared" si="28"/>
        <v>0</v>
      </c>
      <c r="BB4" s="4">
        <f t="shared" si="29"/>
        <v>2</v>
      </c>
      <c r="BC4" s="35" t="str">
        <f t="shared" si="30"/>
        <v>40,</v>
      </c>
      <c r="BD4" s="35" t="str">
        <f t="shared" si="3"/>
        <v/>
      </c>
      <c r="BE4" s="35" t="str">
        <f t="shared" si="31"/>
        <v>2,</v>
      </c>
      <c r="BF4" s="36" t="str">
        <f t="shared" si="32"/>
        <v>1,</v>
      </c>
      <c r="BG4" s="36" t="str">
        <f>IF(BA4=0,"",IF(Z4=0,"3,4,5",VLOOKUP(Z4,{1,3;2,4;3,5},2,0))&amp;",")</f>
        <v/>
      </c>
      <c r="BH4" s="36" t="str">
        <f t="shared" si="33"/>
        <v>6,</v>
      </c>
      <c r="BI4" s="34" t="str">
        <f t="shared" si="34"/>
        <v>1,6</v>
      </c>
      <c r="BJ4" s="34" t="str">
        <f t="shared" ref="BJ4:BJ67" si="37">LEFT(BC4&amp;BD4&amp;BE4,LEN(BC4&amp;BD4&amp;BE4)-1)</f>
        <v>40,2</v>
      </c>
      <c r="BK4" s="34" t="str">
        <f t="shared" si="35"/>
        <v>0,2,4,6,12,24</v>
      </c>
      <c r="BL4" s="4">
        <f t="shared" si="4"/>
        <v>0</v>
      </c>
      <c r="BM4" s="4">
        <f t="shared" si="5"/>
        <v>2</v>
      </c>
      <c r="BN4" s="4">
        <f t="shared" si="6"/>
        <v>4</v>
      </c>
      <c r="BO4" s="4">
        <f t="shared" si="7"/>
        <v>6</v>
      </c>
      <c r="BP4" s="4">
        <f t="shared" si="8"/>
        <v>12</v>
      </c>
      <c r="BQ4" s="4">
        <f t="shared" si="9"/>
        <v>24</v>
      </c>
      <c r="BR4" s="34" t="str">
        <f t="shared" si="10"/>
        <v>2001,2002,2003,2004,2005,2006</v>
      </c>
      <c r="BS4" s="34" t="str">
        <f t="shared" si="36"/>
        <v>20001,20002,20003,20004,20005,20006</v>
      </c>
      <c r="BT4" s="4">
        <f>VLOOKUP(LOOKUP($Y4,$K$48:$K$55,$L$48:$L$55)&amp;BT$1&amp;$W4,装备额外附加!$M:$O,3,0)</f>
        <v>20001</v>
      </c>
      <c r="BU4" s="4">
        <f>VLOOKUP(LOOKUP($Y4,$K$48:$K$55,$L$48:$L$55)&amp;BU$1&amp;$W4,装备额外附加!$M:$O,3,0)</f>
        <v>20002</v>
      </c>
      <c r="BV4" s="4">
        <f>VLOOKUP(LOOKUP($Y4,$K$48:$K$55,$L$48:$L$55)&amp;BV$1&amp;$W4,装备额外附加!$M:$O,3,0)</f>
        <v>20003</v>
      </c>
      <c r="BW4" s="4">
        <f>VLOOKUP(LOOKUP($Y4,$K$48:$K$55,$L$48:$L$55)&amp;BW$1&amp;$W4,装备额外附加!$M:$O,3,0)</f>
        <v>20004</v>
      </c>
      <c r="BX4" s="4">
        <f>VLOOKUP(LOOKUP($Y4,$K$48:$K$55,$L$48:$L$55)&amp;BX$1&amp;$W4,装备额外附加!$M:$O,3,0)</f>
        <v>20005</v>
      </c>
      <c r="BY4" s="4">
        <f>VLOOKUP(LOOKUP($Y4,$K$48:$K$55,$L$48:$L$55)&amp;BY$1&amp;$W4,装备额外附加!$M:$O,3,0)</f>
        <v>20006</v>
      </c>
    </row>
    <row r="5" spans="18:77">
      <c r="R5" s="4" t="s">
        <v>157</v>
      </c>
      <c r="S5" s="4" t="str">
        <f t="shared" si="11"/>
        <v>101004</v>
      </c>
      <c r="T5" s="4" t="s">
        <v>158</v>
      </c>
      <c r="U5" s="36">
        <v>0</v>
      </c>
      <c r="V5" s="36" t="str">
        <f t="shared" si="12"/>
        <v>腰带</v>
      </c>
      <c r="W5" s="36" t="str">
        <f t="shared" si="13"/>
        <v>护甲</v>
      </c>
      <c r="X5" s="4">
        <f t="shared" si="14"/>
        <v>4</v>
      </c>
      <c r="Y5" s="4">
        <f t="shared" si="15"/>
        <v>8</v>
      </c>
      <c r="Z5" s="4">
        <f t="shared" si="16"/>
        <v>0</v>
      </c>
      <c r="AA5" s="4" t="str">
        <f t="shared" si="17"/>
        <v>16,19,28,48,80,160</v>
      </c>
      <c r="AB5" s="36">
        <f t="shared" si="18"/>
        <v>20</v>
      </c>
      <c r="AC5" s="36">
        <f t="shared" si="19"/>
        <v>16</v>
      </c>
      <c r="AD5" s="36">
        <f t="shared" si="20"/>
        <v>19</v>
      </c>
      <c r="AE5" s="36">
        <f t="shared" si="20"/>
        <v>28</v>
      </c>
      <c r="AF5" s="36">
        <f t="shared" si="20"/>
        <v>48</v>
      </c>
      <c r="AG5" s="36">
        <f t="shared" si="20"/>
        <v>80</v>
      </c>
      <c r="AH5" s="36">
        <f t="shared" si="20"/>
        <v>160</v>
      </c>
      <c r="AJ5" s="4" t="str">
        <f t="shared" si="21"/>
        <v>80,96,144,240,400,</v>
      </c>
      <c r="AK5" s="36">
        <f t="shared" si="22"/>
        <v>100</v>
      </c>
      <c r="AL5" s="36">
        <f t="shared" si="23"/>
        <v>80</v>
      </c>
      <c r="AM5" s="36">
        <f t="shared" si="1"/>
        <v>96</v>
      </c>
      <c r="AN5" s="36">
        <f t="shared" si="1"/>
        <v>144</v>
      </c>
      <c r="AO5" s="36">
        <f t="shared" si="1"/>
        <v>240</v>
      </c>
      <c r="AP5" s="36">
        <f t="shared" si="1"/>
        <v>400</v>
      </c>
      <c r="AR5" s="4" t="str">
        <f t="shared" si="24"/>
        <v>6400,7680,11520,19200,32000,</v>
      </c>
      <c r="AS5" s="36">
        <f t="shared" si="25"/>
        <v>8000</v>
      </c>
      <c r="AT5" s="36">
        <f t="shared" si="26"/>
        <v>6400</v>
      </c>
      <c r="AU5" s="36">
        <f t="shared" si="2"/>
        <v>7680</v>
      </c>
      <c r="AV5" s="36">
        <f t="shared" si="2"/>
        <v>11520</v>
      </c>
      <c r="AW5" s="36">
        <f t="shared" si="2"/>
        <v>19200</v>
      </c>
      <c r="AX5" s="36">
        <f t="shared" si="2"/>
        <v>32000</v>
      </c>
      <c r="AZ5" s="4">
        <f t="shared" si="27"/>
        <v>20</v>
      </c>
      <c r="BA5" s="4">
        <f t="shared" si="28"/>
        <v>0</v>
      </c>
      <c r="BB5" s="4">
        <f t="shared" si="29"/>
        <v>1</v>
      </c>
      <c r="BC5" s="35" t="str">
        <f t="shared" si="30"/>
        <v>20,</v>
      </c>
      <c r="BD5" s="35" t="str">
        <f t="shared" si="3"/>
        <v/>
      </c>
      <c r="BE5" s="35" t="str">
        <f t="shared" si="31"/>
        <v>1,</v>
      </c>
      <c r="BF5" s="36" t="str">
        <f t="shared" si="32"/>
        <v>1,</v>
      </c>
      <c r="BG5" s="36" t="str">
        <f>IF(BA5=0,"",IF(Z5=0,"3,4,5",VLOOKUP(Z5,{1,3;2,4;3,5},2,0))&amp;",")</f>
        <v/>
      </c>
      <c r="BH5" s="36" t="str">
        <f t="shared" si="33"/>
        <v>6,</v>
      </c>
      <c r="BI5" s="34" t="str">
        <f t="shared" si="34"/>
        <v>1,6</v>
      </c>
      <c r="BJ5" s="34" t="str">
        <f t="shared" si="37"/>
        <v>20,1</v>
      </c>
      <c r="BK5" s="34" t="str">
        <f t="shared" si="35"/>
        <v>0,2,4,6,12,24</v>
      </c>
      <c r="BL5" s="4">
        <f t="shared" si="4"/>
        <v>0</v>
      </c>
      <c r="BM5" s="4">
        <f t="shared" si="5"/>
        <v>2</v>
      </c>
      <c r="BN5" s="4">
        <f t="shared" si="6"/>
        <v>4</v>
      </c>
      <c r="BO5" s="4">
        <f t="shared" si="7"/>
        <v>6</v>
      </c>
      <c r="BP5" s="4">
        <f t="shared" si="8"/>
        <v>12</v>
      </c>
      <c r="BQ5" s="4">
        <f t="shared" si="9"/>
        <v>24</v>
      </c>
      <c r="BR5" s="34" t="str">
        <f t="shared" si="10"/>
        <v>2001,2002,2003,2004,2005,2006</v>
      </c>
      <c r="BS5" s="34" t="str">
        <f t="shared" si="36"/>
        <v>20001,20002,20003,20004,20005,20006</v>
      </c>
      <c r="BT5" s="4">
        <f>VLOOKUP(LOOKUP($Y5,$K$48:$K$55,$L$48:$L$55)&amp;BT$1&amp;$W5,装备额外附加!$M:$O,3,0)</f>
        <v>20001</v>
      </c>
      <c r="BU5" s="4">
        <f>VLOOKUP(LOOKUP($Y5,$K$48:$K$55,$L$48:$L$55)&amp;BU$1&amp;$W5,装备额外附加!$M:$O,3,0)</f>
        <v>20002</v>
      </c>
      <c r="BV5" s="4">
        <f>VLOOKUP(LOOKUP($Y5,$K$48:$K$55,$L$48:$L$55)&amp;BV$1&amp;$W5,装备额外附加!$M:$O,3,0)</f>
        <v>20003</v>
      </c>
      <c r="BW5" s="4">
        <f>VLOOKUP(LOOKUP($Y5,$K$48:$K$55,$L$48:$L$55)&amp;BW$1&amp;$W5,装备额外附加!$M:$O,3,0)</f>
        <v>20004</v>
      </c>
      <c r="BX5" s="4">
        <f>VLOOKUP(LOOKUP($Y5,$K$48:$K$55,$L$48:$L$55)&amp;BX$1&amp;$W5,装备额外附加!$M:$O,3,0)</f>
        <v>20005</v>
      </c>
      <c r="BY5" s="4">
        <f>VLOOKUP(LOOKUP($Y5,$K$48:$K$55,$L$48:$L$55)&amp;BY$1&amp;$W5,装备额外附加!$M:$O,3,0)</f>
        <v>20006</v>
      </c>
    </row>
    <row r="6" spans="4:77">
      <c r="D6" s="4">
        <v>0.9</v>
      </c>
      <c r="E6" s="4">
        <v>0.6</v>
      </c>
      <c r="F6" s="4">
        <v>0.6</v>
      </c>
      <c r="I6" s="4">
        <v>0.6</v>
      </c>
      <c r="R6" s="4" t="s">
        <v>159</v>
      </c>
      <c r="S6" s="4" t="str">
        <f t="shared" si="11"/>
        <v>101005</v>
      </c>
      <c r="T6" s="4" t="s">
        <v>160</v>
      </c>
      <c r="U6" s="36">
        <v>0</v>
      </c>
      <c r="V6" s="36" t="str">
        <f t="shared" si="12"/>
        <v>鞋子</v>
      </c>
      <c r="W6" s="36" t="str">
        <f t="shared" si="13"/>
        <v>护甲</v>
      </c>
      <c r="X6" s="4">
        <f t="shared" si="14"/>
        <v>5</v>
      </c>
      <c r="Y6" s="4">
        <f t="shared" si="15"/>
        <v>2</v>
      </c>
      <c r="Z6" s="4">
        <f t="shared" si="16"/>
        <v>0</v>
      </c>
      <c r="AA6" s="4" t="str">
        <f t="shared" si="17"/>
        <v>16,19,28,48,80,160</v>
      </c>
      <c r="AB6" s="36">
        <f t="shared" si="18"/>
        <v>20</v>
      </c>
      <c r="AC6" s="36">
        <f t="shared" si="19"/>
        <v>16</v>
      </c>
      <c r="AD6" s="36">
        <f t="shared" si="20"/>
        <v>19</v>
      </c>
      <c r="AE6" s="36">
        <f t="shared" si="20"/>
        <v>28</v>
      </c>
      <c r="AF6" s="36">
        <f t="shared" si="20"/>
        <v>48</v>
      </c>
      <c r="AG6" s="36">
        <f t="shared" si="20"/>
        <v>80</v>
      </c>
      <c r="AH6" s="36">
        <f t="shared" si="20"/>
        <v>160</v>
      </c>
      <c r="AJ6" s="4" t="str">
        <f t="shared" si="21"/>
        <v>80,96,144,240,400,</v>
      </c>
      <c r="AK6" s="36">
        <f t="shared" si="22"/>
        <v>100</v>
      </c>
      <c r="AL6" s="36">
        <f t="shared" si="23"/>
        <v>80</v>
      </c>
      <c r="AM6" s="36">
        <f t="shared" si="1"/>
        <v>96</v>
      </c>
      <c r="AN6" s="36">
        <f t="shared" si="1"/>
        <v>144</v>
      </c>
      <c r="AO6" s="36">
        <f t="shared" si="1"/>
        <v>240</v>
      </c>
      <c r="AP6" s="36">
        <f t="shared" si="1"/>
        <v>400</v>
      </c>
      <c r="AR6" s="4" t="str">
        <f t="shared" si="24"/>
        <v>6400,7680,11520,19200,32000,</v>
      </c>
      <c r="AS6" s="36">
        <f t="shared" si="25"/>
        <v>8000</v>
      </c>
      <c r="AT6" s="36">
        <f t="shared" si="26"/>
        <v>6400</v>
      </c>
      <c r="AU6" s="36">
        <f t="shared" si="2"/>
        <v>7680</v>
      </c>
      <c r="AV6" s="36">
        <f t="shared" si="2"/>
        <v>11520</v>
      </c>
      <c r="AW6" s="36">
        <f t="shared" si="2"/>
        <v>19200</v>
      </c>
      <c r="AX6" s="36">
        <f t="shared" si="2"/>
        <v>32000</v>
      </c>
      <c r="AZ6" s="4">
        <f t="shared" si="27"/>
        <v>20</v>
      </c>
      <c r="BA6" s="4">
        <f t="shared" si="28"/>
        <v>0</v>
      </c>
      <c r="BB6" s="4">
        <f t="shared" si="29"/>
        <v>1</v>
      </c>
      <c r="BC6" s="35" t="str">
        <f t="shared" si="30"/>
        <v>20,</v>
      </c>
      <c r="BD6" s="35" t="str">
        <f t="shared" si="3"/>
        <v/>
      </c>
      <c r="BE6" s="35" t="str">
        <f t="shared" si="31"/>
        <v>1,</v>
      </c>
      <c r="BF6" s="36" t="str">
        <f t="shared" si="32"/>
        <v>1,</v>
      </c>
      <c r="BG6" s="36" t="str">
        <f>IF(BA6=0,"",IF(Z6=0,"3,4,5",VLOOKUP(Z6,{1,3;2,4;3,5},2,0))&amp;",")</f>
        <v/>
      </c>
      <c r="BH6" s="36" t="str">
        <f t="shared" si="33"/>
        <v>6,</v>
      </c>
      <c r="BI6" s="34" t="str">
        <f t="shared" si="34"/>
        <v>1,6</v>
      </c>
      <c r="BJ6" s="34" t="str">
        <f t="shared" si="37"/>
        <v>20,1</v>
      </c>
      <c r="BK6" s="34" t="str">
        <f t="shared" si="35"/>
        <v>0,2,4,6,12,24</v>
      </c>
      <c r="BL6" s="4">
        <f t="shared" si="4"/>
        <v>0</v>
      </c>
      <c r="BM6" s="4">
        <f t="shared" si="5"/>
        <v>2</v>
      </c>
      <c r="BN6" s="4">
        <f t="shared" si="6"/>
        <v>4</v>
      </c>
      <c r="BO6" s="4">
        <f t="shared" si="7"/>
        <v>6</v>
      </c>
      <c r="BP6" s="4">
        <f t="shared" si="8"/>
        <v>12</v>
      </c>
      <c r="BQ6" s="4">
        <f t="shared" si="9"/>
        <v>24</v>
      </c>
      <c r="BR6" s="34" t="str">
        <f t="shared" si="10"/>
        <v>2001,2002,2003,2004,2005,2006</v>
      </c>
      <c r="BS6" s="34" t="str">
        <f t="shared" si="36"/>
        <v>20001,20002,20003,20004,20005,20006</v>
      </c>
      <c r="BT6" s="4">
        <f>VLOOKUP(LOOKUP($Y6,$K$48:$K$55,$L$48:$L$55)&amp;BT$1&amp;$W6,装备额外附加!$M:$O,3,0)</f>
        <v>20001</v>
      </c>
      <c r="BU6" s="4">
        <f>VLOOKUP(LOOKUP($Y6,$K$48:$K$55,$L$48:$L$55)&amp;BU$1&amp;$W6,装备额外附加!$M:$O,3,0)</f>
        <v>20002</v>
      </c>
      <c r="BV6" s="4">
        <f>VLOOKUP(LOOKUP($Y6,$K$48:$K$55,$L$48:$L$55)&amp;BV$1&amp;$W6,装备额外附加!$M:$O,3,0)</f>
        <v>20003</v>
      </c>
      <c r="BW6" s="4">
        <f>VLOOKUP(LOOKUP($Y6,$K$48:$K$55,$L$48:$L$55)&amp;BW$1&amp;$W6,装备额外附加!$M:$O,3,0)</f>
        <v>20004</v>
      </c>
      <c r="BX6" s="4">
        <f>VLOOKUP(LOOKUP($Y6,$K$48:$K$55,$L$48:$L$55)&amp;BX$1&amp;$W6,装备额外附加!$M:$O,3,0)</f>
        <v>20005</v>
      </c>
      <c r="BY6" s="4">
        <f>VLOOKUP(LOOKUP($Y6,$K$48:$K$55,$L$48:$L$55)&amp;BY$1&amp;$W6,装备额外附加!$M:$O,3,0)</f>
        <v>20006</v>
      </c>
    </row>
    <row r="7" spans="3:77">
      <c r="C7" s="41"/>
      <c r="D7" s="42" t="s">
        <v>10</v>
      </c>
      <c r="E7" s="42" t="s">
        <v>12</v>
      </c>
      <c r="F7" s="42" t="s">
        <v>13</v>
      </c>
      <c r="G7" s="42" t="s">
        <v>14</v>
      </c>
      <c r="H7" s="42" t="s">
        <v>15</v>
      </c>
      <c r="I7" s="42" t="s">
        <v>17</v>
      </c>
      <c r="J7" s="42" t="s">
        <v>90</v>
      </c>
      <c r="K7" s="42" t="s">
        <v>19</v>
      </c>
      <c r="R7" s="4" t="s">
        <v>161</v>
      </c>
      <c r="S7" s="4" t="str">
        <f t="shared" si="11"/>
        <v>102001</v>
      </c>
      <c r="T7" s="4" t="s">
        <v>162</v>
      </c>
      <c r="U7" s="36">
        <v>10</v>
      </c>
      <c r="V7" s="36" t="str">
        <f t="shared" si="12"/>
        <v>武器</v>
      </c>
      <c r="W7" s="36" t="str">
        <f t="shared" si="13"/>
        <v>武器</v>
      </c>
      <c r="X7" s="4">
        <f t="shared" si="14"/>
        <v>1</v>
      </c>
      <c r="Y7" s="4">
        <f t="shared" si="15"/>
        <v>11</v>
      </c>
      <c r="Z7" s="4">
        <f t="shared" si="16"/>
        <v>0</v>
      </c>
      <c r="AA7" s="4" t="str">
        <f t="shared" si="17"/>
        <v>40,48,72,120,200,400</v>
      </c>
      <c r="AB7" s="36">
        <f t="shared" si="18"/>
        <v>40</v>
      </c>
      <c r="AC7" s="36">
        <f t="shared" ref="AC7:AC38" si="38">INT($AB7*VLOOKUP(AC$1,$B$11:$L$16,11,0)*VLOOKUP($V7,$C$22:$M$29,11,0))</f>
        <v>40</v>
      </c>
      <c r="AD7" s="36">
        <f t="shared" si="20"/>
        <v>48</v>
      </c>
      <c r="AE7" s="36">
        <f t="shared" si="20"/>
        <v>72</v>
      </c>
      <c r="AF7" s="36">
        <f t="shared" si="20"/>
        <v>120</v>
      </c>
      <c r="AG7" s="36">
        <f t="shared" si="20"/>
        <v>200</v>
      </c>
      <c r="AH7" s="36">
        <f t="shared" si="20"/>
        <v>400</v>
      </c>
      <c r="AJ7" s="4" t="str">
        <f t="shared" si="21"/>
        <v>200,240,360,600,1000,</v>
      </c>
      <c r="AK7" s="36">
        <f t="shared" si="22"/>
        <v>200</v>
      </c>
      <c r="AL7" s="36">
        <f t="shared" si="23"/>
        <v>200</v>
      </c>
      <c r="AM7" s="36">
        <f t="shared" si="1"/>
        <v>240</v>
      </c>
      <c r="AN7" s="36">
        <f t="shared" si="1"/>
        <v>360</v>
      </c>
      <c r="AO7" s="36">
        <f t="shared" si="1"/>
        <v>600</v>
      </c>
      <c r="AP7" s="36">
        <f t="shared" si="1"/>
        <v>1000</v>
      </c>
      <c r="AR7" s="4" t="str">
        <f t="shared" si="24"/>
        <v>16000,19200,28800,48000,80000,</v>
      </c>
      <c r="AS7" s="36">
        <f t="shared" si="25"/>
        <v>16000</v>
      </c>
      <c r="AT7" s="36">
        <f t="shared" si="26"/>
        <v>16000</v>
      </c>
      <c r="AU7" s="36">
        <f t="shared" si="2"/>
        <v>19200</v>
      </c>
      <c r="AV7" s="36">
        <f t="shared" si="2"/>
        <v>28800</v>
      </c>
      <c r="AW7" s="36">
        <f t="shared" si="2"/>
        <v>48000</v>
      </c>
      <c r="AX7" s="36">
        <f t="shared" si="2"/>
        <v>80000</v>
      </c>
      <c r="AZ7" s="4">
        <f t="shared" si="27"/>
        <v>0</v>
      </c>
      <c r="BA7" s="4">
        <f t="shared" si="28"/>
        <v>6</v>
      </c>
      <c r="BB7" s="4">
        <f t="shared" si="29"/>
        <v>0</v>
      </c>
      <c r="BC7" s="35" t="str">
        <f t="shared" si="30"/>
        <v/>
      </c>
      <c r="BD7" s="35" t="str">
        <f t="shared" si="3"/>
        <v>6,6,6,</v>
      </c>
      <c r="BE7" s="35" t="str">
        <f t="shared" si="31"/>
        <v/>
      </c>
      <c r="BF7" s="36" t="str">
        <f t="shared" si="32"/>
        <v/>
      </c>
      <c r="BG7" s="36" t="str">
        <f>IF(BA7=0,"",IF(Z7=0,"3,4,5",VLOOKUP(Z7,{1,3;2,4;3,5},2,0))&amp;",")</f>
        <v>3,4,5,</v>
      </c>
      <c r="BH7" s="36" t="str">
        <f t="shared" si="33"/>
        <v/>
      </c>
      <c r="BI7" s="34" t="str">
        <f t="shared" si="34"/>
        <v>3,4,5</v>
      </c>
      <c r="BJ7" s="34" t="str">
        <f t="shared" si="37"/>
        <v>6,6,6</v>
      </c>
      <c r="BK7" s="34" t="str">
        <f t="shared" si="35"/>
        <v>0,4,7,10,22,45</v>
      </c>
      <c r="BL7" s="4">
        <f t="shared" si="4"/>
        <v>0</v>
      </c>
      <c r="BM7" s="4">
        <f t="shared" si="5"/>
        <v>4</v>
      </c>
      <c r="BN7" s="4">
        <f t="shared" si="6"/>
        <v>7</v>
      </c>
      <c r="BO7" s="4">
        <f t="shared" si="7"/>
        <v>10</v>
      </c>
      <c r="BP7" s="4">
        <f t="shared" si="8"/>
        <v>22</v>
      </c>
      <c r="BQ7" s="4">
        <f t="shared" si="9"/>
        <v>45</v>
      </c>
      <c r="BR7" s="34" t="str">
        <f t="shared" si="10"/>
        <v>1001,1002,1003,1004,1005,1006</v>
      </c>
      <c r="BS7" s="34" t="str">
        <f t="shared" si="36"/>
        <v>10001,10002,10003,10004,10005,10006</v>
      </c>
      <c r="BT7" s="4">
        <f>VLOOKUP(LOOKUP($Y7,$K$48:$K$55,$L$48:$L$55)&amp;BT$1&amp;$W7,装备额外附加!$M:$O,3,0)</f>
        <v>10001</v>
      </c>
      <c r="BU7" s="4">
        <f>VLOOKUP(LOOKUP($Y7,$K$48:$K$55,$L$48:$L$55)&amp;BU$1&amp;$W7,装备额外附加!$M:$O,3,0)</f>
        <v>10002</v>
      </c>
      <c r="BV7" s="4">
        <f>VLOOKUP(LOOKUP($Y7,$K$48:$K$55,$L$48:$L$55)&amp;BV$1&amp;$W7,装备额外附加!$M:$O,3,0)</f>
        <v>10003</v>
      </c>
      <c r="BW7" s="4">
        <f>VLOOKUP(LOOKUP($Y7,$K$48:$K$55,$L$48:$L$55)&amp;BW$1&amp;$W7,装备额外附加!$M:$O,3,0)</f>
        <v>10004</v>
      </c>
      <c r="BX7" s="4">
        <f>VLOOKUP(LOOKUP($Y7,$K$48:$K$55,$L$48:$L$55)&amp;BX$1&amp;$W7,装备额外附加!$M:$O,3,0)</f>
        <v>10005</v>
      </c>
      <c r="BY7" s="4">
        <f>VLOOKUP(LOOKUP($Y7,$K$48:$K$55,$L$48:$L$55)&amp;BY$1&amp;$W7,装备额外附加!$M:$O,3,0)</f>
        <v>10006</v>
      </c>
    </row>
    <row r="8" spans="1:77">
      <c r="A8" s="43" t="s">
        <v>163</v>
      </c>
      <c r="B8" s="41"/>
      <c r="C8" s="41"/>
      <c r="D8" s="44">
        <f>职业基础属性!D3*$D$6*1.5</f>
        <v>1350</v>
      </c>
      <c r="E8" s="44">
        <f>职业基础属性!E3*E6</f>
        <v>180</v>
      </c>
      <c r="F8" s="44">
        <f>职业基础属性!F3*F6</f>
        <v>120</v>
      </c>
      <c r="G8" s="44">
        <f>F8</f>
        <v>120</v>
      </c>
      <c r="H8" s="44">
        <f>F8</f>
        <v>120</v>
      </c>
      <c r="I8" s="44">
        <f>职业基础属性!I3*I6</f>
        <v>60</v>
      </c>
      <c r="J8" s="44"/>
      <c r="K8" s="44">
        <v>9</v>
      </c>
      <c r="R8" s="4" t="s">
        <v>164</v>
      </c>
      <c r="S8" s="4" t="str">
        <f t="shared" si="11"/>
        <v>102002</v>
      </c>
      <c r="T8" s="4" t="s">
        <v>165</v>
      </c>
      <c r="U8" s="36">
        <v>10</v>
      </c>
      <c r="V8" s="36" t="str">
        <f t="shared" si="12"/>
        <v>头盔</v>
      </c>
      <c r="W8" s="36" t="str">
        <f t="shared" si="13"/>
        <v>护甲</v>
      </c>
      <c r="X8" s="4">
        <f t="shared" si="14"/>
        <v>2</v>
      </c>
      <c r="Y8" s="4">
        <f t="shared" si="15"/>
        <v>17</v>
      </c>
      <c r="Z8" s="4">
        <f t="shared" si="16"/>
        <v>0</v>
      </c>
      <c r="AA8" s="4" t="str">
        <f t="shared" si="17"/>
        <v>36,43,64,108,180,360</v>
      </c>
      <c r="AB8" s="36">
        <f t="shared" si="18"/>
        <v>40</v>
      </c>
      <c r="AC8" s="36">
        <f t="shared" si="38"/>
        <v>36</v>
      </c>
      <c r="AD8" s="36">
        <f t="shared" si="20"/>
        <v>43</v>
      </c>
      <c r="AE8" s="36">
        <f t="shared" si="20"/>
        <v>64</v>
      </c>
      <c r="AF8" s="36">
        <f t="shared" si="20"/>
        <v>108</v>
      </c>
      <c r="AG8" s="36">
        <f t="shared" si="20"/>
        <v>180</v>
      </c>
      <c r="AH8" s="36">
        <f t="shared" si="20"/>
        <v>360</v>
      </c>
      <c r="AJ8" s="4" t="str">
        <f t="shared" si="21"/>
        <v>180,216,324,540,900,</v>
      </c>
      <c r="AK8" s="36">
        <f t="shared" si="22"/>
        <v>200</v>
      </c>
      <c r="AL8" s="36">
        <f t="shared" si="23"/>
        <v>180</v>
      </c>
      <c r="AM8" s="36">
        <f t="shared" si="1"/>
        <v>216</v>
      </c>
      <c r="AN8" s="36">
        <f t="shared" si="1"/>
        <v>324</v>
      </c>
      <c r="AO8" s="36">
        <f t="shared" si="1"/>
        <v>540</v>
      </c>
      <c r="AP8" s="36">
        <f t="shared" si="1"/>
        <v>900</v>
      </c>
      <c r="AR8" s="4" t="str">
        <f t="shared" si="24"/>
        <v>14400,17280,25920,43200,72000,</v>
      </c>
      <c r="AS8" s="36">
        <f t="shared" si="25"/>
        <v>16000</v>
      </c>
      <c r="AT8" s="36">
        <f t="shared" si="26"/>
        <v>14400</v>
      </c>
      <c r="AU8" s="36">
        <f t="shared" si="2"/>
        <v>17280</v>
      </c>
      <c r="AV8" s="36">
        <f t="shared" si="2"/>
        <v>25920</v>
      </c>
      <c r="AW8" s="36">
        <f t="shared" si="2"/>
        <v>43200</v>
      </c>
      <c r="AX8" s="36">
        <f t="shared" si="2"/>
        <v>72000</v>
      </c>
      <c r="AZ8" s="4">
        <f t="shared" si="27"/>
        <v>0</v>
      </c>
      <c r="BA8" s="4">
        <f t="shared" si="28"/>
        <v>3</v>
      </c>
      <c r="BB8" s="4">
        <f t="shared" si="29"/>
        <v>2</v>
      </c>
      <c r="BC8" s="35" t="str">
        <f t="shared" si="30"/>
        <v/>
      </c>
      <c r="BD8" s="35" t="str">
        <f t="shared" si="3"/>
        <v>3,3,3,</v>
      </c>
      <c r="BE8" s="35" t="str">
        <f t="shared" si="31"/>
        <v>2,</v>
      </c>
      <c r="BF8" s="36" t="str">
        <f t="shared" si="32"/>
        <v/>
      </c>
      <c r="BG8" s="36" t="str">
        <f>IF(BA8=0,"",IF(Z8=0,"3,4,5",VLOOKUP(Z8,{1,3;2,4;3,5},2,0))&amp;",")</f>
        <v>3,4,5,</v>
      </c>
      <c r="BH8" s="36" t="str">
        <f t="shared" si="33"/>
        <v>6,</v>
      </c>
      <c r="BI8" s="34" t="str">
        <f t="shared" si="34"/>
        <v>3,4,5,6</v>
      </c>
      <c r="BJ8" s="34" t="str">
        <f t="shared" si="37"/>
        <v>3,3,3,2</v>
      </c>
      <c r="BK8" s="34" t="str">
        <f t="shared" si="35"/>
        <v>0,3,5,7,15,30</v>
      </c>
      <c r="BL8" s="4">
        <f t="shared" si="4"/>
        <v>0</v>
      </c>
      <c r="BM8" s="4">
        <f t="shared" si="5"/>
        <v>3</v>
      </c>
      <c r="BN8" s="4">
        <f t="shared" si="6"/>
        <v>5</v>
      </c>
      <c r="BO8" s="4">
        <f t="shared" si="7"/>
        <v>7</v>
      </c>
      <c r="BP8" s="4">
        <f t="shared" si="8"/>
        <v>15</v>
      </c>
      <c r="BQ8" s="4">
        <f t="shared" si="9"/>
        <v>30</v>
      </c>
      <c r="BR8" s="34" t="str">
        <f t="shared" si="10"/>
        <v>2001,2002,2003,2004,2005,2006</v>
      </c>
      <c r="BS8" s="34" t="str">
        <f t="shared" si="36"/>
        <v>20001,20002,20003,20004,20005,20006</v>
      </c>
      <c r="BT8" s="4">
        <f>VLOOKUP(LOOKUP($Y8,$K$48:$K$55,$L$48:$L$55)&amp;BT$1&amp;$W8,装备额外附加!$M:$O,3,0)</f>
        <v>20001</v>
      </c>
      <c r="BU8" s="4">
        <f>VLOOKUP(LOOKUP($Y8,$K$48:$K$55,$L$48:$L$55)&amp;BU$1&amp;$W8,装备额外附加!$M:$O,3,0)</f>
        <v>20002</v>
      </c>
      <c r="BV8" s="4">
        <f>VLOOKUP(LOOKUP($Y8,$K$48:$K$55,$L$48:$L$55)&amp;BV$1&amp;$W8,装备额外附加!$M:$O,3,0)</f>
        <v>20003</v>
      </c>
      <c r="BW8" s="4">
        <f>VLOOKUP(LOOKUP($Y8,$K$48:$K$55,$L$48:$L$55)&amp;BW$1&amp;$W8,装备额外附加!$M:$O,3,0)</f>
        <v>20004</v>
      </c>
      <c r="BX8" s="4">
        <f>VLOOKUP(LOOKUP($Y8,$K$48:$K$55,$L$48:$L$55)&amp;BX$1&amp;$W8,装备额外附加!$M:$O,3,0)</f>
        <v>20005</v>
      </c>
      <c r="BY8" s="4">
        <f>VLOOKUP(LOOKUP($Y8,$K$48:$K$55,$L$48:$L$55)&amp;BY$1&amp;$W8,装备额外附加!$M:$O,3,0)</f>
        <v>20006</v>
      </c>
    </row>
    <row r="9" spans="2:77">
      <c r="B9" s="45"/>
      <c r="C9" s="45"/>
      <c r="D9" s="46"/>
      <c r="E9" s="46"/>
      <c r="F9" s="46"/>
      <c r="G9" s="46"/>
      <c r="H9" s="46"/>
      <c r="I9" s="46"/>
      <c r="J9" s="46"/>
      <c r="K9" s="46"/>
      <c r="R9" s="4" t="s">
        <v>166</v>
      </c>
      <c r="S9" s="4" t="str">
        <f t="shared" si="11"/>
        <v>102003</v>
      </c>
      <c r="T9" s="4" t="s">
        <v>167</v>
      </c>
      <c r="U9" s="36">
        <v>10</v>
      </c>
      <c r="V9" s="36" t="str">
        <f t="shared" si="12"/>
        <v>衣服</v>
      </c>
      <c r="W9" s="36" t="str">
        <f t="shared" si="13"/>
        <v>护甲</v>
      </c>
      <c r="X9" s="4">
        <f t="shared" si="14"/>
        <v>3</v>
      </c>
      <c r="Y9" s="4">
        <f t="shared" si="15"/>
        <v>15</v>
      </c>
      <c r="Z9" s="4">
        <f t="shared" si="16"/>
        <v>0</v>
      </c>
      <c r="AA9" s="4" t="str">
        <f t="shared" si="17"/>
        <v>36,43,64,108,180,360</v>
      </c>
      <c r="AB9" s="36">
        <f t="shared" si="18"/>
        <v>40</v>
      </c>
      <c r="AC9" s="36">
        <f t="shared" si="38"/>
        <v>36</v>
      </c>
      <c r="AD9" s="36">
        <f t="shared" si="20"/>
        <v>43</v>
      </c>
      <c r="AE9" s="36">
        <f t="shared" si="20"/>
        <v>64</v>
      </c>
      <c r="AF9" s="36">
        <f t="shared" si="20"/>
        <v>108</v>
      </c>
      <c r="AG9" s="36">
        <f t="shared" si="20"/>
        <v>180</v>
      </c>
      <c r="AH9" s="36">
        <f t="shared" si="20"/>
        <v>360</v>
      </c>
      <c r="AJ9" s="4" t="str">
        <f t="shared" si="21"/>
        <v>180,216,324,540,900,</v>
      </c>
      <c r="AK9" s="36">
        <f t="shared" si="22"/>
        <v>200</v>
      </c>
      <c r="AL9" s="36">
        <f t="shared" si="23"/>
        <v>180</v>
      </c>
      <c r="AM9" s="36">
        <f t="shared" si="1"/>
        <v>216</v>
      </c>
      <c r="AN9" s="36">
        <f t="shared" si="1"/>
        <v>324</v>
      </c>
      <c r="AO9" s="36">
        <f t="shared" si="1"/>
        <v>540</v>
      </c>
      <c r="AP9" s="36">
        <f t="shared" si="1"/>
        <v>900</v>
      </c>
      <c r="AR9" s="4" t="str">
        <f t="shared" si="24"/>
        <v>14400,17280,25920,43200,72000,</v>
      </c>
      <c r="AS9" s="36">
        <f t="shared" si="25"/>
        <v>16000</v>
      </c>
      <c r="AT9" s="36">
        <f t="shared" si="26"/>
        <v>14400</v>
      </c>
      <c r="AU9" s="36">
        <f t="shared" si="2"/>
        <v>17280</v>
      </c>
      <c r="AV9" s="36">
        <f t="shared" si="2"/>
        <v>25920</v>
      </c>
      <c r="AW9" s="36">
        <f t="shared" si="2"/>
        <v>43200</v>
      </c>
      <c r="AX9" s="36">
        <f t="shared" si="2"/>
        <v>72000</v>
      </c>
      <c r="AZ9" s="4">
        <f t="shared" si="27"/>
        <v>51</v>
      </c>
      <c r="BA9" s="4">
        <f t="shared" si="28"/>
        <v>0</v>
      </c>
      <c r="BB9" s="4">
        <f t="shared" si="29"/>
        <v>2</v>
      </c>
      <c r="BC9" s="35" t="str">
        <f t="shared" si="30"/>
        <v>51,</v>
      </c>
      <c r="BD9" s="35" t="str">
        <f t="shared" si="3"/>
        <v/>
      </c>
      <c r="BE9" s="35" t="str">
        <f t="shared" si="31"/>
        <v>2,</v>
      </c>
      <c r="BF9" s="36" t="str">
        <f t="shared" si="32"/>
        <v>1,</v>
      </c>
      <c r="BG9" s="36" t="str">
        <f>IF(BA9=0,"",IF(Z9=0,"3,4,5",VLOOKUP(Z9,{1,3;2,4;3,5},2,0))&amp;",")</f>
        <v/>
      </c>
      <c r="BH9" s="36" t="str">
        <f t="shared" si="33"/>
        <v>6,</v>
      </c>
      <c r="BI9" s="34" t="str">
        <f t="shared" si="34"/>
        <v>1,6</v>
      </c>
      <c r="BJ9" s="34" t="str">
        <f t="shared" si="37"/>
        <v>51,2</v>
      </c>
      <c r="BK9" s="34" t="str">
        <f t="shared" si="35"/>
        <v>0,3,5,7,15,30</v>
      </c>
      <c r="BL9" s="4">
        <f t="shared" si="4"/>
        <v>0</v>
      </c>
      <c r="BM9" s="4">
        <f t="shared" si="5"/>
        <v>3</v>
      </c>
      <c r="BN9" s="4">
        <f t="shared" si="6"/>
        <v>5</v>
      </c>
      <c r="BO9" s="4">
        <f t="shared" si="7"/>
        <v>7</v>
      </c>
      <c r="BP9" s="4">
        <f t="shared" si="8"/>
        <v>15</v>
      </c>
      <c r="BQ9" s="4">
        <f t="shared" si="9"/>
        <v>30</v>
      </c>
      <c r="BR9" s="34" t="str">
        <f t="shared" si="10"/>
        <v>2001,2002,2003,2004,2005,2006</v>
      </c>
      <c r="BS9" s="34" t="str">
        <f t="shared" si="36"/>
        <v>20001,20002,20003,20004,20005,20006</v>
      </c>
      <c r="BT9" s="4">
        <f>VLOOKUP(LOOKUP($Y9,$K$48:$K$55,$L$48:$L$55)&amp;BT$1&amp;$W9,装备额外附加!$M:$O,3,0)</f>
        <v>20001</v>
      </c>
      <c r="BU9" s="4">
        <f>VLOOKUP(LOOKUP($Y9,$K$48:$K$55,$L$48:$L$55)&amp;BU$1&amp;$W9,装备额外附加!$M:$O,3,0)</f>
        <v>20002</v>
      </c>
      <c r="BV9" s="4">
        <f>VLOOKUP(LOOKUP($Y9,$K$48:$K$55,$L$48:$L$55)&amp;BV$1&amp;$W9,装备额外附加!$M:$O,3,0)</f>
        <v>20003</v>
      </c>
      <c r="BW9" s="4">
        <f>VLOOKUP(LOOKUP($Y9,$K$48:$K$55,$L$48:$L$55)&amp;BW$1&amp;$W9,装备额外附加!$M:$O,3,0)</f>
        <v>20004</v>
      </c>
      <c r="BX9" s="4">
        <f>VLOOKUP(LOOKUP($Y9,$K$48:$K$55,$L$48:$L$55)&amp;BX$1&amp;$W9,装备额外附加!$M:$O,3,0)</f>
        <v>20005</v>
      </c>
      <c r="BY9" s="4">
        <f>VLOOKUP(LOOKUP($Y9,$K$48:$K$55,$L$48:$L$55)&amp;BY$1&amp;$W9,装备额外附加!$M:$O,3,0)</f>
        <v>20006</v>
      </c>
    </row>
    <row r="10" spans="1:77">
      <c r="A10" s="47" t="s">
        <v>168</v>
      </c>
      <c r="L10" s="4" t="s">
        <v>169</v>
      </c>
      <c r="R10" s="4" t="s">
        <v>170</v>
      </c>
      <c r="S10" s="4" t="str">
        <f t="shared" si="11"/>
        <v>102004</v>
      </c>
      <c r="T10" s="4" t="s">
        <v>171</v>
      </c>
      <c r="U10" s="36">
        <v>10</v>
      </c>
      <c r="V10" s="36" t="str">
        <f t="shared" si="12"/>
        <v>腰带</v>
      </c>
      <c r="W10" s="36" t="str">
        <f t="shared" si="13"/>
        <v>护甲</v>
      </c>
      <c r="X10" s="4">
        <f t="shared" si="14"/>
        <v>4</v>
      </c>
      <c r="Y10" s="4">
        <f t="shared" si="15"/>
        <v>18</v>
      </c>
      <c r="Z10" s="4">
        <f t="shared" si="16"/>
        <v>0</v>
      </c>
      <c r="AA10" s="4" t="str">
        <f t="shared" si="17"/>
        <v>32,38,57,96,160,320</v>
      </c>
      <c r="AB10" s="36">
        <f t="shared" si="18"/>
        <v>40</v>
      </c>
      <c r="AC10" s="36">
        <f t="shared" si="38"/>
        <v>32</v>
      </c>
      <c r="AD10" s="36">
        <f t="shared" si="20"/>
        <v>38</v>
      </c>
      <c r="AE10" s="36">
        <f t="shared" si="20"/>
        <v>57</v>
      </c>
      <c r="AF10" s="36">
        <f t="shared" si="20"/>
        <v>96</v>
      </c>
      <c r="AG10" s="36">
        <f t="shared" si="20"/>
        <v>160</v>
      </c>
      <c r="AH10" s="36">
        <f t="shared" si="20"/>
        <v>320</v>
      </c>
      <c r="AJ10" s="4" t="str">
        <f t="shared" si="21"/>
        <v>160,192,288,480,800,</v>
      </c>
      <c r="AK10" s="36">
        <f t="shared" si="22"/>
        <v>200</v>
      </c>
      <c r="AL10" s="36">
        <f t="shared" si="23"/>
        <v>160</v>
      </c>
      <c r="AM10" s="36">
        <f t="shared" si="1"/>
        <v>192</v>
      </c>
      <c r="AN10" s="36">
        <f t="shared" si="1"/>
        <v>288</v>
      </c>
      <c r="AO10" s="36">
        <f t="shared" si="1"/>
        <v>480</v>
      </c>
      <c r="AP10" s="36">
        <f t="shared" si="1"/>
        <v>800</v>
      </c>
      <c r="AR10" s="4" t="str">
        <f t="shared" si="24"/>
        <v>12800,15360,23040,38400,64000,</v>
      </c>
      <c r="AS10" s="36">
        <f t="shared" si="25"/>
        <v>16000</v>
      </c>
      <c r="AT10" s="36">
        <f t="shared" si="26"/>
        <v>12800</v>
      </c>
      <c r="AU10" s="36">
        <f t="shared" si="2"/>
        <v>15360</v>
      </c>
      <c r="AV10" s="36">
        <f t="shared" si="2"/>
        <v>23040</v>
      </c>
      <c r="AW10" s="36">
        <f t="shared" si="2"/>
        <v>38400</v>
      </c>
      <c r="AX10" s="36">
        <f t="shared" si="2"/>
        <v>64000</v>
      </c>
      <c r="AZ10" s="4">
        <f t="shared" si="27"/>
        <v>25</v>
      </c>
      <c r="BA10" s="4">
        <f t="shared" si="28"/>
        <v>0</v>
      </c>
      <c r="BB10" s="4">
        <f t="shared" si="29"/>
        <v>2</v>
      </c>
      <c r="BC10" s="35" t="str">
        <f t="shared" si="30"/>
        <v>25,</v>
      </c>
      <c r="BD10" s="35" t="str">
        <f t="shared" si="3"/>
        <v/>
      </c>
      <c r="BE10" s="35" t="str">
        <f t="shared" si="31"/>
        <v>2,</v>
      </c>
      <c r="BF10" s="36" t="str">
        <f t="shared" si="32"/>
        <v>1,</v>
      </c>
      <c r="BG10" s="36" t="str">
        <f>IF(BA10=0,"",IF(Z10=0,"3,4,5",VLOOKUP(Z10,{1,3;2,4;3,5},2,0))&amp;",")</f>
        <v/>
      </c>
      <c r="BH10" s="36" t="str">
        <f t="shared" si="33"/>
        <v>6,</v>
      </c>
      <c r="BI10" s="34" t="str">
        <f t="shared" si="34"/>
        <v>1,6</v>
      </c>
      <c r="BJ10" s="34" t="str">
        <f t="shared" si="37"/>
        <v>25,2</v>
      </c>
      <c r="BK10" s="34" t="str">
        <f t="shared" si="35"/>
        <v>0,3,5,7,15,30</v>
      </c>
      <c r="BL10" s="4">
        <f t="shared" si="4"/>
        <v>0</v>
      </c>
      <c r="BM10" s="4">
        <f t="shared" si="5"/>
        <v>3</v>
      </c>
      <c r="BN10" s="4">
        <f t="shared" si="6"/>
        <v>5</v>
      </c>
      <c r="BO10" s="4">
        <f t="shared" si="7"/>
        <v>7</v>
      </c>
      <c r="BP10" s="4">
        <f t="shared" si="8"/>
        <v>15</v>
      </c>
      <c r="BQ10" s="4">
        <f t="shared" si="9"/>
        <v>30</v>
      </c>
      <c r="BR10" s="34" t="str">
        <f t="shared" si="10"/>
        <v>2001,2002,2003,2004,2005,2006</v>
      </c>
      <c r="BS10" s="34" t="str">
        <f t="shared" si="36"/>
        <v>20001,20002,20003,20004,20005,20006</v>
      </c>
      <c r="BT10" s="4">
        <f>VLOOKUP(LOOKUP($Y10,$K$48:$K$55,$L$48:$L$55)&amp;BT$1&amp;$W10,装备额外附加!$M:$O,3,0)</f>
        <v>20001</v>
      </c>
      <c r="BU10" s="4">
        <f>VLOOKUP(LOOKUP($Y10,$K$48:$K$55,$L$48:$L$55)&amp;BU$1&amp;$W10,装备额外附加!$M:$O,3,0)</f>
        <v>20002</v>
      </c>
      <c r="BV10" s="4">
        <f>VLOOKUP(LOOKUP($Y10,$K$48:$K$55,$L$48:$L$55)&amp;BV$1&amp;$W10,装备额外附加!$M:$O,3,0)</f>
        <v>20003</v>
      </c>
      <c r="BW10" s="4">
        <f>VLOOKUP(LOOKUP($Y10,$K$48:$K$55,$L$48:$L$55)&amp;BW$1&amp;$W10,装备额外附加!$M:$O,3,0)</f>
        <v>20004</v>
      </c>
      <c r="BX10" s="4">
        <f>VLOOKUP(LOOKUP($Y10,$K$48:$K$55,$L$48:$L$55)&amp;BX$1&amp;$W10,装备额外附加!$M:$O,3,0)</f>
        <v>20005</v>
      </c>
      <c r="BY10" s="4">
        <f>VLOOKUP(LOOKUP($Y10,$K$48:$K$55,$L$48:$L$55)&amp;BY$1&amp;$W10,装备额外附加!$M:$O,3,0)</f>
        <v>20006</v>
      </c>
    </row>
    <row r="11" spans="2:77">
      <c r="B11" s="4" t="s">
        <v>116</v>
      </c>
      <c r="C11" s="4">
        <v>0.1</v>
      </c>
      <c r="D11" s="4">
        <f>D$8*$C11</f>
        <v>135</v>
      </c>
      <c r="E11" s="4">
        <f t="shared" ref="E11:I16" si="39">E$8*$C11</f>
        <v>18</v>
      </c>
      <c r="F11" s="4">
        <f t="shared" si="39"/>
        <v>12</v>
      </c>
      <c r="G11" s="4">
        <f t="shared" si="39"/>
        <v>12</v>
      </c>
      <c r="H11" s="4">
        <f t="shared" si="39"/>
        <v>12</v>
      </c>
      <c r="I11" s="4">
        <f t="shared" si="39"/>
        <v>6</v>
      </c>
      <c r="K11" s="4">
        <v>0</v>
      </c>
      <c r="L11" s="4">
        <v>1</v>
      </c>
      <c r="R11" s="4" t="s">
        <v>172</v>
      </c>
      <c r="S11" s="4" t="str">
        <f t="shared" si="11"/>
        <v>102005</v>
      </c>
      <c r="T11" s="4" t="s">
        <v>173</v>
      </c>
      <c r="U11" s="36">
        <v>10</v>
      </c>
      <c r="V11" s="36" t="str">
        <f t="shared" si="12"/>
        <v>鞋子</v>
      </c>
      <c r="W11" s="36" t="str">
        <f t="shared" si="13"/>
        <v>护甲</v>
      </c>
      <c r="X11" s="4">
        <f t="shared" si="14"/>
        <v>5</v>
      </c>
      <c r="Y11" s="4">
        <f t="shared" si="15"/>
        <v>12</v>
      </c>
      <c r="Z11" s="4">
        <f t="shared" si="16"/>
        <v>0</v>
      </c>
      <c r="AA11" s="4" t="str">
        <f t="shared" si="17"/>
        <v>32,38,57,96,160,320</v>
      </c>
      <c r="AB11" s="36">
        <f t="shared" si="18"/>
        <v>40</v>
      </c>
      <c r="AC11" s="36">
        <f t="shared" si="38"/>
        <v>32</v>
      </c>
      <c r="AD11" s="36">
        <f t="shared" si="20"/>
        <v>38</v>
      </c>
      <c r="AE11" s="36">
        <f t="shared" si="20"/>
        <v>57</v>
      </c>
      <c r="AF11" s="36">
        <f t="shared" si="20"/>
        <v>96</v>
      </c>
      <c r="AG11" s="36">
        <f t="shared" si="20"/>
        <v>160</v>
      </c>
      <c r="AH11" s="36">
        <f t="shared" si="20"/>
        <v>320</v>
      </c>
      <c r="AJ11" s="4" t="str">
        <f t="shared" si="21"/>
        <v>160,192,288,480,800,</v>
      </c>
      <c r="AK11" s="36">
        <f t="shared" si="22"/>
        <v>200</v>
      </c>
      <c r="AL11" s="36">
        <f t="shared" si="23"/>
        <v>160</v>
      </c>
      <c r="AM11" s="36">
        <f t="shared" si="1"/>
        <v>192</v>
      </c>
      <c r="AN11" s="36">
        <f t="shared" si="1"/>
        <v>288</v>
      </c>
      <c r="AO11" s="36">
        <f t="shared" si="1"/>
        <v>480</v>
      </c>
      <c r="AP11" s="36">
        <f t="shared" si="1"/>
        <v>800</v>
      </c>
      <c r="AR11" s="4" t="str">
        <f t="shared" si="24"/>
        <v>12800,15360,23040,38400,64000,</v>
      </c>
      <c r="AS11" s="36">
        <f t="shared" si="25"/>
        <v>16000</v>
      </c>
      <c r="AT11" s="36">
        <f t="shared" si="26"/>
        <v>12800</v>
      </c>
      <c r="AU11" s="36">
        <f t="shared" si="2"/>
        <v>15360</v>
      </c>
      <c r="AV11" s="36">
        <f t="shared" si="2"/>
        <v>23040</v>
      </c>
      <c r="AW11" s="36">
        <f t="shared" si="2"/>
        <v>38400</v>
      </c>
      <c r="AX11" s="36">
        <f t="shared" si="2"/>
        <v>64000</v>
      </c>
      <c r="AZ11" s="4">
        <f t="shared" si="27"/>
        <v>25</v>
      </c>
      <c r="BA11" s="4">
        <f t="shared" si="28"/>
        <v>0</v>
      </c>
      <c r="BB11" s="4">
        <f t="shared" si="29"/>
        <v>2</v>
      </c>
      <c r="BC11" s="35" t="str">
        <f t="shared" si="30"/>
        <v>25,</v>
      </c>
      <c r="BD11" s="35" t="str">
        <f t="shared" si="3"/>
        <v/>
      </c>
      <c r="BE11" s="35" t="str">
        <f t="shared" si="31"/>
        <v>2,</v>
      </c>
      <c r="BF11" s="36" t="str">
        <f t="shared" si="32"/>
        <v>1,</v>
      </c>
      <c r="BG11" s="36" t="str">
        <f>IF(BA11=0,"",IF(Z11=0,"3,4,5",VLOOKUP(Z11,{1,3;2,4;3,5},2,0))&amp;",")</f>
        <v/>
      </c>
      <c r="BH11" s="36" t="str">
        <f t="shared" si="33"/>
        <v>6,</v>
      </c>
      <c r="BI11" s="34" t="str">
        <f t="shared" si="34"/>
        <v>1,6</v>
      </c>
      <c r="BJ11" s="34" t="str">
        <f t="shared" si="37"/>
        <v>25,2</v>
      </c>
      <c r="BK11" s="34" t="str">
        <f t="shared" si="35"/>
        <v>0,3,5,7,15,30</v>
      </c>
      <c r="BL11" s="4">
        <f t="shared" si="4"/>
        <v>0</v>
      </c>
      <c r="BM11" s="4">
        <f t="shared" si="5"/>
        <v>3</v>
      </c>
      <c r="BN11" s="4">
        <f t="shared" si="6"/>
        <v>5</v>
      </c>
      <c r="BO11" s="4">
        <f t="shared" si="7"/>
        <v>7</v>
      </c>
      <c r="BP11" s="4">
        <f t="shared" si="8"/>
        <v>15</v>
      </c>
      <c r="BQ11" s="4">
        <f t="shared" si="9"/>
        <v>30</v>
      </c>
      <c r="BR11" s="34" t="str">
        <f t="shared" si="10"/>
        <v>2001,2002,2003,2004,2005,2006</v>
      </c>
      <c r="BS11" s="34" t="str">
        <f t="shared" si="36"/>
        <v>20001,20002,20003,20004,20005,20006</v>
      </c>
      <c r="BT11" s="4">
        <f>VLOOKUP(LOOKUP($Y11,$K$48:$K$55,$L$48:$L$55)&amp;BT$1&amp;$W11,装备额外附加!$M:$O,3,0)</f>
        <v>20001</v>
      </c>
      <c r="BU11" s="4">
        <f>VLOOKUP(LOOKUP($Y11,$K$48:$K$55,$L$48:$L$55)&amp;BU$1&amp;$W11,装备额外附加!$M:$O,3,0)</f>
        <v>20002</v>
      </c>
      <c r="BV11" s="4">
        <f>VLOOKUP(LOOKUP($Y11,$K$48:$K$55,$L$48:$L$55)&amp;BV$1&amp;$W11,装备额外附加!$M:$O,3,0)</f>
        <v>20003</v>
      </c>
      <c r="BW11" s="4">
        <f>VLOOKUP(LOOKUP($Y11,$K$48:$K$55,$L$48:$L$55)&amp;BW$1&amp;$W11,装备额外附加!$M:$O,3,0)</f>
        <v>20004</v>
      </c>
      <c r="BX11" s="4">
        <f>VLOOKUP(LOOKUP($Y11,$K$48:$K$55,$L$48:$L$55)&amp;BX$1&amp;$W11,装备额外附加!$M:$O,3,0)</f>
        <v>20005</v>
      </c>
      <c r="BY11" s="4">
        <f>VLOOKUP(LOOKUP($Y11,$K$48:$K$55,$L$48:$L$55)&amp;BY$1&amp;$W11,装备额外附加!$M:$O,3,0)</f>
        <v>20006</v>
      </c>
    </row>
    <row r="12" spans="1:77">
      <c r="A12" s="4">
        <f>C12/C11</f>
        <v>1.3</v>
      </c>
      <c r="B12" s="4" t="s">
        <v>117</v>
      </c>
      <c r="C12" s="4">
        <v>0.13</v>
      </c>
      <c r="D12" s="4">
        <f t="shared" ref="D12:D16" si="40">D$8*$C12</f>
        <v>175.5</v>
      </c>
      <c r="E12" s="4">
        <f t="shared" si="39"/>
        <v>23.4</v>
      </c>
      <c r="F12" s="4">
        <f t="shared" si="39"/>
        <v>15.6</v>
      </c>
      <c r="G12" s="4">
        <f t="shared" si="39"/>
        <v>15.6</v>
      </c>
      <c r="H12" s="4">
        <f t="shared" si="39"/>
        <v>15.6</v>
      </c>
      <c r="I12" s="4">
        <f t="shared" si="39"/>
        <v>7.8</v>
      </c>
      <c r="K12" s="4">
        <v>0</v>
      </c>
      <c r="L12" s="4">
        <v>1.2</v>
      </c>
      <c r="M12" s="4">
        <f>L12/L11</f>
        <v>1.2</v>
      </c>
      <c r="R12" s="4" t="s">
        <v>174</v>
      </c>
      <c r="S12" s="4" t="str">
        <f t="shared" si="11"/>
        <v>103001</v>
      </c>
      <c r="T12" s="4" t="s">
        <v>175</v>
      </c>
      <c r="U12" s="36">
        <v>20</v>
      </c>
      <c r="V12" s="36" t="str">
        <f t="shared" si="12"/>
        <v>武器</v>
      </c>
      <c r="W12" s="36" t="str">
        <f t="shared" si="13"/>
        <v>武器</v>
      </c>
      <c r="X12" s="4">
        <f t="shared" si="14"/>
        <v>1</v>
      </c>
      <c r="Y12" s="4">
        <f t="shared" si="15"/>
        <v>21</v>
      </c>
      <c r="Z12" s="4">
        <f t="shared" si="16"/>
        <v>0</v>
      </c>
      <c r="AA12" s="4" t="str">
        <f t="shared" si="17"/>
        <v>60,72,108,180,300,600</v>
      </c>
      <c r="AB12" s="36">
        <f t="shared" si="18"/>
        <v>60</v>
      </c>
      <c r="AC12" s="36">
        <f t="shared" si="38"/>
        <v>60</v>
      </c>
      <c r="AD12" s="36">
        <f t="shared" si="20"/>
        <v>72</v>
      </c>
      <c r="AE12" s="36">
        <f t="shared" si="20"/>
        <v>108</v>
      </c>
      <c r="AF12" s="36">
        <f t="shared" si="20"/>
        <v>180</v>
      </c>
      <c r="AG12" s="36">
        <f t="shared" si="20"/>
        <v>300</v>
      </c>
      <c r="AH12" s="36">
        <f t="shared" si="20"/>
        <v>600</v>
      </c>
      <c r="AJ12" s="4" t="str">
        <f t="shared" si="21"/>
        <v>300,360,540,900,1500,</v>
      </c>
      <c r="AK12" s="36">
        <f t="shared" si="22"/>
        <v>300</v>
      </c>
      <c r="AL12" s="36">
        <f t="shared" si="23"/>
        <v>300</v>
      </c>
      <c r="AM12" s="36">
        <f t="shared" si="1"/>
        <v>360</v>
      </c>
      <c r="AN12" s="36">
        <f t="shared" si="1"/>
        <v>540</v>
      </c>
      <c r="AO12" s="36">
        <f t="shared" si="1"/>
        <v>900</v>
      </c>
      <c r="AP12" s="36">
        <f t="shared" si="1"/>
        <v>1500</v>
      </c>
      <c r="AR12" s="4" t="str">
        <f t="shared" si="24"/>
        <v>24000,28800,43200,72000,120000,</v>
      </c>
      <c r="AS12" s="36">
        <f t="shared" si="25"/>
        <v>24000</v>
      </c>
      <c r="AT12" s="36">
        <f t="shared" si="26"/>
        <v>24000</v>
      </c>
      <c r="AU12" s="36">
        <f t="shared" si="2"/>
        <v>28800</v>
      </c>
      <c r="AV12" s="36">
        <f t="shared" si="2"/>
        <v>43200</v>
      </c>
      <c r="AW12" s="36">
        <f t="shared" si="2"/>
        <v>72000</v>
      </c>
      <c r="AX12" s="36">
        <f t="shared" si="2"/>
        <v>120000</v>
      </c>
      <c r="AZ12" s="4">
        <f t="shared" si="27"/>
        <v>0</v>
      </c>
      <c r="BA12" s="4">
        <f t="shared" si="28"/>
        <v>9</v>
      </c>
      <c r="BB12" s="4">
        <f t="shared" si="29"/>
        <v>0</v>
      </c>
      <c r="BC12" s="35" t="str">
        <f t="shared" si="30"/>
        <v/>
      </c>
      <c r="BD12" s="35" t="str">
        <f t="shared" si="3"/>
        <v>9,9,9,</v>
      </c>
      <c r="BE12" s="35" t="str">
        <f t="shared" si="31"/>
        <v/>
      </c>
      <c r="BF12" s="36" t="str">
        <f t="shared" si="32"/>
        <v/>
      </c>
      <c r="BG12" s="36" t="str">
        <f>IF(BA12=0,"",IF(Z12=0,"3,4,5",VLOOKUP(Z12,{1,3;2,4;3,5},2,0))&amp;",")</f>
        <v>3,4,5,</v>
      </c>
      <c r="BH12" s="36" t="str">
        <f t="shared" si="33"/>
        <v/>
      </c>
      <c r="BI12" s="34" t="str">
        <f t="shared" si="34"/>
        <v>3,4,5</v>
      </c>
      <c r="BJ12" s="34" t="str">
        <f t="shared" si="37"/>
        <v>9,9,9</v>
      </c>
      <c r="BK12" s="34" t="str">
        <f t="shared" si="35"/>
        <v>0,6,10,15,31,63</v>
      </c>
      <c r="BL12" s="4">
        <f t="shared" si="4"/>
        <v>0</v>
      </c>
      <c r="BM12" s="4">
        <f t="shared" si="5"/>
        <v>6</v>
      </c>
      <c r="BN12" s="4">
        <f t="shared" si="6"/>
        <v>10</v>
      </c>
      <c r="BO12" s="4">
        <f t="shared" si="7"/>
        <v>15</v>
      </c>
      <c r="BP12" s="4">
        <f t="shared" si="8"/>
        <v>31</v>
      </c>
      <c r="BQ12" s="4">
        <f t="shared" si="9"/>
        <v>63</v>
      </c>
      <c r="BR12" s="34" t="str">
        <f t="shared" si="10"/>
        <v>1001,1002,1003,1004,1005,1006</v>
      </c>
      <c r="BS12" s="34" t="str">
        <f t="shared" si="36"/>
        <v>11001,11002,11003,11004,11005,11006</v>
      </c>
      <c r="BT12" s="4">
        <f>VLOOKUP(LOOKUP($Y12,$K$48:$K$55,$L$48:$L$55)&amp;BT$1&amp;$W12,装备额外附加!$M:$O,3,0)</f>
        <v>11001</v>
      </c>
      <c r="BU12" s="4">
        <f>VLOOKUP(LOOKUP($Y12,$K$48:$K$55,$L$48:$L$55)&amp;BU$1&amp;$W12,装备额外附加!$M:$O,3,0)</f>
        <v>11002</v>
      </c>
      <c r="BV12" s="4">
        <f>VLOOKUP(LOOKUP($Y12,$K$48:$K$55,$L$48:$L$55)&amp;BV$1&amp;$W12,装备额外附加!$M:$O,3,0)</f>
        <v>11003</v>
      </c>
      <c r="BW12" s="4">
        <f>VLOOKUP(LOOKUP($Y12,$K$48:$K$55,$L$48:$L$55)&amp;BW$1&amp;$W12,装备额外附加!$M:$O,3,0)</f>
        <v>11004</v>
      </c>
      <c r="BX12" s="4">
        <f>VLOOKUP(LOOKUP($Y12,$K$48:$K$55,$L$48:$L$55)&amp;BX$1&amp;$W12,装备额外附加!$M:$O,3,0)</f>
        <v>11005</v>
      </c>
      <c r="BY12" s="4">
        <f>VLOOKUP(LOOKUP($Y12,$K$48:$K$55,$L$48:$L$55)&amp;BY$1&amp;$W12,装备额外附加!$M:$O,3,0)</f>
        <v>11006</v>
      </c>
    </row>
    <row r="13" spans="1:77">
      <c r="A13" s="4">
        <f>C13/C12</f>
        <v>1.38461538461538</v>
      </c>
      <c r="B13" s="4" t="s">
        <v>118</v>
      </c>
      <c r="C13" s="4">
        <v>0.18</v>
      </c>
      <c r="D13" s="4">
        <f t="shared" si="40"/>
        <v>243</v>
      </c>
      <c r="E13" s="4">
        <f t="shared" si="39"/>
        <v>32.4</v>
      </c>
      <c r="F13" s="4">
        <f t="shared" si="39"/>
        <v>21.6</v>
      </c>
      <c r="G13" s="4">
        <f t="shared" si="39"/>
        <v>21.6</v>
      </c>
      <c r="H13" s="4">
        <f t="shared" si="39"/>
        <v>21.6</v>
      </c>
      <c r="I13" s="4">
        <f t="shared" si="39"/>
        <v>10.8</v>
      </c>
      <c r="K13" s="4">
        <v>2</v>
      </c>
      <c r="L13" s="4">
        <v>1.8</v>
      </c>
      <c r="M13" s="4">
        <f>L13/L12</f>
        <v>1.5</v>
      </c>
      <c r="R13" s="4" t="s">
        <v>176</v>
      </c>
      <c r="S13" s="4" t="str">
        <f t="shared" si="11"/>
        <v>103002</v>
      </c>
      <c r="T13" s="4" t="s">
        <v>177</v>
      </c>
      <c r="U13" s="36">
        <v>20</v>
      </c>
      <c r="V13" s="36" t="str">
        <f t="shared" si="12"/>
        <v>头盔</v>
      </c>
      <c r="W13" s="36" t="str">
        <f t="shared" si="13"/>
        <v>护甲</v>
      </c>
      <c r="X13" s="4">
        <f t="shared" si="14"/>
        <v>2</v>
      </c>
      <c r="Y13" s="4">
        <f t="shared" si="15"/>
        <v>27</v>
      </c>
      <c r="Z13" s="4">
        <f t="shared" si="16"/>
        <v>0</v>
      </c>
      <c r="AA13" s="4" t="str">
        <f t="shared" si="17"/>
        <v>54,64,97,162,270,540</v>
      </c>
      <c r="AB13" s="36">
        <f t="shared" si="18"/>
        <v>60</v>
      </c>
      <c r="AC13" s="36">
        <f t="shared" si="38"/>
        <v>54</v>
      </c>
      <c r="AD13" s="36">
        <f t="shared" si="20"/>
        <v>64</v>
      </c>
      <c r="AE13" s="36">
        <f t="shared" si="20"/>
        <v>97</v>
      </c>
      <c r="AF13" s="36">
        <f t="shared" si="20"/>
        <v>162</v>
      </c>
      <c r="AG13" s="36">
        <f t="shared" si="20"/>
        <v>270</v>
      </c>
      <c r="AH13" s="36">
        <f t="shared" si="20"/>
        <v>540</v>
      </c>
      <c r="AJ13" s="4" t="str">
        <f t="shared" si="21"/>
        <v>270,324,486,810,1350,</v>
      </c>
      <c r="AK13" s="36">
        <f t="shared" si="22"/>
        <v>300</v>
      </c>
      <c r="AL13" s="36">
        <f t="shared" si="23"/>
        <v>270</v>
      </c>
      <c r="AM13" s="36">
        <f t="shared" si="1"/>
        <v>324</v>
      </c>
      <c r="AN13" s="36">
        <f t="shared" si="1"/>
        <v>486</v>
      </c>
      <c r="AO13" s="36">
        <f t="shared" si="1"/>
        <v>810</v>
      </c>
      <c r="AP13" s="36">
        <f t="shared" si="1"/>
        <v>1350</v>
      </c>
      <c r="AR13" s="4" t="str">
        <f t="shared" si="24"/>
        <v>21600,25920,38880,64800,108000,</v>
      </c>
      <c r="AS13" s="36">
        <f t="shared" si="25"/>
        <v>24000</v>
      </c>
      <c r="AT13" s="36">
        <f t="shared" si="26"/>
        <v>21600</v>
      </c>
      <c r="AU13" s="36">
        <f t="shared" si="2"/>
        <v>25920</v>
      </c>
      <c r="AV13" s="36">
        <f t="shared" si="2"/>
        <v>38880</v>
      </c>
      <c r="AW13" s="36">
        <f t="shared" si="2"/>
        <v>64800</v>
      </c>
      <c r="AX13" s="36">
        <f t="shared" si="2"/>
        <v>108000</v>
      </c>
      <c r="AZ13" s="4">
        <f t="shared" si="27"/>
        <v>0</v>
      </c>
      <c r="BA13" s="4">
        <f t="shared" si="28"/>
        <v>4</v>
      </c>
      <c r="BB13" s="4">
        <f t="shared" si="29"/>
        <v>3</v>
      </c>
      <c r="BC13" s="35" t="str">
        <f t="shared" si="30"/>
        <v/>
      </c>
      <c r="BD13" s="35" t="str">
        <f t="shared" si="3"/>
        <v>4,4,4,</v>
      </c>
      <c r="BE13" s="35" t="str">
        <f t="shared" si="31"/>
        <v>3,</v>
      </c>
      <c r="BF13" s="36" t="str">
        <f t="shared" si="32"/>
        <v/>
      </c>
      <c r="BG13" s="36" t="str">
        <f>IF(BA13=0,"",IF(Z13=0,"3,4,5",VLOOKUP(Z13,{1,3;2,4;3,5},2,0))&amp;",")</f>
        <v>3,4,5,</v>
      </c>
      <c r="BH13" s="36" t="str">
        <f t="shared" si="33"/>
        <v>6,</v>
      </c>
      <c r="BI13" s="34" t="str">
        <f t="shared" si="34"/>
        <v>3,4,5,6</v>
      </c>
      <c r="BJ13" s="34" t="str">
        <f t="shared" si="37"/>
        <v>4,4,4,3</v>
      </c>
      <c r="BK13" s="34" t="str">
        <f t="shared" si="35"/>
        <v>0,4,7,10,21,42</v>
      </c>
      <c r="BL13" s="4">
        <f t="shared" si="4"/>
        <v>0</v>
      </c>
      <c r="BM13" s="4">
        <f t="shared" si="5"/>
        <v>4</v>
      </c>
      <c r="BN13" s="4">
        <f t="shared" si="6"/>
        <v>7</v>
      </c>
      <c r="BO13" s="4">
        <f t="shared" si="7"/>
        <v>10</v>
      </c>
      <c r="BP13" s="4">
        <f t="shared" si="8"/>
        <v>21</v>
      </c>
      <c r="BQ13" s="4">
        <f t="shared" si="9"/>
        <v>42</v>
      </c>
      <c r="BR13" s="34" t="str">
        <f t="shared" si="10"/>
        <v>2001,2002,2003,2004,2005,2006</v>
      </c>
      <c r="BS13" s="34" t="str">
        <f t="shared" si="36"/>
        <v>21001,21002,21003,21004,21005,21006</v>
      </c>
      <c r="BT13" s="4">
        <f>VLOOKUP(LOOKUP($Y13,$K$48:$K$55,$L$48:$L$55)&amp;BT$1&amp;$W13,装备额外附加!$M:$O,3,0)</f>
        <v>21001</v>
      </c>
      <c r="BU13" s="4">
        <f>VLOOKUP(LOOKUP($Y13,$K$48:$K$55,$L$48:$L$55)&amp;BU$1&amp;$W13,装备额外附加!$M:$O,3,0)</f>
        <v>21002</v>
      </c>
      <c r="BV13" s="4">
        <f>VLOOKUP(LOOKUP($Y13,$K$48:$K$55,$L$48:$L$55)&amp;BV$1&amp;$W13,装备额外附加!$M:$O,3,0)</f>
        <v>21003</v>
      </c>
      <c r="BW13" s="4">
        <f>VLOOKUP(LOOKUP($Y13,$K$48:$K$55,$L$48:$L$55)&amp;BW$1&amp;$W13,装备额外附加!$M:$O,3,0)</f>
        <v>21004</v>
      </c>
      <c r="BX13" s="4">
        <f>VLOOKUP(LOOKUP($Y13,$K$48:$K$55,$L$48:$L$55)&amp;BX$1&amp;$W13,装备额外附加!$M:$O,3,0)</f>
        <v>21005</v>
      </c>
      <c r="BY13" s="4">
        <f>VLOOKUP(LOOKUP($Y13,$K$48:$K$55,$L$48:$L$55)&amp;BY$1&amp;$W13,装备额外附加!$M:$O,3,0)</f>
        <v>21006</v>
      </c>
    </row>
    <row r="14" spans="1:77">
      <c r="A14" s="4">
        <f>C14/C13</f>
        <v>1.66666666666667</v>
      </c>
      <c r="B14" s="4" t="s">
        <v>119</v>
      </c>
      <c r="C14" s="4">
        <v>0.3</v>
      </c>
      <c r="D14" s="4">
        <f t="shared" si="40"/>
        <v>405</v>
      </c>
      <c r="E14" s="4">
        <f t="shared" si="39"/>
        <v>54</v>
      </c>
      <c r="F14" s="4">
        <f t="shared" si="39"/>
        <v>36</v>
      </c>
      <c r="G14" s="4">
        <f t="shared" si="39"/>
        <v>36</v>
      </c>
      <c r="H14" s="4">
        <f t="shared" si="39"/>
        <v>36</v>
      </c>
      <c r="I14" s="4">
        <f t="shared" si="39"/>
        <v>18</v>
      </c>
      <c r="K14" s="4">
        <v>5</v>
      </c>
      <c r="L14" s="4">
        <v>3</v>
      </c>
      <c r="M14" s="4">
        <f>L14/L13</f>
        <v>1.66666666666667</v>
      </c>
      <c r="R14" s="4" t="s">
        <v>178</v>
      </c>
      <c r="S14" s="4" t="str">
        <f t="shared" si="11"/>
        <v>103003</v>
      </c>
      <c r="T14" s="4" t="s">
        <v>179</v>
      </c>
      <c r="U14" s="36">
        <v>20</v>
      </c>
      <c r="V14" s="36" t="str">
        <f t="shared" si="12"/>
        <v>衣服</v>
      </c>
      <c r="W14" s="36" t="str">
        <f t="shared" si="13"/>
        <v>护甲</v>
      </c>
      <c r="X14" s="4">
        <f t="shared" si="14"/>
        <v>3</v>
      </c>
      <c r="Y14" s="4">
        <f t="shared" si="15"/>
        <v>25</v>
      </c>
      <c r="Z14" s="4">
        <f t="shared" si="16"/>
        <v>0</v>
      </c>
      <c r="AA14" s="4" t="str">
        <f t="shared" si="17"/>
        <v>54,64,97,162,270,540</v>
      </c>
      <c r="AB14" s="36">
        <f t="shared" si="18"/>
        <v>60</v>
      </c>
      <c r="AC14" s="36">
        <f t="shared" si="38"/>
        <v>54</v>
      </c>
      <c r="AD14" s="36">
        <f t="shared" si="20"/>
        <v>64</v>
      </c>
      <c r="AE14" s="36">
        <f t="shared" si="20"/>
        <v>97</v>
      </c>
      <c r="AF14" s="36">
        <f t="shared" si="20"/>
        <v>162</v>
      </c>
      <c r="AG14" s="36">
        <f t="shared" si="20"/>
        <v>270</v>
      </c>
      <c r="AH14" s="36">
        <f t="shared" si="20"/>
        <v>540</v>
      </c>
      <c r="AJ14" s="4" t="str">
        <f t="shared" si="21"/>
        <v>270,324,486,810,1350,</v>
      </c>
      <c r="AK14" s="36">
        <f t="shared" si="22"/>
        <v>300</v>
      </c>
      <c r="AL14" s="36">
        <f t="shared" si="23"/>
        <v>270</v>
      </c>
      <c r="AM14" s="36">
        <f t="shared" si="1"/>
        <v>324</v>
      </c>
      <c r="AN14" s="36">
        <f t="shared" si="1"/>
        <v>486</v>
      </c>
      <c r="AO14" s="36">
        <f t="shared" si="1"/>
        <v>810</v>
      </c>
      <c r="AP14" s="36">
        <f t="shared" si="1"/>
        <v>1350</v>
      </c>
      <c r="AR14" s="4" t="str">
        <f t="shared" si="24"/>
        <v>21600,25920,38880,64800,108000,</v>
      </c>
      <c r="AS14" s="36">
        <f t="shared" si="25"/>
        <v>24000</v>
      </c>
      <c r="AT14" s="36">
        <f t="shared" si="26"/>
        <v>21600</v>
      </c>
      <c r="AU14" s="36">
        <f t="shared" si="2"/>
        <v>25920</v>
      </c>
      <c r="AV14" s="36">
        <f t="shared" si="2"/>
        <v>38880</v>
      </c>
      <c r="AW14" s="36">
        <f t="shared" si="2"/>
        <v>64800</v>
      </c>
      <c r="AX14" s="36">
        <f t="shared" si="2"/>
        <v>108000</v>
      </c>
      <c r="AZ14" s="4">
        <f t="shared" si="27"/>
        <v>70</v>
      </c>
      <c r="BA14" s="4">
        <f t="shared" si="28"/>
        <v>0</v>
      </c>
      <c r="BB14" s="4">
        <f t="shared" si="29"/>
        <v>3</v>
      </c>
      <c r="BC14" s="35" t="str">
        <f t="shared" si="30"/>
        <v>70,</v>
      </c>
      <c r="BD14" s="35" t="str">
        <f t="shared" si="3"/>
        <v/>
      </c>
      <c r="BE14" s="35" t="str">
        <f t="shared" si="31"/>
        <v>3,</v>
      </c>
      <c r="BF14" s="36" t="str">
        <f t="shared" si="32"/>
        <v>1,</v>
      </c>
      <c r="BG14" s="36" t="str">
        <f>IF(BA14=0,"",IF(Z14=0,"3,4,5",VLOOKUP(Z14,{1,3;2,4;3,5},2,0))&amp;",")</f>
        <v/>
      </c>
      <c r="BH14" s="36" t="str">
        <f t="shared" si="33"/>
        <v>6,</v>
      </c>
      <c r="BI14" s="34" t="str">
        <f t="shared" si="34"/>
        <v>1,6</v>
      </c>
      <c r="BJ14" s="34" t="str">
        <f t="shared" si="37"/>
        <v>70,3</v>
      </c>
      <c r="BK14" s="34" t="str">
        <f t="shared" si="35"/>
        <v>0,4,7,10,21,42</v>
      </c>
      <c r="BL14" s="4">
        <f t="shared" si="4"/>
        <v>0</v>
      </c>
      <c r="BM14" s="4">
        <f t="shared" si="5"/>
        <v>4</v>
      </c>
      <c r="BN14" s="4">
        <f t="shared" si="6"/>
        <v>7</v>
      </c>
      <c r="BO14" s="4">
        <f t="shared" si="7"/>
        <v>10</v>
      </c>
      <c r="BP14" s="4">
        <f t="shared" si="8"/>
        <v>21</v>
      </c>
      <c r="BQ14" s="4">
        <f t="shared" si="9"/>
        <v>42</v>
      </c>
      <c r="BR14" s="34" t="str">
        <f t="shared" si="10"/>
        <v>2001,2002,2003,2004,2005,2006</v>
      </c>
      <c r="BS14" s="34" t="str">
        <f t="shared" si="36"/>
        <v>21001,21002,21003,21004,21005,21006</v>
      </c>
      <c r="BT14" s="4">
        <f>VLOOKUP(LOOKUP($Y14,$K$48:$K$55,$L$48:$L$55)&amp;BT$1&amp;$W14,装备额外附加!$M:$O,3,0)</f>
        <v>21001</v>
      </c>
      <c r="BU14" s="4">
        <f>VLOOKUP(LOOKUP($Y14,$K$48:$K$55,$L$48:$L$55)&amp;BU$1&amp;$W14,装备额外附加!$M:$O,3,0)</f>
        <v>21002</v>
      </c>
      <c r="BV14" s="4">
        <f>VLOOKUP(LOOKUP($Y14,$K$48:$K$55,$L$48:$L$55)&amp;BV$1&amp;$W14,装备额外附加!$M:$O,3,0)</f>
        <v>21003</v>
      </c>
      <c r="BW14" s="4">
        <f>VLOOKUP(LOOKUP($Y14,$K$48:$K$55,$L$48:$L$55)&amp;BW$1&amp;$W14,装备额外附加!$M:$O,3,0)</f>
        <v>21004</v>
      </c>
      <c r="BX14" s="4">
        <f>VLOOKUP(LOOKUP($Y14,$K$48:$K$55,$L$48:$L$55)&amp;BX$1&amp;$W14,装备额外附加!$M:$O,3,0)</f>
        <v>21005</v>
      </c>
      <c r="BY14" s="4">
        <f>VLOOKUP(LOOKUP($Y14,$K$48:$K$55,$L$48:$L$55)&amp;BY$1&amp;$W14,装备额外附加!$M:$O,3,0)</f>
        <v>21006</v>
      </c>
    </row>
    <row r="15" spans="1:77">
      <c r="A15" s="4">
        <f>C15/C14</f>
        <v>1.66666666666667</v>
      </c>
      <c r="B15" s="4" t="s">
        <v>120</v>
      </c>
      <c r="C15" s="4">
        <v>0.5</v>
      </c>
      <c r="D15" s="4">
        <f t="shared" si="40"/>
        <v>675</v>
      </c>
      <c r="E15" s="4">
        <f t="shared" si="39"/>
        <v>90</v>
      </c>
      <c r="F15" s="4">
        <f t="shared" si="39"/>
        <v>60</v>
      </c>
      <c r="G15" s="4">
        <f t="shared" si="39"/>
        <v>60</v>
      </c>
      <c r="H15" s="4">
        <f t="shared" si="39"/>
        <v>60</v>
      </c>
      <c r="I15" s="4">
        <f t="shared" si="39"/>
        <v>30</v>
      </c>
      <c r="K15" s="4">
        <v>9</v>
      </c>
      <c r="L15" s="4">
        <v>5</v>
      </c>
      <c r="M15" s="4">
        <f>L15/L14</f>
        <v>1.66666666666667</v>
      </c>
      <c r="R15" s="4" t="s">
        <v>180</v>
      </c>
      <c r="S15" s="4" t="str">
        <f t="shared" si="11"/>
        <v>103004</v>
      </c>
      <c r="T15" s="4" t="s">
        <v>181</v>
      </c>
      <c r="U15" s="36">
        <v>20</v>
      </c>
      <c r="V15" s="36" t="str">
        <f t="shared" si="12"/>
        <v>腰带</v>
      </c>
      <c r="W15" s="36" t="str">
        <f t="shared" si="13"/>
        <v>护甲</v>
      </c>
      <c r="X15" s="4">
        <f t="shared" si="14"/>
        <v>4</v>
      </c>
      <c r="Y15" s="4">
        <f t="shared" si="15"/>
        <v>28</v>
      </c>
      <c r="Z15" s="4">
        <f t="shared" si="16"/>
        <v>0</v>
      </c>
      <c r="AA15" s="4" t="str">
        <f t="shared" si="17"/>
        <v>48,57,86,144,240,480</v>
      </c>
      <c r="AB15" s="36">
        <f t="shared" si="18"/>
        <v>60</v>
      </c>
      <c r="AC15" s="36">
        <f t="shared" si="38"/>
        <v>48</v>
      </c>
      <c r="AD15" s="36">
        <f t="shared" si="20"/>
        <v>57</v>
      </c>
      <c r="AE15" s="36">
        <f t="shared" si="20"/>
        <v>86</v>
      </c>
      <c r="AF15" s="36">
        <f t="shared" si="20"/>
        <v>144</v>
      </c>
      <c r="AG15" s="36">
        <f t="shared" si="20"/>
        <v>240</v>
      </c>
      <c r="AH15" s="36">
        <f t="shared" si="20"/>
        <v>480</v>
      </c>
      <c r="AJ15" s="4" t="str">
        <f t="shared" si="21"/>
        <v>240,288,432,720,1200,</v>
      </c>
      <c r="AK15" s="36">
        <f t="shared" si="22"/>
        <v>300</v>
      </c>
      <c r="AL15" s="36">
        <f t="shared" si="23"/>
        <v>240</v>
      </c>
      <c r="AM15" s="36">
        <f t="shared" si="1"/>
        <v>288</v>
      </c>
      <c r="AN15" s="36">
        <f t="shared" si="1"/>
        <v>432</v>
      </c>
      <c r="AO15" s="36">
        <f t="shared" si="1"/>
        <v>720</v>
      </c>
      <c r="AP15" s="36">
        <f t="shared" si="1"/>
        <v>1200</v>
      </c>
      <c r="AR15" s="4" t="str">
        <f t="shared" si="24"/>
        <v>19200,23040,34560,57600,96000,</v>
      </c>
      <c r="AS15" s="36">
        <f t="shared" si="25"/>
        <v>24000</v>
      </c>
      <c r="AT15" s="36">
        <f t="shared" si="26"/>
        <v>19200</v>
      </c>
      <c r="AU15" s="36">
        <f t="shared" si="2"/>
        <v>23040</v>
      </c>
      <c r="AV15" s="36">
        <f t="shared" si="2"/>
        <v>34560</v>
      </c>
      <c r="AW15" s="36">
        <f t="shared" si="2"/>
        <v>57600</v>
      </c>
      <c r="AX15" s="36">
        <f t="shared" si="2"/>
        <v>96000</v>
      </c>
      <c r="AZ15" s="4">
        <f t="shared" si="27"/>
        <v>35</v>
      </c>
      <c r="BA15" s="4">
        <f t="shared" si="28"/>
        <v>0</v>
      </c>
      <c r="BB15" s="4">
        <f t="shared" si="29"/>
        <v>3</v>
      </c>
      <c r="BC15" s="35" t="str">
        <f t="shared" si="30"/>
        <v>35,</v>
      </c>
      <c r="BD15" s="35" t="str">
        <f t="shared" si="3"/>
        <v/>
      </c>
      <c r="BE15" s="35" t="str">
        <f t="shared" si="31"/>
        <v>3,</v>
      </c>
      <c r="BF15" s="36" t="str">
        <f t="shared" si="32"/>
        <v>1,</v>
      </c>
      <c r="BG15" s="36" t="str">
        <f>IF(BA15=0,"",IF(Z15=0,"3,4,5",VLOOKUP(Z15,{1,3;2,4;3,5},2,0))&amp;",")</f>
        <v/>
      </c>
      <c r="BH15" s="36" t="str">
        <f t="shared" si="33"/>
        <v>6,</v>
      </c>
      <c r="BI15" s="34" t="str">
        <f t="shared" si="34"/>
        <v>1,6</v>
      </c>
      <c r="BJ15" s="34" t="str">
        <f t="shared" si="37"/>
        <v>35,3</v>
      </c>
      <c r="BK15" s="34" t="str">
        <f t="shared" si="35"/>
        <v>0,4,7,10,21,42</v>
      </c>
      <c r="BL15" s="4">
        <f t="shared" si="4"/>
        <v>0</v>
      </c>
      <c r="BM15" s="4">
        <f t="shared" si="5"/>
        <v>4</v>
      </c>
      <c r="BN15" s="4">
        <f t="shared" si="6"/>
        <v>7</v>
      </c>
      <c r="BO15" s="4">
        <f t="shared" si="7"/>
        <v>10</v>
      </c>
      <c r="BP15" s="4">
        <f t="shared" si="8"/>
        <v>21</v>
      </c>
      <c r="BQ15" s="4">
        <f t="shared" si="9"/>
        <v>42</v>
      </c>
      <c r="BR15" s="34" t="str">
        <f t="shared" si="10"/>
        <v>2001,2002,2003,2004,2005,2006</v>
      </c>
      <c r="BS15" s="34" t="str">
        <f t="shared" si="36"/>
        <v>21001,21002,21003,21004,21005,21006</v>
      </c>
      <c r="BT15" s="4">
        <f>VLOOKUP(LOOKUP($Y15,$K$48:$K$55,$L$48:$L$55)&amp;BT$1&amp;$W15,装备额外附加!$M:$O,3,0)</f>
        <v>21001</v>
      </c>
      <c r="BU15" s="4">
        <f>VLOOKUP(LOOKUP($Y15,$K$48:$K$55,$L$48:$L$55)&amp;BU$1&amp;$W15,装备额外附加!$M:$O,3,0)</f>
        <v>21002</v>
      </c>
      <c r="BV15" s="4">
        <f>VLOOKUP(LOOKUP($Y15,$K$48:$K$55,$L$48:$L$55)&amp;BV$1&amp;$W15,装备额外附加!$M:$O,3,0)</f>
        <v>21003</v>
      </c>
      <c r="BW15" s="4">
        <f>VLOOKUP(LOOKUP($Y15,$K$48:$K$55,$L$48:$L$55)&amp;BW$1&amp;$W15,装备额外附加!$M:$O,3,0)</f>
        <v>21004</v>
      </c>
      <c r="BX15" s="4">
        <f>VLOOKUP(LOOKUP($Y15,$K$48:$K$55,$L$48:$L$55)&amp;BX$1&amp;$W15,装备额外附加!$M:$O,3,0)</f>
        <v>21005</v>
      </c>
      <c r="BY15" s="4">
        <f>VLOOKUP(LOOKUP($Y15,$K$48:$K$55,$L$48:$L$55)&amp;BY$1&amp;$W15,装备额外附加!$M:$O,3,0)</f>
        <v>21006</v>
      </c>
    </row>
    <row r="16" spans="1:77">
      <c r="A16" s="4">
        <f>C16/C15</f>
        <v>2</v>
      </c>
      <c r="B16" s="4" t="s">
        <v>121</v>
      </c>
      <c r="C16" s="4">
        <f>C15*2</f>
        <v>1</v>
      </c>
      <c r="D16" s="4">
        <f t="shared" si="40"/>
        <v>1350</v>
      </c>
      <c r="E16" s="4">
        <f t="shared" si="39"/>
        <v>180</v>
      </c>
      <c r="F16" s="4">
        <f t="shared" si="39"/>
        <v>120</v>
      </c>
      <c r="G16" s="4">
        <f t="shared" si="39"/>
        <v>120</v>
      </c>
      <c r="H16" s="4">
        <f t="shared" si="39"/>
        <v>120</v>
      </c>
      <c r="I16" s="4">
        <f t="shared" si="39"/>
        <v>60</v>
      </c>
      <c r="K16" s="4">
        <v>9</v>
      </c>
      <c r="L16" s="4">
        <v>10</v>
      </c>
      <c r="M16" s="4">
        <f>L16/L15</f>
        <v>2</v>
      </c>
      <c r="R16" s="4" t="s">
        <v>182</v>
      </c>
      <c r="S16" s="4" t="str">
        <f t="shared" si="11"/>
        <v>103005</v>
      </c>
      <c r="T16" s="4" t="s">
        <v>183</v>
      </c>
      <c r="U16" s="36">
        <v>20</v>
      </c>
      <c r="V16" s="36" t="str">
        <f t="shared" si="12"/>
        <v>鞋子</v>
      </c>
      <c r="W16" s="36" t="str">
        <f t="shared" si="13"/>
        <v>护甲</v>
      </c>
      <c r="X16" s="4">
        <f t="shared" si="14"/>
        <v>5</v>
      </c>
      <c r="Y16" s="4">
        <f t="shared" si="15"/>
        <v>22</v>
      </c>
      <c r="Z16" s="4">
        <f t="shared" si="16"/>
        <v>0</v>
      </c>
      <c r="AA16" s="4" t="str">
        <f t="shared" si="17"/>
        <v>48,57,86,144,240,480</v>
      </c>
      <c r="AB16" s="36">
        <f t="shared" si="18"/>
        <v>60</v>
      </c>
      <c r="AC16" s="36">
        <f t="shared" si="38"/>
        <v>48</v>
      </c>
      <c r="AD16" s="36">
        <f t="shared" si="20"/>
        <v>57</v>
      </c>
      <c r="AE16" s="36">
        <f t="shared" si="20"/>
        <v>86</v>
      </c>
      <c r="AF16" s="36">
        <f t="shared" si="20"/>
        <v>144</v>
      </c>
      <c r="AG16" s="36">
        <f t="shared" si="20"/>
        <v>240</v>
      </c>
      <c r="AH16" s="36">
        <f t="shared" si="20"/>
        <v>480</v>
      </c>
      <c r="AJ16" s="4" t="str">
        <f t="shared" si="21"/>
        <v>240,288,432,720,1200,</v>
      </c>
      <c r="AK16" s="36">
        <f t="shared" si="22"/>
        <v>300</v>
      </c>
      <c r="AL16" s="36">
        <f t="shared" si="23"/>
        <v>240</v>
      </c>
      <c r="AM16" s="36">
        <f t="shared" si="1"/>
        <v>288</v>
      </c>
      <c r="AN16" s="36">
        <f t="shared" si="1"/>
        <v>432</v>
      </c>
      <c r="AO16" s="36">
        <f t="shared" si="1"/>
        <v>720</v>
      </c>
      <c r="AP16" s="36">
        <f t="shared" si="1"/>
        <v>1200</v>
      </c>
      <c r="AR16" s="4" t="str">
        <f t="shared" si="24"/>
        <v>19200,23040,34560,57600,96000,</v>
      </c>
      <c r="AS16" s="36">
        <f t="shared" si="25"/>
        <v>24000</v>
      </c>
      <c r="AT16" s="36">
        <f t="shared" si="26"/>
        <v>19200</v>
      </c>
      <c r="AU16" s="36">
        <f t="shared" si="2"/>
        <v>23040</v>
      </c>
      <c r="AV16" s="36">
        <f t="shared" si="2"/>
        <v>34560</v>
      </c>
      <c r="AW16" s="36">
        <f t="shared" si="2"/>
        <v>57600</v>
      </c>
      <c r="AX16" s="36">
        <f t="shared" si="2"/>
        <v>96000</v>
      </c>
      <c r="AZ16" s="4">
        <f t="shared" si="27"/>
        <v>35</v>
      </c>
      <c r="BA16" s="4">
        <f t="shared" si="28"/>
        <v>0</v>
      </c>
      <c r="BB16" s="4">
        <f t="shared" si="29"/>
        <v>3</v>
      </c>
      <c r="BC16" s="35" t="str">
        <f t="shared" si="30"/>
        <v>35,</v>
      </c>
      <c r="BD16" s="35" t="str">
        <f t="shared" si="3"/>
        <v/>
      </c>
      <c r="BE16" s="35" t="str">
        <f t="shared" si="31"/>
        <v>3,</v>
      </c>
      <c r="BF16" s="36" t="str">
        <f t="shared" si="32"/>
        <v>1,</v>
      </c>
      <c r="BG16" s="36" t="str">
        <f>IF(BA16=0,"",IF(Z16=0,"3,4,5",VLOOKUP(Z16,{1,3;2,4;3,5},2,0))&amp;",")</f>
        <v/>
      </c>
      <c r="BH16" s="36" t="str">
        <f t="shared" si="33"/>
        <v>6,</v>
      </c>
      <c r="BI16" s="34" t="str">
        <f t="shared" si="34"/>
        <v>1,6</v>
      </c>
      <c r="BJ16" s="34" t="str">
        <f t="shared" si="37"/>
        <v>35,3</v>
      </c>
      <c r="BK16" s="34" t="str">
        <f t="shared" si="35"/>
        <v>0,4,7,10,21,42</v>
      </c>
      <c r="BL16" s="4">
        <f t="shared" si="4"/>
        <v>0</v>
      </c>
      <c r="BM16" s="4">
        <f t="shared" si="5"/>
        <v>4</v>
      </c>
      <c r="BN16" s="4">
        <f t="shared" si="6"/>
        <v>7</v>
      </c>
      <c r="BO16" s="4">
        <f t="shared" si="7"/>
        <v>10</v>
      </c>
      <c r="BP16" s="4">
        <f t="shared" si="8"/>
        <v>21</v>
      </c>
      <c r="BQ16" s="4">
        <f t="shared" si="9"/>
        <v>42</v>
      </c>
      <c r="BR16" s="34" t="str">
        <f t="shared" si="10"/>
        <v>2001,2002,2003,2004,2005,2006</v>
      </c>
      <c r="BS16" s="34" t="str">
        <f t="shared" si="36"/>
        <v>21001,21002,21003,21004,21005,21006</v>
      </c>
      <c r="BT16" s="4">
        <f>VLOOKUP(LOOKUP($Y16,$K$48:$K$55,$L$48:$L$55)&amp;BT$1&amp;$W16,装备额外附加!$M:$O,3,0)</f>
        <v>21001</v>
      </c>
      <c r="BU16" s="4">
        <f>VLOOKUP(LOOKUP($Y16,$K$48:$K$55,$L$48:$L$55)&amp;BU$1&amp;$W16,装备额外附加!$M:$O,3,0)</f>
        <v>21002</v>
      </c>
      <c r="BV16" s="4">
        <f>VLOOKUP(LOOKUP($Y16,$K$48:$K$55,$L$48:$L$55)&amp;BV$1&amp;$W16,装备额外附加!$M:$O,3,0)</f>
        <v>21003</v>
      </c>
      <c r="BW16" s="4">
        <f>VLOOKUP(LOOKUP($Y16,$K$48:$K$55,$L$48:$L$55)&amp;BW$1&amp;$W16,装备额外附加!$M:$O,3,0)</f>
        <v>21004</v>
      </c>
      <c r="BX16" s="4">
        <f>VLOOKUP(LOOKUP($Y16,$K$48:$K$55,$L$48:$L$55)&amp;BX$1&amp;$W16,装备额外附加!$M:$O,3,0)</f>
        <v>21005</v>
      </c>
      <c r="BY16" s="4">
        <f>VLOOKUP(LOOKUP($Y16,$K$48:$K$55,$L$48:$L$55)&amp;BY$1&amp;$W16,装备额外附加!$M:$O,3,0)</f>
        <v>21006</v>
      </c>
    </row>
    <row r="17" spans="18:77">
      <c r="R17" s="4" t="s">
        <v>184</v>
      </c>
      <c r="S17" s="4" t="str">
        <f t="shared" si="11"/>
        <v>104001</v>
      </c>
      <c r="T17" s="4" t="s">
        <v>185</v>
      </c>
      <c r="U17" s="36">
        <v>30</v>
      </c>
      <c r="V17" s="36" t="str">
        <f t="shared" si="12"/>
        <v>武器</v>
      </c>
      <c r="W17" s="36" t="str">
        <f t="shared" si="13"/>
        <v>武器</v>
      </c>
      <c r="X17" s="4">
        <f t="shared" si="14"/>
        <v>1</v>
      </c>
      <c r="Y17" s="4">
        <f t="shared" si="15"/>
        <v>31</v>
      </c>
      <c r="Z17" s="4">
        <f t="shared" si="16"/>
        <v>0</v>
      </c>
      <c r="AA17" s="4" t="str">
        <f t="shared" si="17"/>
        <v>80,96,144,240,400,800</v>
      </c>
      <c r="AB17" s="36">
        <f t="shared" si="18"/>
        <v>80</v>
      </c>
      <c r="AC17" s="36">
        <f t="shared" si="38"/>
        <v>80</v>
      </c>
      <c r="AD17" s="36">
        <f t="shared" si="20"/>
        <v>96</v>
      </c>
      <c r="AE17" s="36">
        <f t="shared" si="20"/>
        <v>144</v>
      </c>
      <c r="AF17" s="36">
        <f t="shared" si="20"/>
        <v>240</v>
      </c>
      <c r="AG17" s="36">
        <f t="shared" si="20"/>
        <v>400</v>
      </c>
      <c r="AH17" s="36">
        <f t="shared" si="20"/>
        <v>800</v>
      </c>
      <c r="AJ17" s="4" t="str">
        <f t="shared" si="21"/>
        <v>400,480,720,1200,2000,</v>
      </c>
      <c r="AK17" s="36">
        <f t="shared" si="22"/>
        <v>400</v>
      </c>
      <c r="AL17" s="36">
        <f t="shared" si="23"/>
        <v>400</v>
      </c>
      <c r="AM17" s="36">
        <f t="shared" si="1"/>
        <v>480</v>
      </c>
      <c r="AN17" s="36">
        <f t="shared" si="1"/>
        <v>720</v>
      </c>
      <c r="AO17" s="36">
        <f t="shared" si="1"/>
        <v>1200</v>
      </c>
      <c r="AP17" s="36">
        <f t="shared" si="1"/>
        <v>2000</v>
      </c>
      <c r="AR17" s="4" t="str">
        <f t="shared" si="24"/>
        <v>32000,38400,57600,96000,160000,</v>
      </c>
      <c r="AS17" s="36">
        <f t="shared" si="25"/>
        <v>32000</v>
      </c>
      <c r="AT17" s="36">
        <f t="shared" si="26"/>
        <v>32000</v>
      </c>
      <c r="AU17" s="36">
        <f t="shared" si="2"/>
        <v>38400</v>
      </c>
      <c r="AV17" s="36">
        <f t="shared" si="2"/>
        <v>57600</v>
      </c>
      <c r="AW17" s="36">
        <f t="shared" si="2"/>
        <v>96000</v>
      </c>
      <c r="AX17" s="36">
        <f t="shared" si="2"/>
        <v>160000</v>
      </c>
      <c r="AZ17" s="4">
        <f t="shared" si="27"/>
        <v>0</v>
      </c>
      <c r="BA17" s="4">
        <f t="shared" si="28"/>
        <v>12</v>
      </c>
      <c r="BB17" s="4">
        <f t="shared" si="29"/>
        <v>0</v>
      </c>
      <c r="BC17" s="35" t="str">
        <f t="shared" si="30"/>
        <v/>
      </c>
      <c r="BD17" s="35" t="str">
        <f t="shared" si="3"/>
        <v>12,12,12,</v>
      </c>
      <c r="BE17" s="35" t="str">
        <f t="shared" si="31"/>
        <v/>
      </c>
      <c r="BF17" s="36" t="str">
        <f t="shared" si="32"/>
        <v/>
      </c>
      <c r="BG17" s="36" t="str">
        <f>IF(BA17=0,"",IF(Z17=0,"3,4,5",VLOOKUP(Z17,{1,3;2,4;3,5},2,0))&amp;",")</f>
        <v>3,4,5,</v>
      </c>
      <c r="BH17" s="36" t="str">
        <f t="shared" si="33"/>
        <v/>
      </c>
      <c r="BI17" s="34" t="str">
        <f t="shared" si="34"/>
        <v>3,4,5</v>
      </c>
      <c r="BJ17" s="34" t="str">
        <f t="shared" si="37"/>
        <v>12,12,12</v>
      </c>
      <c r="BK17" s="34" t="str">
        <f t="shared" si="35"/>
        <v>0,9,13,21,42,84</v>
      </c>
      <c r="BL17" s="4">
        <f t="shared" si="4"/>
        <v>0</v>
      </c>
      <c r="BM17" s="4">
        <f t="shared" si="5"/>
        <v>9</v>
      </c>
      <c r="BN17" s="4">
        <f t="shared" si="6"/>
        <v>13</v>
      </c>
      <c r="BO17" s="4">
        <f t="shared" si="7"/>
        <v>21</v>
      </c>
      <c r="BP17" s="4">
        <f t="shared" si="8"/>
        <v>42</v>
      </c>
      <c r="BQ17" s="4">
        <f t="shared" si="9"/>
        <v>84</v>
      </c>
      <c r="BR17" s="34" t="str">
        <f t="shared" si="10"/>
        <v>1001,1002,1003,1004,1005,1006</v>
      </c>
      <c r="BS17" s="34" t="str">
        <f t="shared" si="36"/>
        <v>11001,11002,11003,11004,11005,11006</v>
      </c>
      <c r="BT17" s="4">
        <f>VLOOKUP(LOOKUP($Y17,$K$48:$K$55,$L$48:$L$55)&amp;BT$1&amp;$W17,装备额外附加!$M:$O,3,0)</f>
        <v>11001</v>
      </c>
      <c r="BU17" s="4">
        <f>VLOOKUP(LOOKUP($Y17,$K$48:$K$55,$L$48:$L$55)&amp;BU$1&amp;$W17,装备额外附加!$M:$O,3,0)</f>
        <v>11002</v>
      </c>
      <c r="BV17" s="4">
        <f>VLOOKUP(LOOKUP($Y17,$K$48:$K$55,$L$48:$L$55)&amp;BV$1&amp;$W17,装备额外附加!$M:$O,3,0)</f>
        <v>11003</v>
      </c>
      <c r="BW17" s="4">
        <f>VLOOKUP(LOOKUP($Y17,$K$48:$K$55,$L$48:$L$55)&amp;BW$1&amp;$W17,装备额外附加!$M:$O,3,0)</f>
        <v>11004</v>
      </c>
      <c r="BX17" s="4">
        <f>VLOOKUP(LOOKUP($Y17,$K$48:$K$55,$L$48:$L$55)&amp;BX$1&amp;$W17,装备额外附加!$M:$O,3,0)</f>
        <v>11005</v>
      </c>
      <c r="BY17" s="4">
        <f>VLOOKUP(LOOKUP($Y17,$K$48:$K$55,$L$48:$L$55)&amp;BY$1&amp;$W17,装备额外附加!$M:$O,3,0)</f>
        <v>11006</v>
      </c>
    </row>
    <row r="18" spans="1:77">
      <c r="A18" s="47" t="s">
        <v>186</v>
      </c>
      <c r="B18" s="4" t="s">
        <v>187</v>
      </c>
      <c r="R18" s="4" t="s">
        <v>188</v>
      </c>
      <c r="S18" s="4" t="str">
        <f t="shared" si="11"/>
        <v>104002</v>
      </c>
      <c r="T18" s="4" t="s">
        <v>189</v>
      </c>
      <c r="U18" s="36">
        <v>30</v>
      </c>
      <c r="V18" s="36" t="str">
        <f t="shared" si="12"/>
        <v>头盔</v>
      </c>
      <c r="W18" s="36" t="str">
        <f t="shared" si="13"/>
        <v>护甲</v>
      </c>
      <c r="X18" s="4">
        <f t="shared" si="14"/>
        <v>2</v>
      </c>
      <c r="Y18" s="4">
        <f t="shared" si="15"/>
        <v>37</v>
      </c>
      <c r="Z18" s="4">
        <f t="shared" si="16"/>
        <v>0</v>
      </c>
      <c r="AA18" s="4" t="str">
        <f t="shared" si="17"/>
        <v>72,86,129,216,360,720</v>
      </c>
      <c r="AB18" s="36">
        <f t="shared" si="18"/>
        <v>80</v>
      </c>
      <c r="AC18" s="36">
        <f t="shared" si="38"/>
        <v>72</v>
      </c>
      <c r="AD18" s="36">
        <f t="shared" ref="AD18:AG37" si="41">INT($AB18*VLOOKUP(AD$1,$B$11:$L$16,11,0)*VLOOKUP($V18,$C$22:$M$29,11,0))</f>
        <v>86</v>
      </c>
      <c r="AE18" s="36">
        <f t="shared" si="41"/>
        <v>129</v>
      </c>
      <c r="AF18" s="36">
        <f t="shared" si="41"/>
        <v>216</v>
      </c>
      <c r="AG18" s="36">
        <f t="shared" si="41"/>
        <v>360</v>
      </c>
      <c r="AH18" s="36">
        <f t="shared" ref="AH18:AH81" si="42">INT($AB18*VLOOKUP(AH$1,$B$11:$L$16,11,0)*VLOOKUP($V18,$C$22:$M$29,11,0))</f>
        <v>720</v>
      </c>
      <c r="AJ18" s="4" t="str">
        <f t="shared" si="21"/>
        <v>360,432,648,1080,1800,</v>
      </c>
      <c r="AK18" s="36">
        <f t="shared" si="22"/>
        <v>400</v>
      </c>
      <c r="AL18" s="36">
        <f t="shared" si="23"/>
        <v>360</v>
      </c>
      <c r="AM18" s="36">
        <f t="shared" si="23"/>
        <v>432</v>
      </c>
      <c r="AN18" s="36">
        <f t="shared" si="23"/>
        <v>648</v>
      </c>
      <c r="AO18" s="36">
        <f t="shared" si="23"/>
        <v>1080</v>
      </c>
      <c r="AP18" s="36">
        <f t="shared" si="23"/>
        <v>1800</v>
      </c>
      <c r="AR18" s="4" t="str">
        <f t="shared" si="24"/>
        <v>28800,34560,51840,86400,144000,</v>
      </c>
      <c r="AS18" s="36">
        <f t="shared" si="25"/>
        <v>32000</v>
      </c>
      <c r="AT18" s="36">
        <f t="shared" si="26"/>
        <v>28800</v>
      </c>
      <c r="AU18" s="36">
        <f t="shared" si="26"/>
        <v>34560</v>
      </c>
      <c r="AV18" s="36">
        <f t="shared" si="26"/>
        <v>51840</v>
      </c>
      <c r="AW18" s="36">
        <f t="shared" si="26"/>
        <v>86400</v>
      </c>
      <c r="AX18" s="36">
        <f t="shared" si="26"/>
        <v>144000</v>
      </c>
      <c r="AZ18" s="4">
        <f t="shared" si="27"/>
        <v>0</v>
      </c>
      <c r="BA18" s="4">
        <f t="shared" si="28"/>
        <v>6</v>
      </c>
      <c r="BB18" s="4">
        <f t="shared" si="29"/>
        <v>5</v>
      </c>
      <c r="BC18" s="35" t="str">
        <f t="shared" si="30"/>
        <v/>
      </c>
      <c r="BD18" s="35" t="str">
        <f t="shared" si="3"/>
        <v>6,6,6,</v>
      </c>
      <c r="BE18" s="35" t="str">
        <f t="shared" si="31"/>
        <v>5,</v>
      </c>
      <c r="BF18" s="36" t="str">
        <f t="shared" si="32"/>
        <v/>
      </c>
      <c r="BG18" s="36" t="str">
        <f>IF(BA18=0,"",IF(Z18=0,"3,4,5",VLOOKUP(Z18,{1,3;2,4;3,5},2,0))&amp;",")</f>
        <v>3,4,5,</v>
      </c>
      <c r="BH18" s="36" t="str">
        <f t="shared" si="33"/>
        <v>6,</v>
      </c>
      <c r="BI18" s="34" t="str">
        <f t="shared" si="34"/>
        <v>3,4,5,6</v>
      </c>
      <c r="BJ18" s="34" t="str">
        <f t="shared" si="37"/>
        <v>6,6,6,5</v>
      </c>
      <c r="BK18" s="34" t="str">
        <f t="shared" si="35"/>
        <v>0,6,9,14,28,56</v>
      </c>
      <c r="BL18" s="4">
        <f t="shared" si="4"/>
        <v>0</v>
      </c>
      <c r="BM18" s="4">
        <f t="shared" si="5"/>
        <v>6</v>
      </c>
      <c r="BN18" s="4">
        <f t="shared" si="6"/>
        <v>9</v>
      </c>
      <c r="BO18" s="4">
        <f t="shared" si="7"/>
        <v>14</v>
      </c>
      <c r="BP18" s="4">
        <f t="shared" si="8"/>
        <v>28</v>
      </c>
      <c r="BQ18" s="4">
        <f t="shared" si="9"/>
        <v>56</v>
      </c>
      <c r="BR18" s="34" t="str">
        <f t="shared" si="10"/>
        <v>2001,2002,2003,2004,2005,2006</v>
      </c>
      <c r="BS18" s="34" t="str">
        <f t="shared" si="36"/>
        <v>21001,21002,21003,21004,21005,21006</v>
      </c>
      <c r="BT18" s="4">
        <f>VLOOKUP(LOOKUP($Y18,$K$48:$K$55,$L$48:$L$55)&amp;BT$1&amp;$W18,装备额外附加!$M:$O,3,0)</f>
        <v>21001</v>
      </c>
      <c r="BU18" s="4">
        <f>VLOOKUP(LOOKUP($Y18,$K$48:$K$55,$L$48:$L$55)&amp;BU$1&amp;$W18,装备额外附加!$M:$O,3,0)</f>
        <v>21002</v>
      </c>
      <c r="BV18" s="4">
        <f>VLOOKUP(LOOKUP($Y18,$K$48:$K$55,$L$48:$L$55)&amp;BV$1&amp;$W18,装备额外附加!$M:$O,3,0)</f>
        <v>21003</v>
      </c>
      <c r="BW18" s="4">
        <f>VLOOKUP(LOOKUP($Y18,$K$48:$K$55,$L$48:$L$55)&amp;BW$1&amp;$W18,装备额外附加!$M:$O,3,0)</f>
        <v>21004</v>
      </c>
      <c r="BX18" s="4">
        <f>VLOOKUP(LOOKUP($Y18,$K$48:$K$55,$L$48:$L$55)&amp;BX$1&amp;$W18,装备额外附加!$M:$O,3,0)</f>
        <v>21005</v>
      </c>
      <c r="BY18" s="4">
        <f>VLOOKUP(LOOKUP($Y18,$K$48:$K$55,$L$48:$L$55)&amp;BY$1&amp;$W18,装备额外附加!$M:$O,3,0)</f>
        <v>21006</v>
      </c>
    </row>
    <row r="19" ht="15" spans="18:77">
      <c r="R19" s="4" t="s">
        <v>190</v>
      </c>
      <c r="S19" s="4" t="str">
        <f t="shared" si="11"/>
        <v>104003</v>
      </c>
      <c r="T19" s="4" t="s">
        <v>191</v>
      </c>
      <c r="U19" s="36">
        <v>30</v>
      </c>
      <c r="V19" s="36" t="str">
        <f t="shared" si="12"/>
        <v>衣服</v>
      </c>
      <c r="W19" s="36" t="str">
        <f t="shared" si="13"/>
        <v>护甲</v>
      </c>
      <c r="X19" s="4">
        <f t="shared" si="14"/>
        <v>3</v>
      </c>
      <c r="Y19" s="4">
        <f t="shared" si="15"/>
        <v>35</v>
      </c>
      <c r="Z19" s="4">
        <f t="shared" si="16"/>
        <v>0</v>
      </c>
      <c r="AA19" s="4" t="str">
        <f t="shared" si="17"/>
        <v>72,86,129,216,360,720</v>
      </c>
      <c r="AB19" s="36">
        <f t="shared" si="18"/>
        <v>80</v>
      </c>
      <c r="AC19" s="36">
        <f t="shared" si="38"/>
        <v>72</v>
      </c>
      <c r="AD19" s="36">
        <f t="shared" si="41"/>
        <v>86</v>
      </c>
      <c r="AE19" s="36">
        <f t="shared" si="41"/>
        <v>129</v>
      </c>
      <c r="AF19" s="36">
        <f t="shared" si="41"/>
        <v>216</v>
      </c>
      <c r="AG19" s="36">
        <f t="shared" si="41"/>
        <v>360</v>
      </c>
      <c r="AH19" s="36">
        <f t="shared" si="42"/>
        <v>720</v>
      </c>
      <c r="AJ19" s="4" t="str">
        <f t="shared" si="21"/>
        <v>360,432,648,1080,1800,</v>
      </c>
      <c r="AK19" s="36">
        <f t="shared" si="22"/>
        <v>400</v>
      </c>
      <c r="AL19" s="36">
        <f t="shared" si="23"/>
        <v>360</v>
      </c>
      <c r="AM19" s="36">
        <f t="shared" si="23"/>
        <v>432</v>
      </c>
      <c r="AN19" s="36">
        <f t="shared" si="23"/>
        <v>648</v>
      </c>
      <c r="AO19" s="36">
        <f t="shared" si="23"/>
        <v>1080</v>
      </c>
      <c r="AP19" s="36">
        <f t="shared" si="23"/>
        <v>1800</v>
      </c>
      <c r="AR19" s="4" t="str">
        <f t="shared" si="24"/>
        <v>28800,34560,51840,86400,144000,</v>
      </c>
      <c r="AS19" s="36">
        <f t="shared" si="25"/>
        <v>32000</v>
      </c>
      <c r="AT19" s="36">
        <f t="shared" si="26"/>
        <v>28800</v>
      </c>
      <c r="AU19" s="36">
        <f t="shared" si="26"/>
        <v>34560</v>
      </c>
      <c r="AV19" s="36">
        <f t="shared" si="26"/>
        <v>51840</v>
      </c>
      <c r="AW19" s="36">
        <f t="shared" si="26"/>
        <v>86400</v>
      </c>
      <c r="AX19" s="36">
        <f t="shared" si="26"/>
        <v>144000</v>
      </c>
      <c r="AZ19" s="4">
        <f t="shared" si="27"/>
        <v>94</v>
      </c>
      <c r="BA19" s="4">
        <f t="shared" si="28"/>
        <v>0</v>
      </c>
      <c r="BB19" s="4">
        <f t="shared" si="29"/>
        <v>5</v>
      </c>
      <c r="BC19" s="35" t="str">
        <f t="shared" si="30"/>
        <v>94,</v>
      </c>
      <c r="BD19" s="35" t="str">
        <f t="shared" si="3"/>
        <v/>
      </c>
      <c r="BE19" s="35" t="str">
        <f t="shared" si="31"/>
        <v>5,</v>
      </c>
      <c r="BF19" s="36" t="str">
        <f t="shared" si="32"/>
        <v>1,</v>
      </c>
      <c r="BG19" s="36" t="str">
        <f>IF(BA19=0,"",IF(Z19=0,"3,4,5",VLOOKUP(Z19,{1,3;2,4;3,5},2,0))&amp;",")</f>
        <v/>
      </c>
      <c r="BH19" s="36" t="str">
        <f t="shared" si="33"/>
        <v>6,</v>
      </c>
      <c r="BI19" s="34" t="str">
        <f t="shared" si="34"/>
        <v>1,6</v>
      </c>
      <c r="BJ19" s="34" t="str">
        <f t="shared" si="37"/>
        <v>94,5</v>
      </c>
      <c r="BK19" s="34" t="str">
        <f t="shared" si="35"/>
        <v>0,6,9,14,28,56</v>
      </c>
      <c r="BL19" s="4">
        <f t="shared" si="4"/>
        <v>0</v>
      </c>
      <c r="BM19" s="4">
        <f t="shared" si="5"/>
        <v>6</v>
      </c>
      <c r="BN19" s="4">
        <f t="shared" si="6"/>
        <v>9</v>
      </c>
      <c r="BO19" s="4">
        <f t="shared" si="7"/>
        <v>14</v>
      </c>
      <c r="BP19" s="4">
        <f t="shared" si="8"/>
        <v>28</v>
      </c>
      <c r="BQ19" s="4">
        <f t="shared" si="9"/>
        <v>56</v>
      </c>
      <c r="BR19" s="34" t="str">
        <f t="shared" si="10"/>
        <v>2001,2002,2003,2004,2005,2006</v>
      </c>
      <c r="BS19" s="34" t="str">
        <f t="shared" si="36"/>
        <v>21001,21002,21003,21004,21005,21006</v>
      </c>
      <c r="BT19" s="4">
        <f>VLOOKUP(LOOKUP($Y19,$K$48:$K$55,$L$48:$L$55)&amp;BT$1&amp;$W19,装备额外附加!$M:$O,3,0)</f>
        <v>21001</v>
      </c>
      <c r="BU19" s="4">
        <f>VLOOKUP(LOOKUP($Y19,$K$48:$K$55,$L$48:$L$55)&amp;BU$1&amp;$W19,装备额外附加!$M:$O,3,0)</f>
        <v>21002</v>
      </c>
      <c r="BV19" s="4">
        <f>VLOOKUP(LOOKUP($Y19,$K$48:$K$55,$L$48:$L$55)&amp;BV$1&amp;$W19,装备额外附加!$M:$O,3,0)</f>
        <v>21003</v>
      </c>
      <c r="BW19" s="4">
        <f>VLOOKUP(LOOKUP($Y19,$K$48:$K$55,$L$48:$L$55)&amp;BW$1&amp;$W19,装备额外附加!$M:$O,3,0)</f>
        <v>21004</v>
      </c>
      <c r="BX19" s="4">
        <f>VLOOKUP(LOOKUP($Y19,$K$48:$K$55,$L$48:$L$55)&amp;BX$1&amp;$W19,装备额外附加!$M:$O,3,0)</f>
        <v>21005</v>
      </c>
      <c r="BY19" s="4">
        <f>VLOOKUP(LOOKUP($Y19,$K$48:$K$55,$L$48:$L$55)&amp;BY$1&amp;$W19,装备额外附加!$M:$O,3,0)</f>
        <v>21006</v>
      </c>
    </row>
    <row r="20" spans="4:77">
      <c r="D20" s="48" t="s">
        <v>10</v>
      </c>
      <c r="E20" s="49" t="s">
        <v>106</v>
      </c>
      <c r="F20" s="50" t="s">
        <v>17</v>
      </c>
      <c r="G20" s="49"/>
      <c r="H20" s="49"/>
      <c r="I20" s="50"/>
      <c r="R20" s="4" t="s">
        <v>192</v>
      </c>
      <c r="S20" s="4" t="str">
        <f t="shared" si="11"/>
        <v>104004</v>
      </c>
      <c r="T20" s="4" t="s">
        <v>193</v>
      </c>
      <c r="U20" s="36">
        <v>30</v>
      </c>
      <c r="V20" s="36" t="str">
        <f t="shared" si="12"/>
        <v>腰带</v>
      </c>
      <c r="W20" s="36" t="str">
        <f t="shared" si="13"/>
        <v>护甲</v>
      </c>
      <c r="X20" s="4">
        <f t="shared" si="14"/>
        <v>4</v>
      </c>
      <c r="Y20" s="4">
        <f t="shared" si="15"/>
        <v>38</v>
      </c>
      <c r="Z20" s="4">
        <f t="shared" si="16"/>
        <v>0</v>
      </c>
      <c r="AA20" s="4" t="str">
        <f t="shared" si="17"/>
        <v>64,76,115,192,320,640</v>
      </c>
      <c r="AB20" s="36">
        <f t="shared" si="18"/>
        <v>80</v>
      </c>
      <c r="AC20" s="36">
        <f t="shared" si="38"/>
        <v>64</v>
      </c>
      <c r="AD20" s="36">
        <f t="shared" si="41"/>
        <v>76</v>
      </c>
      <c r="AE20" s="36">
        <f t="shared" si="41"/>
        <v>115</v>
      </c>
      <c r="AF20" s="36">
        <f t="shared" si="41"/>
        <v>192</v>
      </c>
      <c r="AG20" s="36">
        <f t="shared" si="41"/>
        <v>320</v>
      </c>
      <c r="AH20" s="36">
        <f t="shared" si="42"/>
        <v>640</v>
      </c>
      <c r="AJ20" s="4" t="str">
        <f t="shared" si="21"/>
        <v>320,384,576,960,1600,</v>
      </c>
      <c r="AK20" s="36">
        <f t="shared" si="22"/>
        <v>400</v>
      </c>
      <c r="AL20" s="36">
        <f t="shared" si="23"/>
        <v>320</v>
      </c>
      <c r="AM20" s="36">
        <f t="shared" si="23"/>
        <v>384</v>
      </c>
      <c r="AN20" s="36">
        <f t="shared" si="23"/>
        <v>576</v>
      </c>
      <c r="AO20" s="36">
        <f t="shared" si="23"/>
        <v>960</v>
      </c>
      <c r="AP20" s="36">
        <f t="shared" si="23"/>
        <v>1600</v>
      </c>
      <c r="AR20" s="4" t="str">
        <f t="shared" si="24"/>
        <v>25600,30720,46080,76800,128000,</v>
      </c>
      <c r="AS20" s="36">
        <f t="shared" si="25"/>
        <v>32000</v>
      </c>
      <c r="AT20" s="36">
        <f t="shared" si="26"/>
        <v>25600</v>
      </c>
      <c r="AU20" s="36">
        <f t="shared" si="26"/>
        <v>30720</v>
      </c>
      <c r="AV20" s="36">
        <f t="shared" si="26"/>
        <v>46080</v>
      </c>
      <c r="AW20" s="36">
        <f t="shared" si="26"/>
        <v>76800</v>
      </c>
      <c r="AX20" s="36">
        <f t="shared" si="26"/>
        <v>128000</v>
      </c>
      <c r="AZ20" s="4">
        <f t="shared" si="27"/>
        <v>47</v>
      </c>
      <c r="BA20" s="4">
        <f t="shared" si="28"/>
        <v>0</v>
      </c>
      <c r="BB20" s="4">
        <f t="shared" si="29"/>
        <v>4</v>
      </c>
      <c r="BC20" s="35" t="str">
        <f t="shared" si="30"/>
        <v>47,</v>
      </c>
      <c r="BD20" s="35" t="str">
        <f t="shared" si="3"/>
        <v/>
      </c>
      <c r="BE20" s="35" t="str">
        <f t="shared" si="31"/>
        <v>4,</v>
      </c>
      <c r="BF20" s="36" t="str">
        <f t="shared" si="32"/>
        <v>1,</v>
      </c>
      <c r="BG20" s="36" t="str">
        <f>IF(BA20=0,"",IF(Z20=0,"3,4,5",VLOOKUP(Z20,{1,3;2,4;3,5},2,0))&amp;",")</f>
        <v/>
      </c>
      <c r="BH20" s="36" t="str">
        <f t="shared" si="33"/>
        <v>6,</v>
      </c>
      <c r="BI20" s="34" t="str">
        <f t="shared" si="34"/>
        <v>1,6</v>
      </c>
      <c r="BJ20" s="34" t="str">
        <f t="shared" si="37"/>
        <v>47,4</v>
      </c>
      <c r="BK20" s="34" t="str">
        <f t="shared" si="35"/>
        <v>0,6,9,14,28,56</v>
      </c>
      <c r="BL20" s="4">
        <f t="shared" si="4"/>
        <v>0</v>
      </c>
      <c r="BM20" s="4">
        <f t="shared" si="5"/>
        <v>6</v>
      </c>
      <c r="BN20" s="4">
        <f t="shared" si="6"/>
        <v>9</v>
      </c>
      <c r="BO20" s="4">
        <f t="shared" si="7"/>
        <v>14</v>
      </c>
      <c r="BP20" s="4">
        <f t="shared" si="8"/>
        <v>28</v>
      </c>
      <c r="BQ20" s="4">
        <f t="shared" si="9"/>
        <v>56</v>
      </c>
      <c r="BR20" s="34" t="str">
        <f t="shared" si="10"/>
        <v>2001,2002,2003,2004,2005,2006</v>
      </c>
      <c r="BS20" s="34" t="str">
        <f t="shared" si="36"/>
        <v>21001,21002,21003,21004,21005,21006</v>
      </c>
      <c r="BT20" s="4">
        <f>VLOOKUP(LOOKUP($Y20,$K$48:$K$55,$L$48:$L$55)&amp;BT$1&amp;$W20,装备额外附加!$M:$O,3,0)</f>
        <v>21001</v>
      </c>
      <c r="BU20" s="4">
        <f>VLOOKUP(LOOKUP($Y20,$K$48:$K$55,$L$48:$L$55)&amp;BU$1&amp;$W20,装备额外附加!$M:$O,3,0)</f>
        <v>21002</v>
      </c>
      <c r="BV20" s="4">
        <f>VLOOKUP(LOOKUP($Y20,$K$48:$K$55,$L$48:$L$55)&amp;BV$1&amp;$W20,装备额外附加!$M:$O,3,0)</f>
        <v>21003</v>
      </c>
      <c r="BW20" s="4">
        <f>VLOOKUP(LOOKUP($Y20,$K$48:$K$55,$L$48:$L$55)&amp;BW$1&amp;$W20,装备额外附加!$M:$O,3,0)</f>
        <v>21004</v>
      </c>
      <c r="BX20" s="4">
        <f>VLOOKUP(LOOKUP($Y20,$K$48:$K$55,$L$48:$L$55)&amp;BX$1&amp;$W20,装备额外附加!$M:$O,3,0)</f>
        <v>21005</v>
      </c>
      <c r="BY20" s="4">
        <f>VLOOKUP(LOOKUP($Y20,$K$48:$K$55,$L$48:$L$55)&amp;BY$1&amp;$W20,装备额外附加!$M:$O,3,0)</f>
        <v>21006</v>
      </c>
    </row>
    <row r="21" spans="4:77">
      <c r="D21" s="51">
        <f>SUM(D22:D27)+SUM(D28:D29)*2</f>
        <v>0.8</v>
      </c>
      <c r="E21" s="46">
        <f t="shared" ref="E21:F21" si="43">SUM(E22:E27)+SUM(E28:E29)*2</f>
        <v>1</v>
      </c>
      <c r="F21" s="52">
        <f t="shared" si="43"/>
        <v>1</v>
      </c>
      <c r="G21" s="46"/>
      <c r="H21" s="46"/>
      <c r="I21" s="52"/>
      <c r="K21" s="4" t="s">
        <v>112</v>
      </c>
      <c r="L21" s="4" t="s">
        <v>113</v>
      </c>
      <c r="M21" s="4" t="s">
        <v>194</v>
      </c>
      <c r="N21" s="4" t="s">
        <v>195</v>
      </c>
      <c r="R21" s="4" t="s">
        <v>196</v>
      </c>
      <c r="S21" s="4" t="str">
        <f t="shared" si="11"/>
        <v>104005</v>
      </c>
      <c r="T21" s="4" t="s">
        <v>197</v>
      </c>
      <c r="U21" s="36">
        <v>30</v>
      </c>
      <c r="V21" s="36" t="str">
        <f t="shared" si="12"/>
        <v>鞋子</v>
      </c>
      <c r="W21" s="36" t="str">
        <f t="shared" si="13"/>
        <v>护甲</v>
      </c>
      <c r="X21" s="4">
        <f t="shared" si="14"/>
        <v>5</v>
      </c>
      <c r="Y21" s="4">
        <f t="shared" si="15"/>
        <v>32</v>
      </c>
      <c r="Z21" s="4">
        <f t="shared" si="16"/>
        <v>0</v>
      </c>
      <c r="AA21" s="4" t="str">
        <f t="shared" si="17"/>
        <v>64,76,115,192,320,640</v>
      </c>
      <c r="AB21" s="36">
        <f t="shared" si="18"/>
        <v>80</v>
      </c>
      <c r="AC21" s="36">
        <f t="shared" si="38"/>
        <v>64</v>
      </c>
      <c r="AD21" s="36">
        <f t="shared" si="41"/>
        <v>76</v>
      </c>
      <c r="AE21" s="36">
        <f t="shared" si="41"/>
        <v>115</v>
      </c>
      <c r="AF21" s="36">
        <f t="shared" si="41"/>
        <v>192</v>
      </c>
      <c r="AG21" s="36">
        <f t="shared" si="41"/>
        <v>320</v>
      </c>
      <c r="AH21" s="36">
        <f t="shared" si="42"/>
        <v>640</v>
      </c>
      <c r="AJ21" s="4" t="str">
        <f t="shared" si="21"/>
        <v>320,384,576,960,1600,</v>
      </c>
      <c r="AK21" s="36">
        <f t="shared" si="22"/>
        <v>400</v>
      </c>
      <c r="AL21" s="36">
        <f t="shared" si="23"/>
        <v>320</v>
      </c>
      <c r="AM21" s="36">
        <f t="shared" si="23"/>
        <v>384</v>
      </c>
      <c r="AN21" s="36">
        <f t="shared" si="23"/>
        <v>576</v>
      </c>
      <c r="AO21" s="36">
        <f t="shared" si="23"/>
        <v>960</v>
      </c>
      <c r="AP21" s="36">
        <f t="shared" si="23"/>
        <v>1600</v>
      </c>
      <c r="AR21" s="4" t="str">
        <f t="shared" si="24"/>
        <v>25600,30720,46080,76800,128000,</v>
      </c>
      <c r="AS21" s="36">
        <f t="shared" si="25"/>
        <v>32000</v>
      </c>
      <c r="AT21" s="36">
        <f t="shared" si="26"/>
        <v>25600</v>
      </c>
      <c r="AU21" s="36">
        <f t="shared" si="26"/>
        <v>30720</v>
      </c>
      <c r="AV21" s="36">
        <f t="shared" si="26"/>
        <v>46080</v>
      </c>
      <c r="AW21" s="36">
        <f t="shared" si="26"/>
        <v>76800</v>
      </c>
      <c r="AX21" s="36">
        <f t="shared" si="26"/>
        <v>128000</v>
      </c>
      <c r="AZ21" s="4">
        <f t="shared" si="27"/>
        <v>47</v>
      </c>
      <c r="BA21" s="4">
        <f t="shared" si="28"/>
        <v>0</v>
      </c>
      <c r="BB21" s="4">
        <f t="shared" si="29"/>
        <v>4</v>
      </c>
      <c r="BC21" s="35" t="str">
        <f t="shared" si="30"/>
        <v>47,</v>
      </c>
      <c r="BD21" s="35" t="str">
        <f t="shared" si="3"/>
        <v/>
      </c>
      <c r="BE21" s="35" t="str">
        <f t="shared" si="31"/>
        <v>4,</v>
      </c>
      <c r="BF21" s="36" t="str">
        <f t="shared" si="32"/>
        <v>1,</v>
      </c>
      <c r="BG21" s="36" t="str">
        <f>IF(BA21=0,"",IF(Z21=0,"3,4,5",VLOOKUP(Z21,{1,3;2,4;3,5},2,0))&amp;",")</f>
        <v/>
      </c>
      <c r="BH21" s="36" t="str">
        <f t="shared" si="33"/>
        <v>6,</v>
      </c>
      <c r="BI21" s="34" t="str">
        <f t="shared" si="34"/>
        <v>1,6</v>
      </c>
      <c r="BJ21" s="34" t="str">
        <f t="shared" si="37"/>
        <v>47,4</v>
      </c>
      <c r="BK21" s="34" t="str">
        <f t="shared" si="35"/>
        <v>0,6,9,14,28,56</v>
      </c>
      <c r="BL21" s="4">
        <f t="shared" si="4"/>
        <v>0</v>
      </c>
      <c r="BM21" s="4">
        <f t="shared" si="5"/>
        <v>6</v>
      </c>
      <c r="BN21" s="4">
        <f t="shared" si="6"/>
        <v>9</v>
      </c>
      <c r="BO21" s="4">
        <f t="shared" si="7"/>
        <v>14</v>
      </c>
      <c r="BP21" s="4">
        <f t="shared" si="8"/>
        <v>28</v>
      </c>
      <c r="BQ21" s="4">
        <f t="shared" si="9"/>
        <v>56</v>
      </c>
      <c r="BR21" s="34" t="str">
        <f t="shared" si="10"/>
        <v>2001,2002,2003,2004,2005,2006</v>
      </c>
      <c r="BS21" s="34" t="str">
        <f t="shared" si="36"/>
        <v>21001,21002,21003,21004,21005,21006</v>
      </c>
      <c r="BT21" s="4">
        <f>VLOOKUP(LOOKUP($Y21,$K$48:$K$55,$L$48:$L$55)&amp;BT$1&amp;$W21,装备额外附加!$M:$O,3,0)</f>
        <v>21001</v>
      </c>
      <c r="BU21" s="4">
        <f>VLOOKUP(LOOKUP($Y21,$K$48:$K$55,$L$48:$L$55)&amp;BU$1&amp;$W21,装备额外附加!$M:$O,3,0)</f>
        <v>21002</v>
      </c>
      <c r="BV21" s="4">
        <f>VLOOKUP(LOOKUP($Y21,$K$48:$K$55,$L$48:$L$55)&amp;BV$1&amp;$W21,装备额外附加!$M:$O,3,0)</f>
        <v>21003</v>
      </c>
      <c r="BW21" s="4">
        <f>VLOOKUP(LOOKUP($Y21,$K$48:$K$55,$L$48:$L$55)&amp;BW$1&amp;$W21,装备额外附加!$M:$O,3,0)</f>
        <v>21004</v>
      </c>
      <c r="BX21" s="4">
        <f>VLOOKUP(LOOKUP($Y21,$K$48:$K$55,$L$48:$L$55)&amp;BX$1&amp;$W21,装备额外附加!$M:$O,3,0)</f>
        <v>21005</v>
      </c>
      <c r="BY21" s="4">
        <f>VLOOKUP(LOOKUP($Y21,$K$48:$K$55,$L$48:$L$55)&amp;BY$1&amp;$W21,装备额外附加!$M:$O,3,0)</f>
        <v>21006</v>
      </c>
    </row>
    <row r="22" spans="2:77">
      <c r="B22" s="4">
        <v>1</v>
      </c>
      <c r="C22" s="41" t="s">
        <v>198</v>
      </c>
      <c r="D22" s="41"/>
      <c r="E22" s="41">
        <v>0.3</v>
      </c>
      <c r="F22" s="41"/>
      <c r="G22" s="41"/>
      <c r="H22" s="41"/>
      <c r="I22" s="41" t="s">
        <v>198</v>
      </c>
      <c r="K22" s="4">
        <v>1</v>
      </c>
      <c r="L22" s="4">
        <v>1</v>
      </c>
      <c r="M22" s="4">
        <v>1</v>
      </c>
      <c r="N22" s="4">
        <v>1.5</v>
      </c>
      <c r="O22" s="36" t="s">
        <v>199</v>
      </c>
      <c r="P22" s="36">
        <v>0</v>
      </c>
      <c r="R22" s="4" t="s">
        <v>200</v>
      </c>
      <c r="S22" s="4" t="str">
        <f t="shared" si="11"/>
        <v>105001</v>
      </c>
      <c r="T22" s="4" t="s">
        <v>201</v>
      </c>
      <c r="U22" s="36">
        <v>40</v>
      </c>
      <c r="V22" s="36" t="str">
        <f t="shared" si="12"/>
        <v>武器</v>
      </c>
      <c r="W22" s="36" t="str">
        <f t="shared" si="13"/>
        <v>武器</v>
      </c>
      <c r="X22" s="4">
        <f t="shared" si="14"/>
        <v>1</v>
      </c>
      <c r="Y22" s="4">
        <f t="shared" si="15"/>
        <v>41</v>
      </c>
      <c r="Z22" s="4">
        <f t="shared" si="16"/>
        <v>0</v>
      </c>
      <c r="AA22" s="4" t="str">
        <f t="shared" si="17"/>
        <v>100,120,180,300,500,1000</v>
      </c>
      <c r="AB22" s="36">
        <f t="shared" si="18"/>
        <v>100</v>
      </c>
      <c r="AC22" s="36">
        <f t="shared" si="38"/>
        <v>100</v>
      </c>
      <c r="AD22" s="36">
        <f t="shared" si="41"/>
        <v>120</v>
      </c>
      <c r="AE22" s="36">
        <f t="shared" si="41"/>
        <v>180</v>
      </c>
      <c r="AF22" s="36">
        <f t="shared" si="41"/>
        <v>300</v>
      </c>
      <c r="AG22" s="36">
        <f t="shared" si="41"/>
        <v>500</v>
      </c>
      <c r="AH22" s="36">
        <f t="shared" si="42"/>
        <v>1000</v>
      </c>
      <c r="AJ22" s="4" t="str">
        <f t="shared" si="21"/>
        <v>500,600,900,1500,2500,</v>
      </c>
      <c r="AK22" s="36">
        <f t="shared" si="22"/>
        <v>500</v>
      </c>
      <c r="AL22" s="36">
        <f t="shared" si="23"/>
        <v>500</v>
      </c>
      <c r="AM22" s="36">
        <f t="shared" si="23"/>
        <v>600</v>
      </c>
      <c r="AN22" s="36">
        <f t="shared" si="23"/>
        <v>900</v>
      </c>
      <c r="AO22" s="36">
        <f t="shared" si="23"/>
        <v>1500</v>
      </c>
      <c r="AP22" s="36">
        <f t="shared" si="23"/>
        <v>2500</v>
      </c>
      <c r="AR22" s="4" t="str">
        <f t="shared" si="24"/>
        <v>40000,48000,72000,120000,200000,</v>
      </c>
      <c r="AS22" s="36">
        <f t="shared" si="25"/>
        <v>40000</v>
      </c>
      <c r="AT22" s="36">
        <f t="shared" si="26"/>
        <v>40000</v>
      </c>
      <c r="AU22" s="36">
        <f t="shared" si="26"/>
        <v>48000</v>
      </c>
      <c r="AV22" s="36">
        <f t="shared" si="26"/>
        <v>72000</v>
      </c>
      <c r="AW22" s="36">
        <f t="shared" si="26"/>
        <v>120000</v>
      </c>
      <c r="AX22" s="36">
        <f t="shared" si="26"/>
        <v>200000</v>
      </c>
      <c r="AZ22" s="4">
        <f t="shared" si="27"/>
        <v>0</v>
      </c>
      <c r="BA22" s="4">
        <f t="shared" si="28"/>
        <v>17</v>
      </c>
      <c r="BB22" s="4">
        <f t="shared" si="29"/>
        <v>0</v>
      </c>
      <c r="BC22" s="35" t="str">
        <f t="shared" si="30"/>
        <v/>
      </c>
      <c r="BD22" s="35" t="str">
        <f t="shared" si="3"/>
        <v>17,17,17,</v>
      </c>
      <c r="BE22" s="35" t="str">
        <f t="shared" si="31"/>
        <v/>
      </c>
      <c r="BF22" s="36" t="str">
        <f t="shared" si="32"/>
        <v/>
      </c>
      <c r="BG22" s="36" t="str">
        <f>IF(BA22=0,"",IF(Z22=0,"3,4,5",VLOOKUP(Z22,{1,3;2,4;3,5},2,0))&amp;",")</f>
        <v>3,4,5,</v>
      </c>
      <c r="BH22" s="36" t="str">
        <f t="shared" si="33"/>
        <v/>
      </c>
      <c r="BI22" s="34" t="str">
        <f t="shared" si="34"/>
        <v>3,4,5</v>
      </c>
      <c r="BJ22" s="34" t="str">
        <f t="shared" si="37"/>
        <v>17,17,17</v>
      </c>
      <c r="BK22" s="34" t="str">
        <f t="shared" si="35"/>
        <v>0,12,18,28,57,115</v>
      </c>
      <c r="BL22" s="4">
        <f t="shared" si="4"/>
        <v>0</v>
      </c>
      <c r="BM22" s="4">
        <f t="shared" si="5"/>
        <v>12</v>
      </c>
      <c r="BN22" s="4">
        <f t="shared" si="6"/>
        <v>18</v>
      </c>
      <c r="BO22" s="4">
        <f t="shared" si="7"/>
        <v>28</v>
      </c>
      <c r="BP22" s="4">
        <f t="shared" si="8"/>
        <v>57</v>
      </c>
      <c r="BQ22" s="4">
        <f t="shared" si="9"/>
        <v>115</v>
      </c>
      <c r="BR22" s="34" t="str">
        <f t="shared" si="10"/>
        <v>1001,1002,1003,1004,1005,1006</v>
      </c>
      <c r="BS22" s="34" t="str">
        <f t="shared" si="36"/>
        <v>12001,12002,12003,12004,12005,12006</v>
      </c>
      <c r="BT22" s="4">
        <f>VLOOKUP(LOOKUP($Y22,$K$48:$K$55,$L$48:$L$55)&amp;BT$1&amp;$W22,装备额外附加!$M:$O,3,0)</f>
        <v>12001</v>
      </c>
      <c r="BU22" s="4">
        <f>VLOOKUP(LOOKUP($Y22,$K$48:$K$55,$L$48:$L$55)&amp;BU$1&amp;$W22,装备额外附加!$M:$O,3,0)</f>
        <v>12002</v>
      </c>
      <c r="BV22" s="4">
        <f>VLOOKUP(LOOKUP($Y22,$K$48:$K$55,$L$48:$L$55)&amp;BV$1&amp;$W22,装备额外附加!$M:$O,3,0)</f>
        <v>12003</v>
      </c>
      <c r="BW22" s="4">
        <f>VLOOKUP(LOOKUP($Y22,$K$48:$K$55,$L$48:$L$55)&amp;BW$1&amp;$W22,装备额外附加!$M:$O,3,0)</f>
        <v>12004</v>
      </c>
      <c r="BX22" s="4">
        <f>VLOOKUP(LOOKUP($Y22,$K$48:$K$55,$L$48:$L$55)&amp;BX$1&amp;$W22,装备额外附加!$M:$O,3,0)</f>
        <v>12005</v>
      </c>
      <c r="BY22" s="4">
        <f>VLOOKUP(LOOKUP($Y22,$K$48:$K$55,$L$48:$L$55)&amp;BY$1&amp;$W22,装备额外附加!$M:$O,3,0)</f>
        <v>12006</v>
      </c>
    </row>
    <row r="23" spans="2:77">
      <c r="B23" s="4">
        <v>1</v>
      </c>
      <c r="C23" s="41" t="s">
        <v>202</v>
      </c>
      <c r="D23" s="41"/>
      <c r="E23" s="41">
        <v>0.15</v>
      </c>
      <c r="F23" s="41">
        <v>0.25</v>
      </c>
      <c r="G23" s="41"/>
      <c r="H23" s="41"/>
      <c r="I23" s="41" t="s">
        <v>203</v>
      </c>
      <c r="K23" s="4">
        <v>2</v>
      </c>
      <c r="L23" s="4">
        <v>7</v>
      </c>
      <c r="M23" s="4">
        <v>0.9</v>
      </c>
      <c r="N23" s="4">
        <v>1</v>
      </c>
      <c r="O23" s="36" t="s">
        <v>93</v>
      </c>
      <c r="P23" s="36">
        <v>1</v>
      </c>
      <c r="R23" s="4" t="s">
        <v>204</v>
      </c>
      <c r="S23" s="4" t="str">
        <f t="shared" si="11"/>
        <v>105002</v>
      </c>
      <c r="T23" s="4" t="s">
        <v>205</v>
      </c>
      <c r="U23" s="36">
        <v>40</v>
      </c>
      <c r="V23" s="36" t="str">
        <f t="shared" si="12"/>
        <v>头盔</v>
      </c>
      <c r="W23" s="36" t="str">
        <f t="shared" si="13"/>
        <v>护甲</v>
      </c>
      <c r="X23" s="4">
        <f t="shared" si="14"/>
        <v>2</v>
      </c>
      <c r="Y23" s="4">
        <f t="shared" si="15"/>
        <v>47</v>
      </c>
      <c r="Z23" s="4">
        <f t="shared" si="16"/>
        <v>0</v>
      </c>
      <c r="AA23" s="4" t="str">
        <f t="shared" si="17"/>
        <v>90,108,162,270,450,900</v>
      </c>
      <c r="AB23" s="36">
        <f t="shared" si="18"/>
        <v>100</v>
      </c>
      <c r="AC23" s="36">
        <f t="shared" si="38"/>
        <v>90</v>
      </c>
      <c r="AD23" s="36">
        <f t="shared" si="41"/>
        <v>108</v>
      </c>
      <c r="AE23" s="36">
        <f t="shared" si="41"/>
        <v>162</v>
      </c>
      <c r="AF23" s="36">
        <f t="shared" si="41"/>
        <v>270</v>
      </c>
      <c r="AG23" s="36">
        <f t="shared" si="41"/>
        <v>450</v>
      </c>
      <c r="AH23" s="36">
        <f t="shared" si="42"/>
        <v>900</v>
      </c>
      <c r="AJ23" s="4" t="str">
        <f t="shared" si="21"/>
        <v>450,540,810,1350,2250,</v>
      </c>
      <c r="AK23" s="36">
        <f t="shared" si="22"/>
        <v>500</v>
      </c>
      <c r="AL23" s="36">
        <f t="shared" si="23"/>
        <v>450</v>
      </c>
      <c r="AM23" s="36">
        <f t="shared" si="23"/>
        <v>540</v>
      </c>
      <c r="AN23" s="36">
        <f t="shared" si="23"/>
        <v>810</v>
      </c>
      <c r="AO23" s="36">
        <f t="shared" si="23"/>
        <v>1350</v>
      </c>
      <c r="AP23" s="36">
        <f t="shared" si="23"/>
        <v>2250</v>
      </c>
      <c r="AR23" s="4" t="str">
        <f t="shared" si="24"/>
        <v>36000,43200,64800,108000,180000,</v>
      </c>
      <c r="AS23" s="36">
        <f t="shared" si="25"/>
        <v>40000</v>
      </c>
      <c r="AT23" s="36">
        <f t="shared" si="26"/>
        <v>36000</v>
      </c>
      <c r="AU23" s="36">
        <f t="shared" si="26"/>
        <v>43200</v>
      </c>
      <c r="AV23" s="36">
        <f t="shared" si="26"/>
        <v>64800</v>
      </c>
      <c r="AW23" s="36">
        <f t="shared" si="26"/>
        <v>108000</v>
      </c>
      <c r="AX23" s="36">
        <f t="shared" si="26"/>
        <v>180000</v>
      </c>
      <c r="AZ23" s="4">
        <f t="shared" si="27"/>
        <v>0</v>
      </c>
      <c r="BA23" s="4">
        <f t="shared" si="28"/>
        <v>8</v>
      </c>
      <c r="BB23" s="4">
        <f t="shared" si="29"/>
        <v>7</v>
      </c>
      <c r="BC23" s="35" t="str">
        <f t="shared" si="30"/>
        <v/>
      </c>
      <c r="BD23" s="35" t="str">
        <f t="shared" si="3"/>
        <v>8,8,8,</v>
      </c>
      <c r="BE23" s="35" t="str">
        <f t="shared" si="31"/>
        <v>7,</v>
      </c>
      <c r="BF23" s="36" t="str">
        <f t="shared" si="32"/>
        <v/>
      </c>
      <c r="BG23" s="36" t="str">
        <f>IF(BA23=0,"",IF(Z23=0,"3,4,5",VLOOKUP(Z23,{1,3;2,4;3,5},2,0))&amp;",")</f>
        <v>3,4,5,</v>
      </c>
      <c r="BH23" s="36" t="str">
        <f t="shared" si="33"/>
        <v>6,</v>
      </c>
      <c r="BI23" s="34" t="str">
        <f t="shared" si="34"/>
        <v>3,4,5,6</v>
      </c>
      <c r="BJ23" s="34" t="str">
        <f t="shared" si="37"/>
        <v>8,8,8,7</v>
      </c>
      <c r="BK23" s="34" t="str">
        <f t="shared" si="35"/>
        <v>0,8,12,19,38,77</v>
      </c>
      <c r="BL23" s="4">
        <f t="shared" si="4"/>
        <v>0</v>
      </c>
      <c r="BM23" s="4">
        <f t="shared" si="5"/>
        <v>8</v>
      </c>
      <c r="BN23" s="4">
        <f t="shared" si="6"/>
        <v>12</v>
      </c>
      <c r="BO23" s="4">
        <f t="shared" si="7"/>
        <v>19</v>
      </c>
      <c r="BP23" s="4">
        <f t="shared" si="8"/>
        <v>38</v>
      </c>
      <c r="BQ23" s="4">
        <f t="shared" si="9"/>
        <v>77</v>
      </c>
      <c r="BR23" s="34" t="str">
        <f t="shared" si="10"/>
        <v>2001,2002,2003,2004,2005,2006</v>
      </c>
      <c r="BS23" s="34" t="str">
        <f t="shared" si="36"/>
        <v>22001,22002,22003,22004,22005,22006</v>
      </c>
      <c r="BT23" s="4">
        <f>VLOOKUP(LOOKUP($Y23,$K$48:$K$55,$L$48:$L$55)&amp;BT$1&amp;$W23,装备额外附加!$M:$O,3,0)</f>
        <v>22001</v>
      </c>
      <c r="BU23" s="4">
        <f>VLOOKUP(LOOKUP($Y23,$K$48:$K$55,$L$48:$L$55)&amp;BU$1&amp;$W23,装备额外附加!$M:$O,3,0)</f>
        <v>22002</v>
      </c>
      <c r="BV23" s="4">
        <f>VLOOKUP(LOOKUP($Y23,$K$48:$K$55,$L$48:$L$55)&amp;BV$1&amp;$W23,装备额外附加!$M:$O,3,0)</f>
        <v>22003</v>
      </c>
      <c r="BW23" s="4">
        <f>VLOOKUP(LOOKUP($Y23,$K$48:$K$55,$L$48:$L$55)&amp;BW$1&amp;$W23,装备额外附加!$M:$O,3,0)</f>
        <v>22004</v>
      </c>
      <c r="BX23" s="4">
        <f>VLOOKUP(LOOKUP($Y23,$K$48:$K$55,$L$48:$L$55)&amp;BX$1&amp;$W23,装备额外附加!$M:$O,3,0)</f>
        <v>22005</v>
      </c>
      <c r="BY23" s="4">
        <f>VLOOKUP(LOOKUP($Y23,$K$48:$K$55,$L$48:$L$55)&amp;BY$1&amp;$W23,装备额外附加!$M:$O,3,0)</f>
        <v>22006</v>
      </c>
    </row>
    <row r="24" spans="2:77">
      <c r="B24" s="4">
        <v>1</v>
      </c>
      <c r="C24" s="41" t="s">
        <v>206</v>
      </c>
      <c r="D24" s="41">
        <v>0.2</v>
      </c>
      <c r="E24" s="41"/>
      <c r="F24" s="41">
        <v>0.25</v>
      </c>
      <c r="G24" s="41"/>
      <c r="H24" s="41"/>
      <c r="I24" s="41" t="s">
        <v>203</v>
      </c>
      <c r="K24" s="4">
        <v>3</v>
      </c>
      <c r="L24" s="4">
        <v>5</v>
      </c>
      <c r="M24" s="4">
        <v>0.9</v>
      </c>
      <c r="N24" s="4">
        <v>1</v>
      </c>
      <c r="O24" s="36" t="s">
        <v>94</v>
      </c>
      <c r="P24" s="36">
        <v>2</v>
      </c>
      <c r="R24" s="4" t="s">
        <v>207</v>
      </c>
      <c r="S24" s="4" t="str">
        <f t="shared" si="11"/>
        <v>105003</v>
      </c>
      <c r="T24" s="4" t="s">
        <v>208</v>
      </c>
      <c r="U24" s="36">
        <v>40</v>
      </c>
      <c r="V24" s="36" t="str">
        <f t="shared" si="12"/>
        <v>衣服</v>
      </c>
      <c r="W24" s="36" t="str">
        <f t="shared" si="13"/>
        <v>护甲</v>
      </c>
      <c r="X24" s="4">
        <f t="shared" si="14"/>
        <v>3</v>
      </c>
      <c r="Y24" s="4">
        <f t="shared" si="15"/>
        <v>45</v>
      </c>
      <c r="Z24" s="4">
        <f t="shared" si="16"/>
        <v>0</v>
      </c>
      <c r="AA24" s="4" t="str">
        <f t="shared" si="17"/>
        <v>90,108,162,270,450,900</v>
      </c>
      <c r="AB24" s="36">
        <f t="shared" si="18"/>
        <v>100</v>
      </c>
      <c r="AC24" s="36">
        <f t="shared" si="38"/>
        <v>90</v>
      </c>
      <c r="AD24" s="36">
        <f t="shared" si="41"/>
        <v>108</v>
      </c>
      <c r="AE24" s="36">
        <f t="shared" si="41"/>
        <v>162</v>
      </c>
      <c r="AF24" s="36">
        <f t="shared" si="41"/>
        <v>270</v>
      </c>
      <c r="AG24" s="36">
        <f t="shared" si="41"/>
        <v>450</v>
      </c>
      <c r="AH24" s="36">
        <f t="shared" si="42"/>
        <v>900</v>
      </c>
      <c r="AJ24" s="4" t="str">
        <f t="shared" si="21"/>
        <v>450,540,810,1350,2250,</v>
      </c>
      <c r="AK24" s="36">
        <f t="shared" si="22"/>
        <v>500</v>
      </c>
      <c r="AL24" s="36">
        <f t="shared" si="23"/>
        <v>450</v>
      </c>
      <c r="AM24" s="36">
        <f t="shared" si="23"/>
        <v>540</v>
      </c>
      <c r="AN24" s="36">
        <f t="shared" si="23"/>
        <v>810</v>
      </c>
      <c r="AO24" s="36">
        <f t="shared" si="23"/>
        <v>1350</v>
      </c>
      <c r="AP24" s="36">
        <f t="shared" si="23"/>
        <v>2250</v>
      </c>
      <c r="AR24" s="4" t="str">
        <f t="shared" si="24"/>
        <v>36000,43200,64800,108000,180000,</v>
      </c>
      <c r="AS24" s="36">
        <f t="shared" si="25"/>
        <v>40000</v>
      </c>
      <c r="AT24" s="36">
        <f t="shared" si="26"/>
        <v>36000</v>
      </c>
      <c r="AU24" s="36">
        <f t="shared" si="26"/>
        <v>43200</v>
      </c>
      <c r="AV24" s="36">
        <f t="shared" si="26"/>
        <v>64800</v>
      </c>
      <c r="AW24" s="36">
        <f t="shared" si="26"/>
        <v>108000</v>
      </c>
      <c r="AX24" s="36">
        <f t="shared" si="26"/>
        <v>180000</v>
      </c>
      <c r="AZ24" s="4">
        <f t="shared" si="27"/>
        <v>129</v>
      </c>
      <c r="BA24" s="4">
        <f t="shared" si="28"/>
        <v>0</v>
      </c>
      <c r="BB24" s="4">
        <f t="shared" si="29"/>
        <v>7</v>
      </c>
      <c r="BC24" s="35" t="str">
        <f t="shared" si="30"/>
        <v>129,</v>
      </c>
      <c r="BD24" s="35" t="str">
        <f t="shared" si="3"/>
        <v/>
      </c>
      <c r="BE24" s="35" t="str">
        <f t="shared" si="31"/>
        <v>7,</v>
      </c>
      <c r="BF24" s="36" t="str">
        <f t="shared" si="32"/>
        <v>1,</v>
      </c>
      <c r="BG24" s="36" t="str">
        <f>IF(BA24=0,"",IF(Z24=0,"3,4,5",VLOOKUP(Z24,{1,3;2,4;3,5},2,0))&amp;",")</f>
        <v/>
      </c>
      <c r="BH24" s="36" t="str">
        <f t="shared" si="33"/>
        <v>6,</v>
      </c>
      <c r="BI24" s="34" t="str">
        <f t="shared" si="34"/>
        <v>1,6</v>
      </c>
      <c r="BJ24" s="34" t="str">
        <f t="shared" si="37"/>
        <v>129,7</v>
      </c>
      <c r="BK24" s="34" t="str">
        <f t="shared" si="35"/>
        <v>0,8,12,19,38,77</v>
      </c>
      <c r="BL24" s="4">
        <f t="shared" si="4"/>
        <v>0</v>
      </c>
      <c r="BM24" s="4">
        <f t="shared" si="5"/>
        <v>8</v>
      </c>
      <c r="BN24" s="4">
        <f t="shared" si="6"/>
        <v>12</v>
      </c>
      <c r="BO24" s="4">
        <f t="shared" si="7"/>
        <v>19</v>
      </c>
      <c r="BP24" s="4">
        <f t="shared" si="8"/>
        <v>38</v>
      </c>
      <c r="BQ24" s="4">
        <f t="shared" si="9"/>
        <v>77</v>
      </c>
      <c r="BR24" s="34" t="str">
        <f t="shared" si="10"/>
        <v>2001,2002,2003,2004,2005,2006</v>
      </c>
      <c r="BS24" s="34" t="str">
        <f t="shared" si="36"/>
        <v>22001,22002,22003,22004,22005,22006</v>
      </c>
      <c r="BT24" s="4">
        <f>VLOOKUP(LOOKUP($Y24,$K$48:$K$55,$L$48:$L$55)&amp;BT$1&amp;$W24,装备额外附加!$M:$O,3,0)</f>
        <v>22001</v>
      </c>
      <c r="BU24" s="4">
        <f>VLOOKUP(LOOKUP($Y24,$K$48:$K$55,$L$48:$L$55)&amp;BU$1&amp;$W24,装备额外附加!$M:$O,3,0)</f>
        <v>22002</v>
      </c>
      <c r="BV24" s="4">
        <f>VLOOKUP(LOOKUP($Y24,$K$48:$K$55,$L$48:$L$55)&amp;BV$1&amp;$W24,装备额外附加!$M:$O,3,0)</f>
        <v>22003</v>
      </c>
      <c r="BW24" s="4">
        <f>VLOOKUP(LOOKUP($Y24,$K$48:$K$55,$L$48:$L$55)&amp;BW$1&amp;$W24,装备额外附加!$M:$O,3,0)</f>
        <v>22004</v>
      </c>
      <c r="BX24" s="4">
        <f>VLOOKUP(LOOKUP($Y24,$K$48:$K$55,$L$48:$L$55)&amp;BX$1&amp;$W24,装备额外附加!$M:$O,3,0)</f>
        <v>22005</v>
      </c>
      <c r="BY24" s="4">
        <f>VLOOKUP(LOOKUP($Y24,$K$48:$K$55,$L$48:$L$55)&amp;BY$1&amp;$W24,装备额外附加!$M:$O,3,0)</f>
        <v>22006</v>
      </c>
    </row>
    <row r="25" spans="2:77">
      <c r="B25" s="4">
        <v>1</v>
      </c>
      <c r="C25" s="41" t="s">
        <v>209</v>
      </c>
      <c r="D25" s="41">
        <v>0.1</v>
      </c>
      <c r="E25" s="41"/>
      <c r="F25" s="41">
        <v>0.2</v>
      </c>
      <c r="G25" s="41"/>
      <c r="H25" s="41"/>
      <c r="I25" s="41" t="s">
        <v>203</v>
      </c>
      <c r="K25" s="4">
        <v>4</v>
      </c>
      <c r="L25" s="4">
        <v>8</v>
      </c>
      <c r="M25" s="4">
        <v>0.8</v>
      </c>
      <c r="N25" s="4">
        <v>1</v>
      </c>
      <c r="O25" s="36" t="s">
        <v>95</v>
      </c>
      <c r="P25" s="36">
        <v>3</v>
      </c>
      <c r="R25" s="4" t="s">
        <v>210</v>
      </c>
      <c r="S25" s="4" t="str">
        <f t="shared" si="11"/>
        <v>105004</v>
      </c>
      <c r="T25" s="4" t="s">
        <v>211</v>
      </c>
      <c r="U25" s="36">
        <v>40</v>
      </c>
      <c r="V25" s="36" t="str">
        <f t="shared" si="12"/>
        <v>腰带</v>
      </c>
      <c r="W25" s="36" t="str">
        <f t="shared" si="13"/>
        <v>护甲</v>
      </c>
      <c r="X25" s="4">
        <f t="shared" si="14"/>
        <v>4</v>
      </c>
      <c r="Y25" s="4">
        <f t="shared" si="15"/>
        <v>48</v>
      </c>
      <c r="Z25" s="4">
        <f t="shared" si="16"/>
        <v>0</v>
      </c>
      <c r="AA25" s="4" t="str">
        <f t="shared" si="17"/>
        <v>80,96,144,240,400,800</v>
      </c>
      <c r="AB25" s="36">
        <f t="shared" si="18"/>
        <v>100</v>
      </c>
      <c r="AC25" s="36">
        <f t="shared" si="38"/>
        <v>80</v>
      </c>
      <c r="AD25" s="36">
        <f t="shared" si="41"/>
        <v>96</v>
      </c>
      <c r="AE25" s="36">
        <f t="shared" si="41"/>
        <v>144</v>
      </c>
      <c r="AF25" s="36">
        <f t="shared" si="41"/>
        <v>240</v>
      </c>
      <c r="AG25" s="36">
        <f t="shared" si="41"/>
        <v>400</v>
      </c>
      <c r="AH25" s="36">
        <f t="shared" si="42"/>
        <v>800</v>
      </c>
      <c r="AJ25" s="4" t="str">
        <f t="shared" si="21"/>
        <v>400,480,720,1200,2000,</v>
      </c>
      <c r="AK25" s="36">
        <f t="shared" si="22"/>
        <v>500</v>
      </c>
      <c r="AL25" s="36">
        <f t="shared" si="23"/>
        <v>400</v>
      </c>
      <c r="AM25" s="36">
        <f t="shared" si="23"/>
        <v>480</v>
      </c>
      <c r="AN25" s="36">
        <f t="shared" si="23"/>
        <v>720</v>
      </c>
      <c r="AO25" s="36">
        <f t="shared" si="23"/>
        <v>1200</v>
      </c>
      <c r="AP25" s="36">
        <f t="shared" si="23"/>
        <v>2000</v>
      </c>
      <c r="AR25" s="4" t="str">
        <f t="shared" si="24"/>
        <v>32000,38400,57600,96000,160000,</v>
      </c>
      <c r="AS25" s="36">
        <f t="shared" si="25"/>
        <v>40000</v>
      </c>
      <c r="AT25" s="36">
        <f t="shared" si="26"/>
        <v>32000</v>
      </c>
      <c r="AU25" s="36">
        <f t="shared" si="26"/>
        <v>38400</v>
      </c>
      <c r="AV25" s="36">
        <f t="shared" si="26"/>
        <v>57600</v>
      </c>
      <c r="AW25" s="36">
        <f t="shared" si="26"/>
        <v>96000</v>
      </c>
      <c r="AX25" s="36">
        <f t="shared" si="26"/>
        <v>160000</v>
      </c>
      <c r="AZ25" s="4">
        <f t="shared" si="27"/>
        <v>64</v>
      </c>
      <c r="BA25" s="4">
        <f t="shared" si="28"/>
        <v>0</v>
      </c>
      <c r="BB25" s="4">
        <f t="shared" si="29"/>
        <v>5</v>
      </c>
      <c r="BC25" s="35" t="str">
        <f t="shared" si="30"/>
        <v>64,</v>
      </c>
      <c r="BD25" s="35" t="str">
        <f t="shared" si="3"/>
        <v/>
      </c>
      <c r="BE25" s="35" t="str">
        <f t="shared" si="31"/>
        <v>5,</v>
      </c>
      <c r="BF25" s="36" t="str">
        <f t="shared" si="32"/>
        <v>1,</v>
      </c>
      <c r="BG25" s="36" t="str">
        <f>IF(BA25=0,"",IF(Z25=0,"3,4,5",VLOOKUP(Z25,{1,3;2,4;3,5},2,0))&amp;",")</f>
        <v/>
      </c>
      <c r="BH25" s="36" t="str">
        <f t="shared" si="33"/>
        <v>6,</v>
      </c>
      <c r="BI25" s="34" t="str">
        <f t="shared" si="34"/>
        <v>1,6</v>
      </c>
      <c r="BJ25" s="34" t="str">
        <f t="shared" si="37"/>
        <v>64,5</v>
      </c>
      <c r="BK25" s="34" t="str">
        <f t="shared" si="35"/>
        <v>0,8,12,19,38,77</v>
      </c>
      <c r="BL25" s="4">
        <f t="shared" si="4"/>
        <v>0</v>
      </c>
      <c r="BM25" s="4">
        <f t="shared" si="5"/>
        <v>8</v>
      </c>
      <c r="BN25" s="4">
        <f t="shared" si="6"/>
        <v>12</v>
      </c>
      <c r="BO25" s="4">
        <f t="shared" si="7"/>
        <v>19</v>
      </c>
      <c r="BP25" s="4">
        <f t="shared" si="8"/>
        <v>38</v>
      </c>
      <c r="BQ25" s="4">
        <f t="shared" si="9"/>
        <v>77</v>
      </c>
      <c r="BR25" s="34" t="str">
        <f t="shared" si="10"/>
        <v>2001,2002,2003,2004,2005,2006</v>
      </c>
      <c r="BS25" s="34" t="str">
        <f t="shared" si="36"/>
        <v>22001,22002,22003,22004,22005,22006</v>
      </c>
      <c r="BT25" s="4">
        <f>VLOOKUP(LOOKUP($Y25,$K$48:$K$55,$L$48:$L$55)&amp;BT$1&amp;$W25,装备额外附加!$M:$O,3,0)</f>
        <v>22001</v>
      </c>
      <c r="BU25" s="4">
        <f>VLOOKUP(LOOKUP($Y25,$K$48:$K$55,$L$48:$L$55)&amp;BU$1&amp;$W25,装备额外附加!$M:$O,3,0)</f>
        <v>22002</v>
      </c>
      <c r="BV25" s="4">
        <f>VLOOKUP(LOOKUP($Y25,$K$48:$K$55,$L$48:$L$55)&amp;BV$1&amp;$W25,装备额外附加!$M:$O,3,0)</f>
        <v>22003</v>
      </c>
      <c r="BW25" s="4">
        <f>VLOOKUP(LOOKUP($Y25,$K$48:$K$55,$L$48:$L$55)&amp;BW$1&amp;$W25,装备额外附加!$M:$O,3,0)</f>
        <v>22004</v>
      </c>
      <c r="BX25" s="4">
        <f>VLOOKUP(LOOKUP($Y25,$K$48:$K$55,$L$48:$L$55)&amp;BX$1&amp;$W25,装备额外附加!$M:$O,3,0)</f>
        <v>22005</v>
      </c>
      <c r="BY25" s="4">
        <f>VLOOKUP(LOOKUP($Y25,$K$48:$K$55,$L$48:$L$55)&amp;BY$1&amp;$W25,装备额外附加!$M:$O,3,0)</f>
        <v>22006</v>
      </c>
    </row>
    <row r="26" spans="2:77">
      <c r="B26" s="4">
        <v>1</v>
      </c>
      <c r="C26" s="41" t="s">
        <v>212</v>
      </c>
      <c r="D26" s="41">
        <v>0.1</v>
      </c>
      <c r="E26" s="41"/>
      <c r="F26" s="41">
        <v>0.2</v>
      </c>
      <c r="G26" s="41"/>
      <c r="H26" s="41"/>
      <c r="I26" s="41" t="s">
        <v>203</v>
      </c>
      <c r="K26" s="4">
        <v>5</v>
      </c>
      <c r="L26" s="4">
        <v>2</v>
      </c>
      <c r="M26" s="4">
        <v>0.8</v>
      </c>
      <c r="N26" s="4">
        <v>1</v>
      </c>
      <c r="R26" s="4" t="s">
        <v>213</v>
      </c>
      <c r="S26" s="4" t="str">
        <f t="shared" si="11"/>
        <v>105005</v>
      </c>
      <c r="T26" s="4" t="s">
        <v>214</v>
      </c>
      <c r="U26" s="36">
        <v>40</v>
      </c>
      <c r="V26" s="36" t="str">
        <f t="shared" si="12"/>
        <v>鞋子</v>
      </c>
      <c r="W26" s="36" t="str">
        <f t="shared" si="13"/>
        <v>护甲</v>
      </c>
      <c r="X26" s="4">
        <f t="shared" si="14"/>
        <v>5</v>
      </c>
      <c r="Y26" s="4">
        <f t="shared" si="15"/>
        <v>42</v>
      </c>
      <c r="Z26" s="4">
        <f t="shared" si="16"/>
        <v>0</v>
      </c>
      <c r="AA26" s="4" t="str">
        <f t="shared" si="17"/>
        <v>80,96,144,240,400,800</v>
      </c>
      <c r="AB26" s="36">
        <f t="shared" si="18"/>
        <v>100</v>
      </c>
      <c r="AC26" s="36">
        <f t="shared" si="38"/>
        <v>80</v>
      </c>
      <c r="AD26" s="36">
        <f t="shared" si="41"/>
        <v>96</v>
      </c>
      <c r="AE26" s="36">
        <f t="shared" si="41"/>
        <v>144</v>
      </c>
      <c r="AF26" s="36">
        <f t="shared" si="41"/>
        <v>240</v>
      </c>
      <c r="AG26" s="36">
        <f t="shared" si="41"/>
        <v>400</v>
      </c>
      <c r="AH26" s="36">
        <f t="shared" si="42"/>
        <v>800</v>
      </c>
      <c r="AJ26" s="4" t="str">
        <f t="shared" si="21"/>
        <v>400,480,720,1200,2000,</v>
      </c>
      <c r="AK26" s="36">
        <f t="shared" si="22"/>
        <v>500</v>
      </c>
      <c r="AL26" s="36">
        <f t="shared" si="23"/>
        <v>400</v>
      </c>
      <c r="AM26" s="36">
        <f t="shared" si="23"/>
        <v>480</v>
      </c>
      <c r="AN26" s="36">
        <f t="shared" si="23"/>
        <v>720</v>
      </c>
      <c r="AO26" s="36">
        <f t="shared" si="23"/>
        <v>1200</v>
      </c>
      <c r="AP26" s="36">
        <f t="shared" si="23"/>
        <v>2000</v>
      </c>
      <c r="AR26" s="4" t="str">
        <f t="shared" si="24"/>
        <v>32000,38400,57600,96000,160000,</v>
      </c>
      <c r="AS26" s="36">
        <f t="shared" si="25"/>
        <v>40000</v>
      </c>
      <c r="AT26" s="36">
        <f t="shared" si="26"/>
        <v>32000</v>
      </c>
      <c r="AU26" s="36">
        <f t="shared" si="26"/>
        <v>38400</v>
      </c>
      <c r="AV26" s="36">
        <f t="shared" si="26"/>
        <v>57600</v>
      </c>
      <c r="AW26" s="36">
        <f t="shared" si="26"/>
        <v>96000</v>
      </c>
      <c r="AX26" s="36">
        <f t="shared" si="26"/>
        <v>160000</v>
      </c>
      <c r="AZ26" s="4">
        <f t="shared" si="27"/>
        <v>64</v>
      </c>
      <c r="BA26" s="4">
        <f t="shared" si="28"/>
        <v>0</v>
      </c>
      <c r="BB26" s="4">
        <f t="shared" si="29"/>
        <v>5</v>
      </c>
      <c r="BC26" s="35" t="str">
        <f t="shared" si="30"/>
        <v>64,</v>
      </c>
      <c r="BD26" s="35" t="str">
        <f t="shared" si="3"/>
        <v/>
      </c>
      <c r="BE26" s="35" t="str">
        <f t="shared" si="31"/>
        <v>5,</v>
      </c>
      <c r="BF26" s="36" t="str">
        <f t="shared" si="32"/>
        <v>1,</v>
      </c>
      <c r="BG26" s="36" t="str">
        <f>IF(BA26=0,"",IF(Z26=0,"3,4,5",VLOOKUP(Z26,{1,3;2,4;3,5},2,0))&amp;",")</f>
        <v/>
      </c>
      <c r="BH26" s="36" t="str">
        <f t="shared" si="33"/>
        <v>6,</v>
      </c>
      <c r="BI26" s="34" t="str">
        <f t="shared" si="34"/>
        <v>1,6</v>
      </c>
      <c r="BJ26" s="34" t="str">
        <f t="shared" si="37"/>
        <v>64,5</v>
      </c>
      <c r="BK26" s="34" t="str">
        <f t="shared" si="35"/>
        <v>0,8,12,19,38,77</v>
      </c>
      <c r="BL26" s="4">
        <f t="shared" si="4"/>
        <v>0</v>
      </c>
      <c r="BM26" s="4">
        <f t="shared" si="5"/>
        <v>8</v>
      </c>
      <c r="BN26" s="4">
        <f t="shared" si="6"/>
        <v>12</v>
      </c>
      <c r="BO26" s="4">
        <f t="shared" si="7"/>
        <v>19</v>
      </c>
      <c r="BP26" s="4">
        <f t="shared" si="8"/>
        <v>38</v>
      </c>
      <c r="BQ26" s="4">
        <f t="shared" si="9"/>
        <v>77</v>
      </c>
      <c r="BR26" s="34" t="str">
        <f t="shared" si="10"/>
        <v>2001,2002,2003,2004,2005,2006</v>
      </c>
      <c r="BS26" s="34" t="str">
        <f t="shared" si="36"/>
        <v>22001,22002,22003,22004,22005,22006</v>
      </c>
      <c r="BT26" s="4">
        <f>VLOOKUP(LOOKUP($Y26,$K$48:$K$55,$L$48:$L$55)&amp;BT$1&amp;$W26,装备额外附加!$M:$O,3,0)</f>
        <v>22001</v>
      </c>
      <c r="BU26" s="4">
        <f>VLOOKUP(LOOKUP($Y26,$K$48:$K$55,$L$48:$L$55)&amp;BU$1&amp;$W26,装备额外附加!$M:$O,3,0)</f>
        <v>22002</v>
      </c>
      <c r="BV26" s="4">
        <f>VLOOKUP(LOOKUP($Y26,$K$48:$K$55,$L$48:$L$55)&amp;BV$1&amp;$W26,装备额外附加!$M:$O,3,0)</f>
        <v>22003</v>
      </c>
      <c r="BW26" s="4">
        <f>VLOOKUP(LOOKUP($Y26,$K$48:$K$55,$L$48:$L$55)&amp;BW$1&amp;$W26,装备额外附加!$M:$O,3,0)</f>
        <v>22004</v>
      </c>
      <c r="BX26" s="4">
        <f>VLOOKUP(LOOKUP($Y26,$K$48:$K$55,$L$48:$L$55)&amp;BX$1&amp;$W26,装备额外附加!$M:$O,3,0)</f>
        <v>22005</v>
      </c>
      <c r="BY26" s="4">
        <f>VLOOKUP(LOOKUP($Y26,$K$48:$K$55,$L$48:$L$55)&amp;BY$1&amp;$W26,装备额外附加!$M:$O,3,0)</f>
        <v>22006</v>
      </c>
    </row>
    <row r="27" spans="2:77">
      <c r="B27" s="4">
        <v>1</v>
      </c>
      <c r="C27" s="41" t="s">
        <v>215</v>
      </c>
      <c r="D27" s="41"/>
      <c r="E27" s="41">
        <v>0.15</v>
      </c>
      <c r="F27" s="41">
        <v>0.1</v>
      </c>
      <c r="G27" s="41"/>
      <c r="H27" s="41"/>
      <c r="I27" s="41" t="str">
        <f>C27</f>
        <v>项链</v>
      </c>
      <c r="K27" s="4">
        <v>8</v>
      </c>
      <c r="L27" s="4">
        <v>4</v>
      </c>
      <c r="M27" s="4">
        <v>0.9</v>
      </c>
      <c r="N27" s="4">
        <v>1</v>
      </c>
      <c r="R27" s="4" t="s">
        <v>216</v>
      </c>
      <c r="S27" s="4" t="str">
        <f t="shared" si="11"/>
        <v>106001</v>
      </c>
      <c r="T27" s="4" t="s">
        <v>217</v>
      </c>
      <c r="U27" s="36">
        <v>50</v>
      </c>
      <c r="V27" s="36" t="str">
        <f t="shared" si="12"/>
        <v>武器</v>
      </c>
      <c r="W27" s="36" t="str">
        <f t="shared" si="13"/>
        <v>武器</v>
      </c>
      <c r="X27" s="4">
        <f t="shared" si="14"/>
        <v>1</v>
      </c>
      <c r="Y27" s="4">
        <f t="shared" si="15"/>
        <v>51</v>
      </c>
      <c r="Z27" s="4">
        <f t="shared" si="16"/>
        <v>0</v>
      </c>
      <c r="AA27" s="4" t="str">
        <f t="shared" si="17"/>
        <v>120,144,216,360,600,1200</v>
      </c>
      <c r="AB27" s="36">
        <f t="shared" si="18"/>
        <v>120</v>
      </c>
      <c r="AC27" s="36">
        <f t="shared" si="38"/>
        <v>120</v>
      </c>
      <c r="AD27" s="36">
        <f t="shared" si="41"/>
        <v>144</v>
      </c>
      <c r="AE27" s="36">
        <f t="shared" si="41"/>
        <v>216</v>
      </c>
      <c r="AF27" s="36">
        <f t="shared" si="41"/>
        <v>360</v>
      </c>
      <c r="AG27" s="36">
        <f t="shared" si="41"/>
        <v>600</v>
      </c>
      <c r="AH27" s="36">
        <f t="shared" si="42"/>
        <v>1200</v>
      </c>
      <c r="AJ27" s="4" t="str">
        <f t="shared" si="21"/>
        <v>600,720,1080,1800,3000,</v>
      </c>
      <c r="AK27" s="36">
        <f t="shared" si="22"/>
        <v>600</v>
      </c>
      <c r="AL27" s="36">
        <f t="shared" si="23"/>
        <v>600</v>
      </c>
      <c r="AM27" s="36">
        <f t="shared" si="23"/>
        <v>720</v>
      </c>
      <c r="AN27" s="36">
        <f t="shared" si="23"/>
        <v>1080</v>
      </c>
      <c r="AO27" s="36">
        <f t="shared" si="23"/>
        <v>1800</v>
      </c>
      <c r="AP27" s="36">
        <f t="shared" si="23"/>
        <v>3000</v>
      </c>
      <c r="AR27" s="4" t="str">
        <f t="shared" si="24"/>
        <v>48000,57600,86400,144000,240000,</v>
      </c>
      <c r="AS27" s="36">
        <f t="shared" si="25"/>
        <v>48000</v>
      </c>
      <c r="AT27" s="36">
        <f t="shared" si="26"/>
        <v>48000</v>
      </c>
      <c r="AU27" s="36">
        <f t="shared" si="26"/>
        <v>57600</v>
      </c>
      <c r="AV27" s="36">
        <f t="shared" si="26"/>
        <v>86400</v>
      </c>
      <c r="AW27" s="36">
        <f t="shared" si="26"/>
        <v>144000</v>
      </c>
      <c r="AX27" s="36">
        <f t="shared" si="26"/>
        <v>240000</v>
      </c>
      <c r="AZ27" s="4">
        <f t="shared" si="27"/>
        <v>0</v>
      </c>
      <c r="BA27" s="4">
        <f t="shared" si="28"/>
        <v>23</v>
      </c>
      <c r="BB27" s="4">
        <f t="shared" si="29"/>
        <v>0</v>
      </c>
      <c r="BC27" s="35" t="str">
        <f t="shared" si="30"/>
        <v/>
      </c>
      <c r="BD27" s="35" t="str">
        <f t="shared" si="3"/>
        <v>23,23,23,</v>
      </c>
      <c r="BE27" s="35" t="str">
        <f t="shared" si="31"/>
        <v/>
      </c>
      <c r="BF27" s="36" t="str">
        <f t="shared" si="32"/>
        <v/>
      </c>
      <c r="BG27" s="36" t="str">
        <f>IF(BA27=0,"",IF(Z27=0,"3,4,5",VLOOKUP(Z27,{1,3;2,4;3,5},2,0))&amp;",")</f>
        <v>3,4,5,</v>
      </c>
      <c r="BH27" s="36" t="str">
        <f t="shared" si="33"/>
        <v/>
      </c>
      <c r="BI27" s="34" t="str">
        <f t="shared" si="34"/>
        <v>3,4,5</v>
      </c>
      <c r="BJ27" s="34" t="str">
        <f t="shared" si="37"/>
        <v>23,23,23</v>
      </c>
      <c r="BK27" s="34" t="str">
        <f t="shared" si="35"/>
        <v>0,16,25,39,79,159</v>
      </c>
      <c r="BL27" s="4">
        <f t="shared" si="4"/>
        <v>0</v>
      </c>
      <c r="BM27" s="4">
        <f t="shared" si="5"/>
        <v>16</v>
      </c>
      <c r="BN27" s="4">
        <f t="shared" si="6"/>
        <v>25</v>
      </c>
      <c r="BO27" s="4">
        <f t="shared" si="7"/>
        <v>39</v>
      </c>
      <c r="BP27" s="4">
        <f t="shared" si="8"/>
        <v>79</v>
      </c>
      <c r="BQ27" s="4">
        <f t="shared" si="9"/>
        <v>159</v>
      </c>
      <c r="BR27" s="34" t="str">
        <f t="shared" si="10"/>
        <v>1001,1002,1003,1004,1005,1006</v>
      </c>
      <c r="BS27" s="34" t="str">
        <f t="shared" si="36"/>
        <v>12001,12002,12003,12004,12005,12006</v>
      </c>
      <c r="BT27" s="4">
        <f>VLOOKUP(LOOKUP($Y27,$K$48:$K$55,$L$48:$L$55)&amp;BT$1&amp;$W27,装备额外附加!$M:$O,3,0)</f>
        <v>12001</v>
      </c>
      <c r="BU27" s="4">
        <f>VLOOKUP(LOOKUP($Y27,$K$48:$K$55,$L$48:$L$55)&amp;BU$1&amp;$W27,装备额外附加!$M:$O,3,0)</f>
        <v>12002</v>
      </c>
      <c r="BV27" s="4">
        <f>VLOOKUP(LOOKUP($Y27,$K$48:$K$55,$L$48:$L$55)&amp;BV$1&amp;$W27,装备额外附加!$M:$O,3,0)</f>
        <v>12003</v>
      </c>
      <c r="BW27" s="4">
        <f>VLOOKUP(LOOKUP($Y27,$K$48:$K$55,$L$48:$L$55)&amp;BW$1&amp;$W27,装备额外附加!$M:$O,3,0)</f>
        <v>12004</v>
      </c>
      <c r="BX27" s="4">
        <f>VLOOKUP(LOOKUP($Y27,$K$48:$K$55,$L$48:$L$55)&amp;BX$1&amp;$W27,装备额外附加!$M:$O,3,0)</f>
        <v>12005</v>
      </c>
      <c r="BY27" s="4">
        <f>VLOOKUP(LOOKUP($Y27,$K$48:$K$55,$L$48:$L$55)&amp;BY$1&amp;$W27,装备额外附加!$M:$O,3,0)</f>
        <v>12006</v>
      </c>
    </row>
    <row r="28" spans="2:77">
      <c r="B28" s="4">
        <v>2</v>
      </c>
      <c r="C28" s="41" t="s">
        <v>218</v>
      </c>
      <c r="D28" s="41">
        <v>0.1</v>
      </c>
      <c r="E28" s="41">
        <v>0.1</v>
      </c>
      <c r="F28" s="41">
        <v>0</v>
      </c>
      <c r="G28" s="41"/>
      <c r="H28" s="41"/>
      <c r="I28" s="41" t="str">
        <f t="shared" ref="I28:I29" si="44">C28</f>
        <v>手镯</v>
      </c>
      <c r="K28" s="4">
        <v>6</v>
      </c>
      <c r="L28" s="4">
        <v>6</v>
      </c>
      <c r="M28" s="4">
        <v>0.8</v>
      </c>
      <c r="N28" s="4">
        <v>1</v>
      </c>
      <c r="R28" s="4" t="s">
        <v>219</v>
      </c>
      <c r="S28" s="4" t="str">
        <f t="shared" si="11"/>
        <v>106002</v>
      </c>
      <c r="T28" s="4" t="s">
        <v>220</v>
      </c>
      <c r="U28" s="36">
        <v>50</v>
      </c>
      <c r="V28" s="36" t="str">
        <f t="shared" si="12"/>
        <v>头盔</v>
      </c>
      <c r="W28" s="36" t="str">
        <f t="shared" si="13"/>
        <v>护甲</v>
      </c>
      <c r="X28" s="4">
        <f t="shared" si="14"/>
        <v>2</v>
      </c>
      <c r="Y28" s="4">
        <f t="shared" si="15"/>
        <v>57</v>
      </c>
      <c r="Z28" s="4">
        <f t="shared" si="16"/>
        <v>0</v>
      </c>
      <c r="AA28" s="4" t="str">
        <f t="shared" si="17"/>
        <v>108,129,194,324,540,1080</v>
      </c>
      <c r="AB28" s="36">
        <f t="shared" si="18"/>
        <v>120</v>
      </c>
      <c r="AC28" s="36">
        <f t="shared" si="38"/>
        <v>108</v>
      </c>
      <c r="AD28" s="36">
        <f t="shared" si="41"/>
        <v>129</v>
      </c>
      <c r="AE28" s="36">
        <f t="shared" si="41"/>
        <v>194</v>
      </c>
      <c r="AF28" s="36">
        <f t="shared" si="41"/>
        <v>324</v>
      </c>
      <c r="AG28" s="36">
        <f t="shared" si="41"/>
        <v>540</v>
      </c>
      <c r="AH28" s="36">
        <f t="shared" si="42"/>
        <v>1080</v>
      </c>
      <c r="AJ28" s="4" t="str">
        <f t="shared" si="21"/>
        <v>540,648,972,1620,2700,</v>
      </c>
      <c r="AK28" s="36">
        <f t="shared" si="22"/>
        <v>600</v>
      </c>
      <c r="AL28" s="36">
        <f t="shared" si="23"/>
        <v>540</v>
      </c>
      <c r="AM28" s="36">
        <f t="shared" si="23"/>
        <v>648</v>
      </c>
      <c r="AN28" s="36">
        <f t="shared" si="23"/>
        <v>972</v>
      </c>
      <c r="AO28" s="36">
        <f t="shared" si="23"/>
        <v>1620</v>
      </c>
      <c r="AP28" s="36">
        <f t="shared" si="23"/>
        <v>2700</v>
      </c>
      <c r="AR28" s="4" t="str">
        <f t="shared" si="24"/>
        <v>43200,51840,77760,129600,216000,</v>
      </c>
      <c r="AS28" s="36">
        <f t="shared" si="25"/>
        <v>48000</v>
      </c>
      <c r="AT28" s="36">
        <f t="shared" si="26"/>
        <v>43200</v>
      </c>
      <c r="AU28" s="36">
        <f t="shared" si="26"/>
        <v>51840</v>
      </c>
      <c r="AV28" s="36">
        <f t="shared" si="26"/>
        <v>77760</v>
      </c>
      <c r="AW28" s="36">
        <f t="shared" si="26"/>
        <v>129600</v>
      </c>
      <c r="AX28" s="36">
        <f t="shared" si="26"/>
        <v>216000</v>
      </c>
      <c r="AZ28" s="4">
        <f t="shared" si="27"/>
        <v>0</v>
      </c>
      <c r="BA28" s="4">
        <f t="shared" si="28"/>
        <v>11</v>
      </c>
      <c r="BB28" s="4">
        <f t="shared" si="29"/>
        <v>9</v>
      </c>
      <c r="BC28" s="35" t="str">
        <f t="shared" si="30"/>
        <v/>
      </c>
      <c r="BD28" s="35" t="str">
        <f t="shared" si="3"/>
        <v>11,11,11,</v>
      </c>
      <c r="BE28" s="35" t="str">
        <f t="shared" si="31"/>
        <v>9,</v>
      </c>
      <c r="BF28" s="36" t="str">
        <f t="shared" si="32"/>
        <v/>
      </c>
      <c r="BG28" s="36" t="str">
        <f>IF(BA28=0,"",IF(Z28=0,"3,4,5",VLOOKUP(Z28,{1,3;2,4;3,5},2,0))&amp;",")</f>
        <v>3,4,5,</v>
      </c>
      <c r="BH28" s="36" t="str">
        <f t="shared" si="33"/>
        <v>6,</v>
      </c>
      <c r="BI28" s="34" t="str">
        <f t="shared" si="34"/>
        <v>3,4,5,6</v>
      </c>
      <c r="BJ28" s="34" t="str">
        <f t="shared" si="37"/>
        <v>11,11,11,9</v>
      </c>
      <c r="BK28" s="34" t="str">
        <f t="shared" si="35"/>
        <v>0,11,17,26,53,106</v>
      </c>
      <c r="BL28" s="4">
        <f t="shared" si="4"/>
        <v>0</v>
      </c>
      <c r="BM28" s="4">
        <f t="shared" si="5"/>
        <v>11</v>
      </c>
      <c r="BN28" s="4">
        <f t="shared" si="6"/>
        <v>17</v>
      </c>
      <c r="BO28" s="4">
        <f t="shared" si="7"/>
        <v>26</v>
      </c>
      <c r="BP28" s="4">
        <f t="shared" si="8"/>
        <v>53</v>
      </c>
      <c r="BQ28" s="4">
        <f t="shared" si="9"/>
        <v>106</v>
      </c>
      <c r="BR28" s="34" t="str">
        <f t="shared" si="10"/>
        <v>2001,2002,2003,2004,2005,2006</v>
      </c>
      <c r="BS28" s="34" t="str">
        <f t="shared" si="36"/>
        <v>22001,22002,22003,22004,22005,22006</v>
      </c>
      <c r="BT28" s="4">
        <f>VLOOKUP(LOOKUP($Y28,$K$48:$K$55,$L$48:$L$55)&amp;BT$1&amp;$W28,装备额外附加!$M:$O,3,0)</f>
        <v>22001</v>
      </c>
      <c r="BU28" s="4">
        <f>VLOOKUP(LOOKUP($Y28,$K$48:$K$55,$L$48:$L$55)&amp;BU$1&amp;$W28,装备额外附加!$M:$O,3,0)</f>
        <v>22002</v>
      </c>
      <c r="BV28" s="4">
        <f>VLOOKUP(LOOKUP($Y28,$K$48:$K$55,$L$48:$L$55)&amp;BV$1&amp;$W28,装备额外附加!$M:$O,3,0)</f>
        <v>22003</v>
      </c>
      <c r="BW28" s="4">
        <f>VLOOKUP(LOOKUP($Y28,$K$48:$K$55,$L$48:$L$55)&amp;BW$1&amp;$W28,装备额外附加!$M:$O,3,0)</f>
        <v>22004</v>
      </c>
      <c r="BX28" s="4">
        <f>VLOOKUP(LOOKUP($Y28,$K$48:$K$55,$L$48:$L$55)&amp;BX$1&amp;$W28,装备额外附加!$M:$O,3,0)</f>
        <v>22005</v>
      </c>
      <c r="BY28" s="4">
        <f>VLOOKUP(LOOKUP($Y28,$K$48:$K$55,$L$48:$L$55)&amp;BY$1&amp;$W28,装备额外附加!$M:$O,3,0)</f>
        <v>22006</v>
      </c>
    </row>
    <row r="29" spans="2:77">
      <c r="B29" s="4">
        <v>2</v>
      </c>
      <c r="C29" s="41" t="s">
        <v>221</v>
      </c>
      <c r="D29" s="41">
        <v>0.1</v>
      </c>
      <c r="E29" s="41">
        <v>0.1</v>
      </c>
      <c r="F29" s="41">
        <v>0</v>
      </c>
      <c r="G29" s="41"/>
      <c r="H29" s="41"/>
      <c r="I29" s="41" t="str">
        <f t="shared" si="44"/>
        <v>戒指</v>
      </c>
      <c r="K29" s="4">
        <v>7</v>
      </c>
      <c r="L29" s="4">
        <v>3</v>
      </c>
      <c r="M29" s="4">
        <v>0.8</v>
      </c>
      <c r="N29" s="4">
        <v>1</v>
      </c>
      <c r="R29" s="4" t="s">
        <v>222</v>
      </c>
      <c r="S29" s="4" t="str">
        <f t="shared" si="11"/>
        <v>106003</v>
      </c>
      <c r="T29" s="4" t="s">
        <v>223</v>
      </c>
      <c r="U29" s="36">
        <v>50</v>
      </c>
      <c r="V29" s="36" t="str">
        <f t="shared" si="12"/>
        <v>衣服</v>
      </c>
      <c r="W29" s="36" t="str">
        <f t="shared" si="13"/>
        <v>护甲</v>
      </c>
      <c r="X29" s="4">
        <f t="shared" si="14"/>
        <v>3</v>
      </c>
      <c r="Y29" s="4">
        <f t="shared" si="15"/>
        <v>55</v>
      </c>
      <c r="Z29" s="4">
        <f t="shared" si="16"/>
        <v>0</v>
      </c>
      <c r="AA29" s="4" t="str">
        <f t="shared" si="17"/>
        <v>108,129,194,324,540,1080</v>
      </c>
      <c r="AB29" s="36">
        <f t="shared" si="18"/>
        <v>120</v>
      </c>
      <c r="AC29" s="36">
        <f t="shared" si="38"/>
        <v>108</v>
      </c>
      <c r="AD29" s="36">
        <f t="shared" si="41"/>
        <v>129</v>
      </c>
      <c r="AE29" s="36">
        <f t="shared" si="41"/>
        <v>194</v>
      </c>
      <c r="AF29" s="36">
        <f t="shared" si="41"/>
        <v>324</v>
      </c>
      <c r="AG29" s="36">
        <f t="shared" si="41"/>
        <v>540</v>
      </c>
      <c r="AH29" s="36">
        <f t="shared" si="42"/>
        <v>1080</v>
      </c>
      <c r="AJ29" s="4" t="str">
        <f t="shared" si="21"/>
        <v>540,648,972,1620,2700,</v>
      </c>
      <c r="AK29" s="36">
        <f t="shared" si="22"/>
        <v>600</v>
      </c>
      <c r="AL29" s="36">
        <f t="shared" si="23"/>
        <v>540</v>
      </c>
      <c r="AM29" s="36">
        <f t="shared" si="23"/>
        <v>648</v>
      </c>
      <c r="AN29" s="36">
        <f t="shared" si="23"/>
        <v>972</v>
      </c>
      <c r="AO29" s="36">
        <f t="shared" si="23"/>
        <v>1620</v>
      </c>
      <c r="AP29" s="36">
        <f t="shared" si="23"/>
        <v>2700</v>
      </c>
      <c r="AR29" s="4" t="str">
        <f t="shared" si="24"/>
        <v>43200,51840,77760,129600,216000,</v>
      </c>
      <c r="AS29" s="36">
        <f t="shared" si="25"/>
        <v>48000</v>
      </c>
      <c r="AT29" s="36">
        <f t="shared" si="26"/>
        <v>43200</v>
      </c>
      <c r="AU29" s="36">
        <f t="shared" si="26"/>
        <v>51840</v>
      </c>
      <c r="AV29" s="36">
        <f t="shared" si="26"/>
        <v>77760</v>
      </c>
      <c r="AW29" s="36">
        <f t="shared" si="26"/>
        <v>129600</v>
      </c>
      <c r="AX29" s="36">
        <f t="shared" si="26"/>
        <v>216000</v>
      </c>
      <c r="AZ29" s="4">
        <f t="shared" si="27"/>
        <v>178</v>
      </c>
      <c r="BA29" s="4">
        <f t="shared" si="28"/>
        <v>0</v>
      </c>
      <c r="BB29" s="4">
        <f t="shared" si="29"/>
        <v>9</v>
      </c>
      <c r="BC29" s="35" t="str">
        <f t="shared" si="30"/>
        <v>178,</v>
      </c>
      <c r="BD29" s="35" t="str">
        <f t="shared" si="3"/>
        <v/>
      </c>
      <c r="BE29" s="35" t="str">
        <f t="shared" si="31"/>
        <v>9,</v>
      </c>
      <c r="BF29" s="36" t="str">
        <f t="shared" si="32"/>
        <v>1,</v>
      </c>
      <c r="BG29" s="36" t="str">
        <f>IF(BA29=0,"",IF(Z29=0,"3,4,5",VLOOKUP(Z29,{1,3;2,4;3,5},2,0))&amp;",")</f>
        <v/>
      </c>
      <c r="BH29" s="36" t="str">
        <f t="shared" si="33"/>
        <v>6,</v>
      </c>
      <c r="BI29" s="34" t="str">
        <f t="shared" si="34"/>
        <v>1,6</v>
      </c>
      <c r="BJ29" s="34" t="str">
        <f t="shared" si="37"/>
        <v>178,9</v>
      </c>
      <c r="BK29" s="34" t="str">
        <f t="shared" si="35"/>
        <v>0,11,17,26,53,106</v>
      </c>
      <c r="BL29" s="4">
        <f t="shared" si="4"/>
        <v>0</v>
      </c>
      <c r="BM29" s="4">
        <f t="shared" si="5"/>
        <v>11</v>
      </c>
      <c r="BN29" s="4">
        <f t="shared" si="6"/>
        <v>17</v>
      </c>
      <c r="BO29" s="4">
        <f t="shared" si="7"/>
        <v>26</v>
      </c>
      <c r="BP29" s="4">
        <f t="shared" si="8"/>
        <v>53</v>
      </c>
      <c r="BQ29" s="4">
        <f t="shared" si="9"/>
        <v>106</v>
      </c>
      <c r="BR29" s="34" t="str">
        <f t="shared" si="10"/>
        <v>2001,2002,2003,2004,2005,2006</v>
      </c>
      <c r="BS29" s="34" t="str">
        <f t="shared" si="36"/>
        <v>22001,22002,22003,22004,22005,22006</v>
      </c>
      <c r="BT29" s="4">
        <f>VLOOKUP(LOOKUP($Y29,$K$48:$K$55,$L$48:$L$55)&amp;BT$1&amp;$W29,装备额外附加!$M:$O,3,0)</f>
        <v>22001</v>
      </c>
      <c r="BU29" s="4">
        <f>VLOOKUP(LOOKUP($Y29,$K$48:$K$55,$L$48:$L$55)&amp;BU$1&amp;$W29,装备额外附加!$M:$O,3,0)</f>
        <v>22002</v>
      </c>
      <c r="BV29" s="4">
        <f>VLOOKUP(LOOKUP($Y29,$K$48:$K$55,$L$48:$L$55)&amp;BV$1&amp;$W29,装备额外附加!$M:$O,3,0)</f>
        <v>22003</v>
      </c>
      <c r="BW29" s="4">
        <f>VLOOKUP(LOOKUP($Y29,$K$48:$K$55,$L$48:$L$55)&amp;BW$1&amp;$W29,装备额外附加!$M:$O,3,0)</f>
        <v>22004</v>
      </c>
      <c r="BX29" s="4">
        <f>VLOOKUP(LOOKUP($Y29,$K$48:$K$55,$L$48:$L$55)&amp;BX$1&amp;$W29,装备额外附加!$M:$O,3,0)</f>
        <v>22005</v>
      </c>
      <c r="BY29" s="4">
        <f>VLOOKUP(LOOKUP($Y29,$K$48:$K$55,$L$48:$L$55)&amp;BY$1&amp;$W29,装备额外附加!$M:$O,3,0)</f>
        <v>22006</v>
      </c>
    </row>
    <row r="30" spans="18:77">
      <c r="R30" s="4" t="s">
        <v>224</v>
      </c>
      <c r="S30" s="4" t="str">
        <f t="shared" si="11"/>
        <v>106004</v>
      </c>
      <c r="T30" s="4" t="s">
        <v>225</v>
      </c>
      <c r="U30" s="36">
        <v>50</v>
      </c>
      <c r="V30" s="36" t="str">
        <f t="shared" si="12"/>
        <v>腰带</v>
      </c>
      <c r="W30" s="36" t="str">
        <f t="shared" si="13"/>
        <v>护甲</v>
      </c>
      <c r="X30" s="4">
        <f t="shared" si="14"/>
        <v>4</v>
      </c>
      <c r="Y30" s="4">
        <f t="shared" si="15"/>
        <v>58</v>
      </c>
      <c r="Z30" s="4">
        <f t="shared" si="16"/>
        <v>0</v>
      </c>
      <c r="AA30" s="4" t="str">
        <f t="shared" si="17"/>
        <v>96,115,172,288,480,960</v>
      </c>
      <c r="AB30" s="36">
        <f t="shared" si="18"/>
        <v>120</v>
      </c>
      <c r="AC30" s="36">
        <f t="shared" si="38"/>
        <v>96</v>
      </c>
      <c r="AD30" s="36">
        <f t="shared" si="41"/>
        <v>115</v>
      </c>
      <c r="AE30" s="36">
        <f t="shared" si="41"/>
        <v>172</v>
      </c>
      <c r="AF30" s="36">
        <f t="shared" si="41"/>
        <v>288</v>
      </c>
      <c r="AG30" s="36">
        <f t="shared" si="41"/>
        <v>480</v>
      </c>
      <c r="AH30" s="36">
        <f t="shared" si="42"/>
        <v>960</v>
      </c>
      <c r="AJ30" s="4" t="str">
        <f t="shared" si="21"/>
        <v>480,576,864,1440,2400,</v>
      </c>
      <c r="AK30" s="36">
        <f t="shared" si="22"/>
        <v>600</v>
      </c>
      <c r="AL30" s="36">
        <f t="shared" si="23"/>
        <v>480</v>
      </c>
      <c r="AM30" s="36">
        <f t="shared" si="23"/>
        <v>576</v>
      </c>
      <c r="AN30" s="36">
        <f t="shared" si="23"/>
        <v>864</v>
      </c>
      <c r="AO30" s="36">
        <f t="shared" si="23"/>
        <v>1440</v>
      </c>
      <c r="AP30" s="36">
        <f t="shared" si="23"/>
        <v>2400</v>
      </c>
      <c r="AR30" s="4" t="str">
        <f t="shared" si="24"/>
        <v>38400,46080,69120,115200,192000,</v>
      </c>
      <c r="AS30" s="36">
        <f t="shared" si="25"/>
        <v>48000</v>
      </c>
      <c r="AT30" s="36">
        <f t="shared" si="26"/>
        <v>38400</v>
      </c>
      <c r="AU30" s="36">
        <f t="shared" si="26"/>
        <v>46080</v>
      </c>
      <c r="AV30" s="36">
        <f t="shared" si="26"/>
        <v>69120</v>
      </c>
      <c r="AW30" s="36">
        <f t="shared" si="26"/>
        <v>115200</v>
      </c>
      <c r="AX30" s="36">
        <f t="shared" si="26"/>
        <v>192000</v>
      </c>
      <c r="AZ30" s="4">
        <f t="shared" si="27"/>
        <v>89</v>
      </c>
      <c r="BA30" s="4">
        <f t="shared" si="28"/>
        <v>0</v>
      </c>
      <c r="BB30" s="4">
        <f t="shared" si="29"/>
        <v>7</v>
      </c>
      <c r="BC30" s="35" t="str">
        <f t="shared" si="30"/>
        <v>89,</v>
      </c>
      <c r="BD30" s="35" t="str">
        <f t="shared" si="3"/>
        <v/>
      </c>
      <c r="BE30" s="35" t="str">
        <f t="shared" si="31"/>
        <v>7,</v>
      </c>
      <c r="BF30" s="36" t="str">
        <f t="shared" si="32"/>
        <v>1,</v>
      </c>
      <c r="BG30" s="36" t="str">
        <f>IF(BA30=0,"",IF(Z30=0,"3,4,5",VLOOKUP(Z30,{1,3;2,4;3,5},2,0))&amp;",")</f>
        <v/>
      </c>
      <c r="BH30" s="36" t="str">
        <f t="shared" si="33"/>
        <v>6,</v>
      </c>
      <c r="BI30" s="34" t="str">
        <f t="shared" si="34"/>
        <v>1,6</v>
      </c>
      <c r="BJ30" s="34" t="str">
        <f t="shared" si="37"/>
        <v>89,7</v>
      </c>
      <c r="BK30" s="34" t="str">
        <f t="shared" si="35"/>
        <v>0,11,17,26,53,106</v>
      </c>
      <c r="BL30" s="4">
        <f t="shared" si="4"/>
        <v>0</v>
      </c>
      <c r="BM30" s="4">
        <f t="shared" si="5"/>
        <v>11</v>
      </c>
      <c r="BN30" s="4">
        <f t="shared" si="6"/>
        <v>17</v>
      </c>
      <c r="BO30" s="4">
        <f t="shared" si="7"/>
        <v>26</v>
      </c>
      <c r="BP30" s="4">
        <f t="shared" si="8"/>
        <v>53</v>
      </c>
      <c r="BQ30" s="4">
        <f t="shared" si="9"/>
        <v>106</v>
      </c>
      <c r="BR30" s="34" t="str">
        <f t="shared" si="10"/>
        <v>2001,2002,2003,2004,2005,2006</v>
      </c>
      <c r="BS30" s="34" t="str">
        <f t="shared" si="36"/>
        <v>22001,22002,22003,22004,22005,22006</v>
      </c>
      <c r="BT30" s="4">
        <f>VLOOKUP(LOOKUP($Y30,$K$48:$K$55,$L$48:$L$55)&amp;BT$1&amp;$W30,装备额外附加!$M:$O,3,0)</f>
        <v>22001</v>
      </c>
      <c r="BU30" s="4">
        <f>VLOOKUP(LOOKUP($Y30,$K$48:$K$55,$L$48:$L$55)&amp;BU$1&amp;$W30,装备额外附加!$M:$O,3,0)</f>
        <v>22002</v>
      </c>
      <c r="BV30" s="4">
        <f>VLOOKUP(LOOKUP($Y30,$K$48:$K$55,$L$48:$L$55)&amp;BV$1&amp;$W30,装备额外附加!$M:$O,3,0)</f>
        <v>22003</v>
      </c>
      <c r="BW30" s="4">
        <f>VLOOKUP(LOOKUP($Y30,$K$48:$K$55,$L$48:$L$55)&amp;BW$1&amp;$W30,装备额外附加!$M:$O,3,0)</f>
        <v>22004</v>
      </c>
      <c r="BX30" s="4">
        <f>VLOOKUP(LOOKUP($Y30,$K$48:$K$55,$L$48:$L$55)&amp;BX$1&amp;$W30,装备额外附加!$M:$O,3,0)</f>
        <v>22005</v>
      </c>
      <c r="BY30" s="4">
        <f>VLOOKUP(LOOKUP($Y30,$K$48:$K$55,$L$48:$L$55)&amp;BY$1&amp;$W30,装备额外附加!$M:$O,3,0)</f>
        <v>22006</v>
      </c>
    </row>
    <row r="31" spans="1:77">
      <c r="A31" s="47" t="s">
        <v>226</v>
      </c>
      <c r="B31" s="4" t="s">
        <v>227</v>
      </c>
      <c r="R31" s="4" t="s">
        <v>228</v>
      </c>
      <c r="S31" s="4" t="str">
        <f t="shared" si="11"/>
        <v>106005</v>
      </c>
      <c r="T31" s="4" t="s">
        <v>229</v>
      </c>
      <c r="U31" s="36">
        <v>50</v>
      </c>
      <c r="V31" s="36" t="str">
        <f t="shared" si="12"/>
        <v>鞋子</v>
      </c>
      <c r="W31" s="36" t="str">
        <f t="shared" si="13"/>
        <v>护甲</v>
      </c>
      <c r="X31" s="4">
        <f t="shared" si="14"/>
        <v>5</v>
      </c>
      <c r="Y31" s="4">
        <f t="shared" si="15"/>
        <v>52</v>
      </c>
      <c r="Z31" s="4">
        <f t="shared" si="16"/>
        <v>0</v>
      </c>
      <c r="AA31" s="4" t="str">
        <f t="shared" si="17"/>
        <v>96,115,172,288,480,960</v>
      </c>
      <c r="AB31" s="36">
        <f t="shared" si="18"/>
        <v>120</v>
      </c>
      <c r="AC31" s="36">
        <f t="shared" si="38"/>
        <v>96</v>
      </c>
      <c r="AD31" s="36">
        <f t="shared" si="41"/>
        <v>115</v>
      </c>
      <c r="AE31" s="36">
        <f t="shared" si="41"/>
        <v>172</v>
      </c>
      <c r="AF31" s="36">
        <f t="shared" si="41"/>
        <v>288</v>
      </c>
      <c r="AG31" s="36">
        <f t="shared" si="41"/>
        <v>480</v>
      </c>
      <c r="AH31" s="36">
        <f t="shared" si="42"/>
        <v>960</v>
      </c>
      <c r="AJ31" s="4" t="str">
        <f t="shared" si="21"/>
        <v>480,576,864,1440,2400,</v>
      </c>
      <c r="AK31" s="36">
        <f t="shared" si="22"/>
        <v>600</v>
      </c>
      <c r="AL31" s="36">
        <f t="shared" si="23"/>
        <v>480</v>
      </c>
      <c r="AM31" s="36">
        <f t="shared" si="23"/>
        <v>576</v>
      </c>
      <c r="AN31" s="36">
        <f t="shared" si="23"/>
        <v>864</v>
      </c>
      <c r="AO31" s="36">
        <f t="shared" si="23"/>
        <v>1440</v>
      </c>
      <c r="AP31" s="36">
        <f t="shared" si="23"/>
        <v>2400</v>
      </c>
      <c r="AR31" s="4" t="str">
        <f t="shared" si="24"/>
        <v>38400,46080,69120,115200,192000,</v>
      </c>
      <c r="AS31" s="36">
        <f t="shared" si="25"/>
        <v>48000</v>
      </c>
      <c r="AT31" s="36">
        <f t="shared" si="26"/>
        <v>38400</v>
      </c>
      <c r="AU31" s="36">
        <f t="shared" si="26"/>
        <v>46080</v>
      </c>
      <c r="AV31" s="36">
        <f t="shared" si="26"/>
        <v>69120</v>
      </c>
      <c r="AW31" s="36">
        <f t="shared" si="26"/>
        <v>115200</v>
      </c>
      <c r="AX31" s="36">
        <f t="shared" si="26"/>
        <v>192000</v>
      </c>
      <c r="AZ31" s="4">
        <f t="shared" si="27"/>
        <v>89</v>
      </c>
      <c r="BA31" s="4">
        <f t="shared" si="28"/>
        <v>0</v>
      </c>
      <c r="BB31" s="4">
        <f t="shared" si="29"/>
        <v>7</v>
      </c>
      <c r="BC31" s="35" t="str">
        <f t="shared" si="30"/>
        <v>89,</v>
      </c>
      <c r="BD31" s="35" t="str">
        <f t="shared" si="3"/>
        <v/>
      </c>
      <c r="BE31" s="35" t="str">
        <f t="shared" si="31"/>
        <v>7,</v>
      </c>
      <c r="BF31" s="36" t="str">
        <f t="shared" si="32"/>
        <v>1,</v>
      </c>
      <c r="BG31" s="36" t="str">
        <f>IF(BA31=0,"",IF(Z31=0,"3,4,5",VLOOKUP(Z31,{1,3;2,4;3,5},2,0))&amp;",")</f>
        <v/>
      </c>
      <c r="BH31" s="36" t="str">
        <f t="shared" si="33"/>
        <v>6,</v>
      </c>
      <c r="BI31" s="34" t="str">
        <f t="shared" si="34"/>
        <v>1,6</v>
      </c>
      <c r="BJ31" s="34" t="str">
        <f t="shared" si="37"/>
        <v>89,7</v>
      </c>
      <c r="BK31" s="34" t="str">
        <f t="shared" si="35"/>
        <v>0,11,17,26,53,106</v>
      </c>
      <c r="BL31" s="4">
        <f t="shared" si="4"/>
        <v>0</v>
      </c>
      <c r="BM31" s="4">
        <f t="shared" si="5"/>
        <v>11</v>
      </c>
      <c r="BN31" s="4">
        <f t="shared" si="6"/>
        <v>17</v>
      </c>
      <c r="BO31" s="4">
        <f t="shared" si="7"/>
        <v>26</v>
      </c>
      <c r="BP31" s="4">
        <f t="shared" si="8"/>
        <v>53</v>
      </c>
      <c r="BQ31" s="4">
        <f t="shared" si="9"/>
        <v>106</v>
      </c>
      <c r="BR31" s="34" t="str">
        <f t="shared" si="10"/>
        <v>2001,2002,2003,2004,2005,2006</v>
      </c>
      <c r="BS31" s="34" t="str">
        <f t="shared" si="36"/>
        <v>22001,22002,22003,22004,22005,22006</v>
      </c>
      <c r="BT31" s="4">
        <f>VLOOKUP(LOOKUP($Y31,$K$48:$K$55,$L$48:$L$55)&amp;BT$1&amp;$W31,装备额外附加!$M:$O,3,0)</f>
        <v>22001</v>
      </c>
      <c r="BU31" s="4">
        <f>VLOOKUP(LOOKUP($Y31,$K$48:$K$55,$L$48:$L$55)&amp;BU$1&amp;$W31,装备额外附加!$M:$O,3,0)</f>
        <v>22002</v>
      </c>
      <c r="BV31" s="4">
        <f>VLOOKUP(LOOKUP($Y31,$K$48:$K$55,$L$48:$L$55)&amp;BV$1&amp;$W31,装备额外附加!$M:$O,3,0)</f>
        <v>22003</v>
      </c>
      <c r="BW31" s="4">
        <f>VLOOKUP(LOOKUP($Y31,$K$48:$K$55,$L$48:$L$55)&amp;BW$1&amp;$W31,装备额外附加!$M:$O,3,0)</f>
        <v>22004</v>
      </c>
      <c r="BX31" s="4">
        <f>VLOOKUP(LOOKUP($Y31,$K$48:$K$55,$L$48:$L$55)&amp;BX$1&amp;$W31,装备额外附加!$M:$O,3,0)</f>
        <v>22005</v>
      </c>
      <c r="BY31" s="4">
        <f>VLOOKUP(LOOKUP($Y31,$K$48:$K$55,$L$48:$L$55)&amp;BY$1&amp;$W31,装备额外附加!$M:$O,3,0)</f>
        <v>22006</v>
      </c>
    </row>
    <row r="32" ht="15" spans="1:77">
      <c r="A32" s="47"/>
      <c r="R32" s="4" t="s">
        <v>230</v>
      </c>
      <c r="S32" s="4" t="str">
        <f t="shared" si="11"/>
        <v>107001</v>
      </c>
      <c r="T32" s="4" t="s">
        <v>231</v>
      </c>
      <c r="U32" s="36">
        <v>60</v>
      </c>
      <c r="V32" s="36" t="str">
        <f t="shared" si="12"/>
        <v>武器</v>
      </c>
      <c r="W32" s="36" t="str">
        <f t="shared" si="13"/>
        <v>武器</v>
      </c>
      <c r="X32" s="4">
        <f t="shared" si="14"/>
        <v>1</v>
      </c>
      <c r="Y32" s="4">
        <f t="shared" si="15"/>
        <v>61</v>
      </c>
      <c r="Z32" s="4">
        <f t="shared" si="16"/>
        <v>0</v>
      </c>
      <c r="AA32" s="4" t="str">
        <f t="shared" si="17"/>
        <v>140,168,252,420,700,1400</v>
      </c>
      <c r="AB32" s="36">
        <f t="shared" si="18"/>
        <v>140</v>
      </c>
      <c r="AC32" s="36">
        <f t="shared" si="38"/>
        <v>140</v>
      </c>
      <c r="AD32" s="36">
        <f t="shared" si="41"/>
        <v>168</v>
      </c>
      <c r="AE32" s="36">
        <f t="shared" si="41"/>
        <v>252</v>
      </c>
      <c r="AF32" s="36">
        <f t="shared" si="41"/>
        <v>420</v>
      </c>
      <c r="AG32" s="36">
        <f t="shared" si="41"/>
        <v>700</v>
      </c>
      <c r="AH32" s="36">
        <f t="shared" si="42"/>
        <v>1400</v>
      </c>
      <c r="AJ32" s="4" t="str">
        <f t="shared" si="21"/>
        <v>700,840,1260,2100,3500,</v>
      </c>
      <c r="AK32" s="36">
        <f t="shared" si="22"/>
        <v>700</v>
      </c>
      <c r="AL32" s="36">
        <f t="shared" si="23"/>
        <v>700</v>
      </c>
      <c r="AM32" s="36">
        <f t="shared" si="23"/>
        <v>840</v>
      </c>
      <c r="AN32" s="36">
        <f t="shared" si="23"/>
        <v>1260</v>
      </c>
      <c r="AO32" s="36">
        <f t="shared" si="23"/>
        <v>2100</v>
      </c>
      <c r="AP32" s="36">
        <f t="shared" si="23"/>
        <v>3500</v>
      </c>
      <c r="AR32" s="4" t="str">
        <f t="shared" si="24"/>
        <v>56000,67200,100800,168000,280000,</v>
      </c>
      <c r="AS32" s="36">
        <f t="shared" si="25"/>
        <v>56000</v>
      </c>
      <c r="AT32" s="36">
        <f t="shared" si="26"/>
        <v>56000</v>
      </c>
      <c r="AU32" s="36">
        <f t="shared" si="26"/>
        <v>67200</v>
      </c>
      <c r="AV32" s="36">
        <f t="shared" si="26"/>
        <v>100800</v>
      </c>
      <c r="AW32" s="36">
        <f t="shared" si="26"/>
        <v>168000</v>
      </c>
      <c r="AX32" s="36">
        <f t="shared" si="26"/>
        <v>280000</v>
      </c>
      <c r="AZ32" s="4">
        <f t="shared" si="27"/>
        <v>0</v>
      </c>
      <c r="BA32" s="4">
        <f t="shared" si="28"/>
        <v>32</v>
      </c>
      <c r="BB32" s="4">
        <f t="shared" si="29"/>
        <v>0</v>
      </c>
      <c r="BC32" s="35" t="str">
        <f t="shared" si="30"/>
        <v/>
      </c>
      <c r="BD32" s="35" t="str">
        <f t="shared" si="3"/>
        <v>32,32,32,</v>
      </c>
      <c r="BE32" s="35" t="str">
        <f t="shared" si="31"/>
        <v/>
      </c>
      <c r="BF32" s="36" t="str">
        <f t="shared" si="32"/>
        <v/>
      </c>
      <c r="BG32" s="36" t="str">
        <f>IF(BA32=0,"",IF(Z32=0,"3,4,5",VLOOKUP(Z32,{1,3;2,4;3,5},2,0))&amp;",")</f>
        <v>3,4,5,</v>
      </c>
      <c r="BH32" s="36" t="str">
        <f t="shared" si="33"/>
        <v/>
      </c>
      <c r="BI32" s="34" t="str">
        <f t="shared" si="34"/>
        <v>3,4,5</v>
      </c>
      <c r="BJ32" s="34" t="str">
        <f t="shared" si="37"/>
        <v>32,32,32</v>
      </c>
      <c r="BK32" s="34" t="str">
        <f t="shared" si="35"/>
        <v>0,24,36,54,108,217</v>
      </c>
      <c r="BL32" s="4">
        <f t="shared" si="4"/>
        <v>0</v>
      </c>
      <c r="BM32" s="4">
        <f t="shared" si="5"/>
        <v>24</v>
      </c>
      <c r="BN32" s="4">
        <f t="shared" si="6"/>
        <v>36</v>
      </c>
      <c r="BO32" s="4">
        <f t="shared" si="7"/>
        <v>54</v>
      </c>
      <c r="BP32" s="4">
        <f t="shared" si="8"/>
        <v>108</v>
      </c>
      <c r="BQ32" s="4">
        <f t="shared" si="9"/>
        <v>217</v>
      </c>
      <c r="BR32" s="34" t="str">
        <f t="shared" si="10"/>
        <v>1001,1002,1003,1004,1005,1006</v>
      </c>
      <c r="BS32" s="34" t="str">
        <f t="shared" si="36"/>
        <v>13001,13002,13003,13004,13005,13006</v>
      </c>
      <c r="BT32" s="4">
        <f>VLOOKUP(LOOKUP($Y32,$K$48:$K$55,$L$48:$L$55)&amp;BT$1&amp;$W32,装备额外附加!$M:$O,3,0)</f>
        <v>13001</v>
      </c>
      <c r="BU32" s="4">
        <f>VLOOKUP(LOOKUP($Y32,$K$48:$K$55,$L$48:$L$55)&amp;BU$1&amp;$W32,装备额外附加!$M:$O,3,0)</f>
        <v>13002</v>
      </c>
      <c r="BV32" s="4">
        <f>VLOOKUP(LOOKUP($Y32,$K$48:$K$55,$L$48:$L$55)&amp;BV$1&amp;$W32,装备额外附加!$M:$O,3,0)</f>
        <v>13003</v>
      </c>
      <c r="BW32" s="4">
        <f>VLOOKUP(LOOKUP($Y32,$K$48:$K$55,$L$48:$L$55)&amp;BW$1&amp;$W32,装备额外附加!$M:$O,3,0)</f>
        <v>13004</v>
      </c>
      <c r="BX32" s="4">
        <f>VLOOKUP(LOOKUP($Y32,$K$48:$K$55,$L$48:$L$55)&amp;BX$1&amp;$W32,装备额外附加!$M:$O,3,0)</f>
        <v>13005</v>
      </c>
      <c r="BY32" s="4">
        <f>VLOOKUP(LOOKUP($Y32,$K$48:$K$55,$L$48:$L$55)&amp;BY$1&amp;$W32,装备额外附加!$M:$O,3,0)</f>
        <v>13006</v>
      </c>
    </row>
    <row r="33" spans="4:77">
      <c r="D33" s="48" t="s">
        <v>10</v>
      </c>
      <c r="E33" s="49" t="s">
        <v>12</v>
      </c>
      <c r="F33" s="49" t="s">
        <v>13</v>
      </c>
      <c r="G33" s="49" t="s">
        <v>14</v>
      </c>
      <c r="H33" s="49" t="s">
        <v>15</v>
      </c>
      <c r="I33" s="50" t="s">
        <v>17</v>
      </c>
      <c r="K33" s="4" t="s">
        <v>232</v>
      </c>
      <c r="R33" s="4" t="s">
        <v>233</v>
      </c>
      <c r="S33" s="4" t="str">
        <f t="shared" si="11"/>
        <v>107002</v>
      </c>
      <c r="T33" s="4" t="s">
        <v>234</v>
      </c>
      <c r="U33" s="36">
        <v>60</v>
      </c>
      <c r="V33" s="36" t="str">
        <f t="shared" si="12"/>
        <v>头盔</v>
      </c>
      <c r="W33" s="36" t="str">
        <f t="shared" si="13"/>
        <v>护甲</v>
      </c>
      <c r="X33" s="4">
        <f t="shared" si="14"/>
        <v>2</v>
      </c>
      <c r="Y33" s="4">
        <f t="shared" si="15"/>
        <v>67</v>
      </c>
      <c r="Z33" s="4">
        <f t="shared" si="16"/>
        <v>0</v>
      </c>
      <c r="AA33" s="4" t="str">
        <f t="shared" si="17"/>
        <v>126,151,226,378,630,1260</v>
      </c>
      <c r="AB33" s="36">
        <f t="shared" si="18"/>
        <v>140</v>
      </c>
      <c r="AC33" s="36">
        <f t="shared" si="38"/>
        <v>126</v>
      </c>
      <c r="AD33" s="36">
        <f t="shared" si="41"/>
        <v>151</v>
      </c>
      <c r="AE33" s="36">
        <f t="shared" si="41"/>
        <v>226</v>
      </c>
      <c r="AF33" s="36">
        <f t="shared" si="41"/>
        <v>378</v>
      </c>
      <c r="AG33" s="36">
        <f t="shared" si="41"/>
        <v>630</v>
      </c>
      <c r="AH33" s="36">
        <f t="shared" si="42"/>
        <v>1260</v>
      </c>
      <c r="AJ33" s="4" t="str">
        <f t="shared" si="21"/>
        <v>630,756,1134,1890,3150,</v>
      </c>
      <c r="AK33" s="36">
        <f t="shared" si="22"/>
        <v>700</v>
      </c>
      <c r="AL33" s="36">
        <f t="shared" si="23"/>
        <v>630</v>
      </c>
      <c r="AM33" s="36">
        <f t="shared" si="23"/>
        <v>756</v>
      </c>
      <c r="AN33" s="36">
        <f t="shared" si="23"/>
        <v>1134</v>
      </c>
      <c r="AO33" s="36">
        <f t="shared" si="23"/>
        <v>1890</v>
      </c>
      <c r="AP33" s="36">
        <f t="shared" si="23"/>
        <v>3150</v>
      </c>
      <c r="AR33" s="4" t="str">
        <f t="shared" si="24"/>
        <v>50400,60480,90720,151200,252000,</v>
      </c>
      <c r="AS33" s="36">
        <f t="shared" si="25"/>
        <v>56000</v>
      </c>
      <c r="AT33" s="36">
        <f t="shared" si="26"/>
        <v>50400</v>
      </c>
      <c r="AU33" s="36">
        <f t="shared" si="26"/>
        <v>60480</v>
      </c>
      <c r="AV33" s="36">
        <f t="shared" si="26"/>
        <v>90720</v>
      </c>
      <c r="AW33" s="36">
        <f t="shared" si="26"/>
        <v>151200</v>
      </c>
      <c r="AX33" s="36">
        <f t="shared" si="26"/>
        <v>252000</v>
      </c>
      <c r="AZ33" s="4">
        <f t="shared" si="27"/>
        <v>0</v>
      </c>
      <c r="BA33" s="4">
        <f t="shared" si="28"/>
        <v>16</v>
      </c>
      <c r="BB33" s="4">
        <f t="shared" si="29"/>
        <v>13</v>
      </c>
      <c r="BC33" s="35" t="str">
        <f t="shared" si="30"/>
        <v/>
      </c>
      <c r="BD33" s="35" t="str">
        <f t="shared" si="3"/>
        <v>16,16,16,</v>
      </c>
      <c r="BE33" s="35" t="str">
        <f t="shared" si="31"/>
        <v>13,</v>
      </c>
      <c r="BF33" s="36" t="str">
        <f t="shared" si="32"/>
        <v/>
      </c>
      <c r="BG33" s="36" t="str">
        <f>IF(BA33=0,"",IF(Z33=0,"3,4,5",VLOOKUP(Z33,{1,3;2,4;3,5},2,0))&amp;",")</f>
        <v>3,4,5,</v>
      </c>
      <c r="BH33" s="36" t="str">
        <f t="shared" si="33"/>
        <v>6,</v>
      </c>
      <c r="BI33" s="34" t="str">
        <f t="shared" si="34"/>
        <v>3,4,5,6</v>
      </c>
      <c r="BJ33" s="34" t="str">
        <f t="shared" si="37"/>
        <v>16,16,16,13</v>
      </c>
      <c r="BK33" s="34" t="str">
        <f t="shared" si="35"/>
        <v>0,16,24,36,72,145</v>
      </c>
      <c r="BL33" s="4">
        <f t="shared" si="4"/>
        <v>0</v>
      </c>
      <c r="BM33" s="4">
        <f t="shared" si="5"/>
        <v>16</v>
      </c>
      <c r="BN33" s="4">
        <f t="shared" si="6"/>
        <v>24</v>
      </c>
      <c r="BO33" s="4">
        <f t="shared" si="7"/>
        <v>36</v>
      </c>
      <c r="BP33" s="4">
        <f t="shared" si="8"/>
        <v>72</v>
      </c>
      <c r="BQ33" s="4">
        <f t="shared" si="9"/>
        <v>145</v>
      </c>
      <c r="BR33" s="34" t="str">
        <f t="shared" si="10"/>
        <v>2001,2002,2003,2004,2005,2006</v>
      </c>
      <c r="BS33" s="34" t="str">
        <f t="shared" si="36"/>
        <v>23001,23002,23003,23004,23005,23006</v>
      </c>
      <c r="BT33" s="4">
        <f>VLOOKUP(LOOKUP($Y33,$K$48:$K$55,$L$48:$L$55)&amp;BT$1&amp;$W33,装备额外附加!$M:$O,3,0)</f>
        <v>23001</v>
      </c>
      <c r="BU33" s="4">
        <f>VLOOKUP(LOOKUP($Y33,$K$48:$K$55,$L$48:$L$55)&amp;BU$1&amp;$W33,装备额外附加!$M:$O,3,0)</f>
        <v>23002</v>
      </c>
      <c r="BV33" s="4">
        <f>VLOOKUP(LOOKUP($Y33,$K$48:$K$55,$L$48:$L$55)&amp;BV$1&amp;$W33,装备额外附加!$M:$O,3,0)</f>
        <v>23003</v>
      </c>
      <c r="BW33" s="4">
        <f>VLOOKUP(LOOKUP($Y33,$K$48:$K$55,$L$48:$L$55)&amp;BW$1&amp;$W33,装备额外附加!$M:$O,3,0)</f>
        <v>23004</v>
      </c>
      <c r="BX33" s="4">
        <f>VLOOKUP(LOOKUP($Y33,$K$48:$K$55,$L$48:$L$55)&amp;BX$1&amp;$W33,装备额外附加!$M:$O,3,0)</f>
        <v>23005</v>
      </c>
      <c r="BY33" s="4">
        <f>VLOOKUP(LOOKUP($Y33,$K$48:$K$55,$L$48:$L$55)&amp;BY$1&amp;$W33,装备额外附加!$M:$O,3,0)</f>
        <v>23006</v>
      </c>
    </row>
    <row r="34" spans="1:77">
      <c r="A34" s="4" t="s">
        <v>235</v>
      </c>
      <c r="B34" s="4">
        <v>1</v>
      </c>
      <c r="C34" s="4">
        <v>0.15</v>
      </c>
      <c r="D34" s="4">
        <f>D$8*$C34</f>
        <v>202.5</v>
      </c>
      <c r="E34" s="4">
        <f t="shared" ref="E34:I41" si="45">E$8*$C34</f>
        <v>27</v>
      </c>
      <c r="F34" s="4">
        <f t="shared" si="45"/>
        <v>18</v>
      </c>
      <c r="G34" s="4">
        <f t="shared" si="45"/>
        <v>18</v>
      </c>
      <c r="H34" s="4">
        <f t="shared" si="45"/>
        <v>18</v>
      </c>
      <c r="I34" s="4">
        <f t="shared" si="45"/>
        <v>9</v>
      </c>
      <c r="K34" s="4">
        <f>F34*1.5</f>
        <v>27</v>
      </c>
      <c r="L34" s="4">
        <f>K34*0.5</f>
        <v>13.5</v>
      </c>
      <c r="M34" s="4">
        <f>K34*1.2</f>
        <v>32.4</v>
      </c>
      <c r="R34" s="4" t="s">
        <v>236</v>
      </c>
      <c r="S34" s="4" t="str">
        <f t="shared" si="11"/>
        <v>107003</v>
      </c>
      <c r="T34" s="4" t="s">
        <v>237</v>
      </c>
      <c r="U34" s="36">
        <v>60</v>
      </c>
      <c r="V34" s="36" t="str">
        <f t="shared" si="12"/>
        <v>衣服</v>
      </c>
      <c r="W34" s="36" t="str">
        <f t="shared" si="13"/>
        <v>护甲</v>
      </c>
      <c r="X34" s="4">
        <f t="shared" si="14"/>
        <v>3</v>
      </c>
      <c r="Y34" s="4">
        <f t="shared" si="15"/>
        <v>65</v>
      </c>
      <c r="Z34" s="4">
        <f t="shared" si="16"/>
        <v>0</v>
      </c>
      <c r="AA34" s="4" t="str">
        <f t="shared" si="17"/>
        <v>126,151,226,378,630,1260</v>
      </c>
      <c r="AB34" s="36">
        <f t="shared" si="18"/>
        <v>140</v>
      </c>
      <c r="AC34" s="36">
        <f t="shared" si="38"/>
        <v>126</v>
      </c>
      <c r="AD34" s="36">
        <f t="shared" si="41"/>
        <v>151</v>
      </c>
      <c r="AE34" s="36">
        <f t="shared" si="41"/>
        <v>226</v>
      </c>
      <c r="AF34" s="36">
        <f t="shared" si="41"/>
        <v>378</v>
      </c>
      <c r="AG34" s="36">
        <f t="shared" si="41"/>
        <v>630</v>
      </c>
      <c r="AH34" s="36">
        <f t="shared" si="42"/>
        <v>1260</v>
      </c>
      <c r="AJ34" s="4" t="str">
        <f t="shared" si="21"/>
        <v>630,756,1134,1890,3150,</v>
      </c>
      <c r="AK34" s="36">
        <f t="shared" si="22"/>
        <v>700</v>
      </c>
      <c r="AL34" s="36">
        <f t="shared" si="23"/>
        <v>630</v>
      </c>
      <c r="AM34" s="36">
        <f t="shared" si="23"/>
        <v>756</v>
      </c>
      <c r="AN34" s="36">
        <f t="shared" si="23"/>
        <v>1134</v>
      </c>
      <c r="AO34" s="36">
        <f t="shared" si="23"/>
        <v>1890</v>
      </c>
      <c r="AP34" s="36">
        <f t="shared" si="23"/>
        <v>3150</v>
      </c>
      <c r="AR34" s="4" t="str">
        <f t="shared" si="24"/>
        <v>50400,60480,90720,151200,252000,</v>
      </c>
      <c r="AS34" s="36">
        <f t="shared" si="25"/>
        <v>56000</v>
      </c>
      <c r="AT34" s="36">
        <f t="shared" si="26"/>
        <v>50400</v>
      </c>
      <c r="AU34" s="36">
        <f t="shared" si="26"/>
        <v>60480</v>
      </c>
      <c r="AV34" s="36">
        <f t="shared" si="26"/>
        <v>90720</v>
      </c>
      <c r="AW34" s="36">
        <f t="shared" si="26"/>
        <v>151200</v>
      </c>
      <c r="AX34" s="36">
        <f t="shared" si="26"/>
        <v>252000</v>
      </c>
      <c r="AZ34" s="4">
        <f t="shared" si="27"/>
        <v>243</v>
      </c>
      <c r="BA34" s="4">
        <f t="shared" si="28"/>
        <v>0</v>
      </c>
      <c r="BB34" s="4">
        <f t="shared" si="29"/>
        <v>13</v>
      </c>
      <c r="BC34" s="35" t="str">
        <f t="shared" si="30"/>
        <v>243,</v>
      </c>
      <c r="BD34" s="35" t="str">
        <f t="shared" si="3"/>
        <v/>
      </c>
      <c r="BE34" s="35" t="str">
        <f t="shared" si="31"/>
        <v>13,</v>
      </c>
      <c r="BF34" s="36" t="str">
        <f t="shared" si="32"/>
        <v>1,</v>
      </c>
      <c r="BG34" s="36" t="str">
        <f>IF(BA34=0,"",IF(Z34=0,"3,4,5",VLOOKUP(Z34,{1,3;2,4;3,5},2,0))&amp;",")</f>
        <v/>
      </c>
      <c r="BH34" s="36" t="str">
        <f t="shared" si="33"/>
        <v>6,</v>
      </c>
      <c r="BI34" s="34" t="str">
        <f t="shared" si="34"/>
        <v>1,6</v>
      </c>
      <c r="BJ34" s="34" t="str">
        <f t="shared" si="37"/>
        <v>243,13</v>
      </c>
      <c r="BK34" s="34" t="str">
        <f t="shared" si="35"/>
        <v>0,16,24,36,72,145</v>
      </c>
      <c r="BL34" s="4">
        <f t="shared" si="4"/>
        <v>0</v>
      </c>
      <c r="BM34" s="4">
        <f t="shared" si="5"/>
        <v>16</v>
      </c>
      <c r="BN34" s="4">
        <f t="shared" si="6"/>
        <v>24</v>
      </c>
      <c r="BO34" s="4">
        <f t="shared" si="7"/>
        <v>36</v>
      </c>
      <c r="BP34" s="4">
        <f t="shared" si="8"/>
        <v>72</v>
      </c>
      <c r="BQ34" s="4">
        <f t="shared" si="9"/>
        <v>145</v>
      </c>
      <c r="BR34" s="34" t="str">
        <f t="shared" si="10"/>
        <v>2001,2002,2003,2004,2005,2006</v>
      </c>
      <c r="BS34" s="34" t="str">
        <f t="shared" si="36"/>
        <v>23001,23002,23003,23004,23005,23006</v>
      </c>
      <c r="BT34" s="4">
        <f>VLOOKUP(LOOKUP($Y34,$K$48:$K$55,$L$48:$L$55)&amp;BT$1&amp;$W34,装备额外附加!$M:$O,3,0)</f>
        <v>23001</v>
      </c>
      <c r="BU34" s="4">
        <f>VLOOKUP(LOOKUP($Y34,$K$48:$K$55,$L$48:$L$55)&amp;BU$1&amp;$W34,装备额外附加!$M:$O,3,0)</f>
        <v>23002</v>
      </c>
      <c r="BV34" s="4">
        <f>VLOOKUP(LOOKUP($Y34,$K$48:$K$55,$L$48:$L$55)&amp;BV$1&amp;$W34,装备额外附加!$M:$O,3,0)</f>
        <v>23003</v>
      </c>
      <c r="BW34" s="4">
        <f>VLOOKUP(LOOKUP($Y34,$K$48:$K$55,$L$48:$L$55)&amp;BW$1&amp;$W34,装备额外附加!$M:$O,3,0)</f>
        <v>23004</v>
      </c>
      <c r="BX34" s="4">
        <f>VLOOKUP(LOOKUP($Y34,$K$48:$K$55,$L$48:$L$55)&amp;BX$1&amp;$W34,装备额外附加!$M:$O,3,0)</f>
        <v>23005</v>
      </c>
      <c r="BY34" s="4">
        <f>VLOOKUP(LOOKUP($Y34,$K$48:$K$55,$L$48:$L$55)&amp;BY$1&amp;$W34,装备额外附加!$M:$O,3,0)</f>
        <v>23006</v>
      </c>
    </row>
    <row r="35" spans="1:77">
      <c r="A35" s="4" t="s">
        <v>99</v>
      </c>
      <c r="B35" s="4">
        <v>11</v>
      </c>
      <c r="C35" s="4">
        <v>0.19</v>
      </c>
      <c r="D35" s="4">
        <f t="shared" ref="D35:D41" si="46">D$8*$C35</f>
        <v>256.5</v>
      </c>
      <c r="E35" s="4">
        <f t="shared" si="45"/>
        <v>34.2</v>
      </c>
      <c r="F35" s="4">
        <f t="shared" si="45"/>
        <v>22.8</v>
      </c>
      <c r="G35" s="4">
        <f t="shared" si="45"/>
        <v>22.8</v>
      </c>
      <c r="H35" s="4">
        <f t="shared" si="45"/>
        <v>22.8</v>
      </c>
      <c r="I35" s="4">
        <f t="shared" si="45"/>
        <v>11.4</v>
      </c>
      <c r="K35" s="4">
        <f t="shared" ref="K35:K41" si="47">F35*1.5</f>
        <v>34.2</v>
      </c>
      <c r="L35" s="4">
        <f t="shared" ref="L35:L41" si="48">K35*0.5</f>
        <v>17.1</v>
      </c>
      <c r="M35" s="4">
        <f t="shared" ref="M35:M41" si="49">K35*1.2</f>
        <v>41.04</v>
      </c>
      <c r="O35" s="4">
        <f>C35/C34</f>
        <v>1.26666666666667</v>
      </c>
      <c r="R35" s="4" t="s">
        <v>238</v>
      </c>
      <c r="S35" s="4" t="str">
        <f t="shared" si="11"/>
        <v>107004</v>
      </c>
      <c r="T35" s="4" t="s">
        <v>239</v>
      </c>
      <c r="U35" s="36">
        <v>60</v>
      </c>
      <c r="V35" s="36" t="str">
        <f t="shared" si="12"/>
        <v>腰带</v>
      </c>
      <c r="W35" s="36" t="str">
        <f t="shared" si="13"/>
        <v>护甲</v>
      </c>
      <c r="X35" s="4">
        <f t="shared" si="14"/>
        <v>4</v>
      </c>
      <c r="Y35" s="4">
        <f t="shared" si="15"/>
        <v>68</v>
      </c>
      <c r="Z35" s="4">
        <f t="shared" si="16"/>
        <v>0</v>
      </c>
      <c r="AA35" s="4" t="str">
        <f t="shared" si="17"/>
        <v>112,134,201,336,560,1120</v>
      </c>
      <c r="AB35" s="36">
        <f t="shared" si="18"/>
        <v>140</v>
      </c>
      <c r="AC35" s="36">
        <f t="shared" si="38"/>
        <v>112</v>
      </c>
      <c r="AD35" s="36">
        <f t="shared" si="41"/>
        <v>134</v>
      </c>
      <c r="AE35" s="36">
        <f t="shared" si="41"/>
        <v>201</v>
      </c>
      <c r="AF35" s="36">
        <f t="shared" si="41"/>
        <v>336</v>
      </c>
      <c r="AG35" s="36">
        <f t="shared" si="41"/>
        <v>560</v>
      </c>
      <c r="AH35" s="36">
        <f t="shared" si="42"/>
        <v>1120</v>
      </c>
      <c r="AJ35" s="4" t="str">
        <f t="shared" si="21"/>
        <v>560,672,1008,1680,2800,</v>
      </c>
      <c r="AK35" s="36">
        <f t="shared" si="22"/>
        <v>700</v>
      </c>
      <c r="AL35" s="36">
        <f t="shared" si="23"/>
        <v>560</v>
      </c>
      <c r="AM35" s="36">
        <f t="shared" si="23"/>
        <v>672</v>
      </c>
      <c r="AN35" s="36">
        <f t="shared" si="23"/>
        <v>1008</v>
      </c>
      <c r="AO35" s="36">
        <f t="shared" si="23"/>
        <v>1680</v>
      </c>
      <c r="AP35" s="36">
        <f t="shared" si="23"/>
        <v>2800</v>
      </c>
      <c r="AR35" s="4" t="str">
        <f t="shared" si="24"/>
        <v>44800,53760,80640,134400,224000,</v>
      </c>
      <c r="AS35" s="36">
        <f t="shared" si="25"/>
        <v>56000</v>
      </c>
      <c r="AT35" s="36">
        <f t="shared" si="26"/>
        <v>44800</v>
      </c>
      <c r="AU35" s="36">
        <f t="shared" si="26"/>
        <v>53760</v>
      </c>
      <c r="AV35" s="36">
        <f t="shared" si="26"/>
        <v>80640</v>
      </c>
      <c r="AW35" s="36">
        <f t="shared" si="26"/>
        <v>134400</v>
      </c>
      <c r="AX35" s="36">
        <f t="shared" si="26"/>
        <v>224000</v>
      </c>
      <c r="AZ35" s="4">
        <f t="shared" si="27"/>
        <v>121</v>
      </c>
      <c r="BA35" s="4">
        <f t="shared" si="28"/>
        <v>0</v>
      </c>
      <c r="BB35" s="4">
        <f t="shared" si="29"/>
        <v>10</v>
      </c>
      <c r="BC35" s="35" t="str">
        <f t="shared" si="30"/>
        <v>121,</v>
      </c>
      <c r="BD35" s="35" t="str">
        <f t="shared" si="3"/>
        <v/>
      </c>
      <c r="BE35" s="35" t="str">
        <f t="shared" si="31"/>
        <v>10,</v>
      </c>
      <c r="BF35" s="36" t="str">
        <f t="shared" si="32"/>
        <v>1,</v>
      </c>
      <c r="BG35" s="36" t="str">
        <f>IF(BA35=0,"",IF(Z35=0,"3,4,5",VLOOKUP(Z35,{1,3;2,4;3,5},2,0))&amp;",")</f>
        <v/>
      </c>
      <c r="BH35" s="36" t="str">
        <f t="shared" si="33"/>
        <v>6,</v>
      </c>
      <c r="BI35" s="34" t="str">
        <f t="shared" si="34"/>
        <v>1,6</v>
      </c>
      <c r="BJ35" s="34" t="str">
        <f t="shared" si="37"/>
        <v>121,10</v>
      </c>
      <c r="BK35" s="34" t="str">
        <f t="shared" si="35"/>
        <v>0,16,24,36,72,145</v>
      </c>
      <c r="BL35" s="4">
        <f t="shared" si="4"/>
        <v>0</v>
      </c>
      <c r="BM35" s="4">
        <f t="shared" si="5"/>
        <v>16</v>
      </c>
      <c r="BN35" s="4">
        <f t="shared" si="6"/>
        <v>24</v>
      </c>
      <c r="BO35" s="4">
        <f t="shared" si="7"/>
        <v>36</v>
      </c>
      <c r="BP35" s="4">
        <f t="shared" si="8"/>
        <v>72</v>
      </c>
      <c r="BQ35" s="4">
        <f t="shared" si="9"/>
        <v>145</v>
      </c>
      <c r="BR35" s="34" t="str">
        <f t="shared" si="10"/>
        <v>2001,2002,2003,2004,2005,2006</v>
      </c>
      <c r="BS35" s="34" t="str">
        <f t="shared" si="36"/>
        <v>23001,23002,23003,23004,23005,23006</v>
      </c>
      <c r="BT35" s="4">
        <f>VLOOKUP(LOOKUP($Y35,$K$48:$K$55,$L$48:$L$55)&amp;BT$1&amp;$W35,装备额外附加!$M:$O,3,0)</f>
        <v>23001</v>
      </c>
      <c r="BU35" s="4">
        <f>VLOOKUP(LOOKUP($Y35,$K$48:$K$55,$L$48:$L$55)&amp;BU$1&amp;$W35,装备额外附加!$M:$O,3,0)</f>
        <v>23002</v>
      </c>
      <c r="BV35" s="4">
        <f>VLOOKUP(LOOKUP($Y35,$K$48:$K$55,$L$48:$L$55)&amp;BV$1&amp;$W35,装备额外附加!$M:$O,3,0)</f>
        <v>23003</v>
      </c>
      <c r="BW35" s="4">
        <f>VLOOKUP(LOOKUP($Y35,$K$48:$K$55,$L$48:$L$55)&amp;BW$1&amp;$W35,装备额外附加!$M:$O,3,0)</f>
        <v>23004</v>
      </c>
      <c r="BX35" s="4">
        <f>VLOOKUP(LOOKUP($Y35,$K$48:$K$55,$L$48:$L$55)&amp;BX$1&amp;$W35,装备额外附加!$M:$O,3,0)</f>
        <v>23005</v>
      </c>
      <c r="BY35" s="4">
        <f>VLOOKUP(LOOKUP($Y35,$K$48:$K$55,$L$48:$L$55)&amp;BY$1&amp;$W35,装备额外附加!$M:$O,3,0)</f>
        <v>23006</v>
      </c>
    </row>
    <row r="36" spans="1:77">
      <c r="A36" s="4" t="s">
        <v>100</v>
      </c>
      <c r="B36" s="4">
        <v>21</v>
      </c>
      <c r="C36" s="4">
        <v>0.26</v>
      </c>
      <c r="D36" s="4">
        <f t="shared" si="46"/>
        <v>351</v>
      </c>
      <c r="E36" s="4">
        <f t="shared" si="45"/>
        <v>46.8</v>
      </c>
      <c r="F36" s="4">
        <f t="shared" si="45"/>
        <v>31.2</v>
      </c>
      <c r="G36" s="4">
        <f t="shared" si="45"/>
        <v>31.2</v>
      </c>
      <c r="H36" s="4">
        <f t="shared" si="45"/>
        <v>31.2</v>
      </c>
      <c r="I36" s="4">
        <f t="shared" si="45"/>
        <v>15.6</v>
      </c>
      <c r="K36" s="4">
        <f t="shared" si="47"/>
        <v>46.8</v>
      </c>
      <c r="L36" s="4">
        <f t="shared" si="48"/>
        <v>23.4</v>
      </c>
      <c r="M36" s="4">
        <f t="shared" si="49"/>
        <v>56.16</v>
      </c>
      <c r="O36" s="4">
        <f t="shared" ref="O36:O41" si="50">C36/C35</f>
        <v>1.36842105263158</v>
      </c>
      <c r="R36" s="4" t="s">
        <v>240</v>
      </c>
      <c r="S36" s="4" t="str">
        <f t="shared" si="11"/>
        <v>107005</v>
      </c>
      <c r="T36" s="4" t="s">
        <v>241</v>
      </c>
      <c r="U36" s="36">
        <v>60</v>
      </c>
      <c r="V36" s="36" t="str">
        <f t="shared" si="12"/>
        <v>鞋子</v>
      </c>
      <c r="W36" s="36" t="str">
        <f t="shared" si="13"/>
        <v>护甲</v>
      </c>
      <c r="X36" s="4">
        <f t="shared" si="14"/>
        <v>5</v>
      </c>
      <c r="Y36" s="4">
        <f t="shared" si="15"/>
        <v>62</v>
      </c>
      <c r="Z36" s="4">
        <f t="shared" si="16"/>
        <v>0</v>
      </c>
      <c r="AA36" s="4" t="str">
        <f t="shared" si="17"/>
        <v>112,134,201,336,560,1120</v>
      </c>
      <c r="AB36" s="36">
        <f t="shared" si="18"/>
        <v>140</v>
      </c>
      <c r="AC36" s="36">
        <f t="shared" si="38"/>
        <v>112</v>
      </c>
      <c r="AD36" s="36">
        <f t="shared" si="41"/>
        <v>134</v>
      </c>
      <c r="AE36" s="36">
        <f t="shared" si="41"/>
        <v>201</v>
      </c>
      <c r="AF36" s="36">
        <f t="shared" si="41"/>
        <v>336</v>
      </c>
      <c r="AG36" s="36">
        <f t="shared" si="41"/>
        <v>560</v>
      </c>
      <c r="AH36" s="36">
        <f t="shared" si="42"/>
        <v>1120</v>
      </c>
      <c r="AJ36" s="4" t="str">
        <f t="shared" si="21"/>
        <v>560,672,1008,1680,2800,</v>
      </c>
      <c r="AK36" s="36">
        <f t="shared" si="22"/>
        <v>700</v>
      </c>
      <c r="AL36" s="36">
        <f t="shared" si="23"/>
        <v>560</v>
      </c>
      <c r="AM36" s="36">
        <f t="shared" si="23"/>
        <v>672</v>
      </c>
      <c r="AN36" s="36">
        <f t="shared" si="23"/>
        <v>1008</v>
      </c>
      <c r="AO36" s="36">
        <f t="shared" si="23"/>
        <v>1680</v>
      </c>
      <c r="AP36" s="36">
        <f t="shared" si="23"/>
        <v>2800</v>
      </c>
      <c r="AR36" s="4" t="str">
        <f t="shared" si="24"/>
        <v>44800,53760,80640,134400,224000,</v>
      </c>
      <c r="AS36" s="36">
        <f t="shared" si="25"/>
        <v>56000</v>
      </c>
      <c r="AT36" s="36">
        <f t="shared" si="26"/>
        <v>44800</v>
      </c>
      <c r="AU36" s="36">
        <f t="shared" si="26"/>
        <v>53760</v>
      </c>
      <c r="AV36" s="36">
        <f t="shared" si="26"/>
        <v>80640</v>
      </c>
      <c r="AW36" s="36">
        <f t="shared" si="26"/>
        <v>134400</v>
      </c>
      <c r="AX36" s="36">
        <f t="shared" si="26"/>
        <v>224000</v>
      </c>
      <c r="AZ36" s="4">
        <f t="shared" si="27"/>
        <v>121</v>
      </c>
      <c r="BA36" s="4">
        <f t="shared" si="28"/>
        <v>0</v>
      </c>
      <c r="BB36" s="4">
        <f t="shared" si="29"/>
        <v>10</v>
      </c>
      <c r="BC36" s="35" t="str">
        <f t="shared" si="30"/>
        <v>121,</v>
      </c>
      <c r="BD36" s="35" t="str">
        <f t="shared" si="3"/>
        <v/>
      </c>
      <c r="BE36" s="35" t="str">
        <f t="shared" si="31"/>
        <v>10,</v>
      </c>
      <c r="BF36" s="36" t="str">
        <f t="shared" si="32"/>
        <v>1,</v>
      </c>
      <c r="BG36" s="36" t="str">
        <f>IF(BA36=0,"",IF(Z36=0,"3,4,5",VLOOKUP(Z36,{1,3;2,4;3,5},2,0))&amp;",")</f>
        <v/>
      </c>
      <c r="BH36" s="36" t="str">
        <f t="shared" si="33"/>
        <v>6,</v>
      </c>
      <c r="BI36" s="34" t="str">
        <f t="shared" si="34"/>
        <v>1,6</v>
      </c>
      <c r="BJ36" s="34" t="str">
        <f t="shared" si="37"/>
        <v>121,10</v>
      </c>
      <c r="BK36" s="34" t="str">
        <f t="shared" si="35"/>
        <v>0,16,24,36,72,145</v>
      </c>
      <c r="BL36" s="4">
        <f t="shared" si="4"/>
        <v>0</v>
      </c>
      <c r="BM36" s="4">
        <f t="shared" si="5"/>
        <v>16</v>
      </c>
      <c r="BN36" s="4">
        <f t="shared" si="6"/>
        <v>24</v>
      </c>
      <c r="BO36" s="4">
        <f t="shared" si="7"/>
        <v>36</v>
      </c>
      <c r="BP36" s="4">
        <f t="shared" si="8"/>
        <v>72</v>
      </c>
      <c r="BQ36" s="4">
        <f t="shared" si="9"/>
        <v>145</v>
      </c>
      <c r="BR36" s="34" t="str">
        <f t="shared" si="10"/>
        <v>2001,2002,2003,2004,2005,2006</v>
      </c>
      <c r="BS36" s="34" t="str">
        <f t="shared" si="36"/>
        <v>23001,23002,23003,23004,23005,23006</v>
      </c>
      <c r="BT36" s="4">
        <f>VLOOKUP(LOOKUP($Y36,$K$48:$K$55,$L$48:$L$55)&amp;BT$1&amp;$W36,装备额外附加!$M:$O,3,0)</f>
        <v>23001</v>
      </c>
      <c r="BU36" s="4">
        <f>VLOOKUP(LOOKUP($Y36,$K$48:$K$55,$L$48:$L$55)&amp;BU$1&amp;$W36,装备额外附加!$M:$O,3,0)</f>
        <v>23002</v>
      </c>
      <c r="BV36" s="4">
        <f>VLOOKUP(LOOKUP($Y36,$K$48:$K$55,$L$48:$L$55)&amp;BV$1&amp;$W36,装备额外附加!$M:$O,3,0)</f>
        <v>23003</v>
      </c>
      <c r="BW36" s="4">
        <f>VLOOKUP(LOOKUP($Y36,$K$48:$K$55,$L$48:$L$55)&amp;BW$1&amp;$W36,装备额外附加!$M:$O,3,0)</f>
        <v>23004</v>
      </c>
      <c r="BX36" s="4">
        <f>VLOOKUP(LOOKUP($Y36,$K$48:$K$55,$L$48:$L$55)&amp;BX$1&amp;$W36,装备额外附加!$M:$O,3,0)</f>
        <v>23005</v>
      </c>
      <c r="BY36" s="4">
        <f>VLOOKUP(LOOKUP($Y36,$K$48:$K$55,$L$48:$L$55)&amp;BY$1&amp;$W36,装备额外附加!$M:$O,3,0)</f>
        <v>23006</v>
      </c>
    </row>
    <row r="37" spans="1:77">
      <c r="A37" s="4" t="s">
        <v>101</v>
      </c>
      <c r="B37" s="4">
        <v>31</v>
      </c>
      <c r="C37" s="4">
        <v>0.35</v>
      </c>
      <c r="D37" s="4">
        <f t="shared" si="46"/>
        <v>472.5</v>
      </c>
      <c r="E37" s="4">
        <f t="shared" si="45"/>
        <v>63</v>
      </c>
      <c r="F37" s="4">
        <f t="shared" si="45"/>
        <v>42</v>
      </c>
      <c r="G37" s="4">
        <f t="shared" si="45"/>
        <v>42</v>
      </c>
      <c r="H37" s="4">
        <f t="shared" si="45"/>
        <v>42</v>
      </c>
      <c r="I37" s="4">
        <f t="shared" si="45"/>
        <v>21</v>
      </c>
      <c r="K37" s="4">
        <f t="shared" si="47"/>
        <v>63</v>
      </c>
      <c r="L37" s="4">
        <f t="shared" si="48"/>
        <v>31.5</v>
      </c>
      <c r="M37" s="4">
        <f t="shared" si="49"/>
        <v>75.6</v>
      </c>
      <c r="O37" s="4">
        <f t="shared" si="50"/>
        <v>1.34615384615385</v>
      </c>
      <c r="R37" s="4" t="s">
        <v>242</v>
      </c>
      <c r="S37" s="4" t="str">
        <f t="shared" si="11"/>
        <v>108001</v>
      </c>
      <c r="T37" s="4" t="s">
        <v>243</v>
      </c>
      <c r="U37" s="36">
        <v>70</v>
      </c>
      <c r="V37" s="36" t="str">
        <f t="shared" si="12"/>
        <v>武器</v>
      </c>
      <c r="W37" s="36" t="str">
        <f t="shared" si="13"/>
        <v>武器</v>
      </c>
      <c r="X37" s="4">
        <f t="shared" si="14"/>
        <v>1</v>
      </c>
      <c r="Y37" s="4">
        <f t="shared" si="15"/>
        <v>71</v>
      </c>
      <c r="Z37" s="4">
        <f t="shared" si="16"/>
        <v>0</v>
      </c>
      <c r="AA37" s="4" t="str">
        <f t="shared" si="17"/>
        <v>160,192,288,480,800,1600</v>
      </c>
      <c r="AB37" s="36">
        <f t="shared" si="18"/>
        <v>160</v>
      </c>
      <c r="AC37" s="36">
        <f t="shared" si="38"/>
        <v>160</v>
      </c>
      <c r="AD37" s="36">
        <f t="shared" si="41"/>
        <v>192</v>
      </c>
      <c r="AE37" s="36">
        <f t="shared" si="41"/>
        <v>288</v>
      </c>
      <c r="AF37" s="36">
        <f t="shared" si="41"/>
        <v>480</v>
      </c>
      <c r="AG37" s="36">
        <f t="shared" si="41"/>
        <v>800</v>
      </c>
      <c r="AH37" s="36">
        <f t="shared" si="42"/>
        <v>1600</v>
      </c>
      <c r="AJ37" s="4" t="str">
        <f t="shared" si="21"/>
        <v>800,960,1440,2400,4000,</v>
      </c>
      <c r="AK37" s="36">
        <f t="shared" si="22"/>
        <v>800</v>
      </c>
      <c r="AL37" s="36">
        <f t="shared" si="23"/>
        <v>800</v>
      </c>
      <c r="AM37" s="36">
        <f t="shared" si="23"/>
        <v>960</v>
      </c>
      <c r="AN37" s="36">
        <f t="shared" si="23"/>
        <v>1440</v>
      </c>
      <c r="AO37" s="36">
        <f t="shared" si="23"/>
        <v>2400</v>
      </c>
      <c r="AP37" s="36">
        <f t="shared" si="23"/>
        <v>4000</v>
      </c>
      <c r="AR37" s="4" t="str">
        <f t="shared" si="24"/>
        <v>64000,76800,115200,192000,320000,</v>
      </c>
      <c r="AS37" s="36">
        <f t="shared" si="25"/>
        <v>64000</v>
      </c>
      <c r="AT37" s="36">
        <f t="shared" si="26"/>
        <v>64000</v>
      </c>
      <c r="AU37" s="36">
        <f t="shared" si="26"/>
        <v>76800</v>
      </c>
      <c r="AV37" s="36">
        <f t="shared" si="26"/>
        <v>115200</v>
      </c>
      <c r="AW37" s="36">
        <f t="shared" si="26"/>
        <v>192000</v>
      </c>
      <c r="AX37" s="36">
        <f t="shared" si="26"/>
        <v>320000</v>
      </c>
      <c r="AZ37" s="4">
        <f t="shared" si="27"/>
        <v>0</v>
      </c>
      <c r="BA37" s="4">
        <f t="shared" si="28"/>
        <v>44</v>
      </c>
      <c r="BB37" s="4">
        <f t="shared" si="29"/>
        <v>0</v>
      </c>
      <c r="BC37" s="35" t="str">
        <f t="shared" si="30"/>
        <v/>
      </c>
      <c r="BD37" s="35" t="str">
        <f t="shared" si="3"/>
        <v>44,44,44,</v>
      </c>
      <c r="BE37" s="35" t="str">
        <f t="shared" si="31"/>
        <v/>
      </c>
      <c r="BF37" s="36" t="str">
        <f t="shared" si="32"/>
        <v/>
      </c>
      <c r="BG37" s="36" t="str">
        <f>IF(BA37=0,"",IF(Z37=0,"3,4,5",VLOOKUP(Z37,{1,3;2,4;3,5},2,0))&amp;",")</f>
        <v>3,4,5,</v>
      </c>
      <c r="BH37" s="36" t="str">
        <f t="shared" si="33"/>
        <v/>
      </c>
      <c r="BI37" s="34" t="str">
        <f t="shared" si="34"/>
        <v>3,4,5</v>
      </c>
      <c r="BJ37" s="34" t="str">
        <f t="shared" si="37"/>
        <v>44,44,44</v>
      </c>
      <c r="BK37" s="34" t="str">
        <f t="shared" si="35"/>
        <v>0,33,49,75,150,300</v>
      </c>
      <c r="BL37" s="4">
        <f t="shared" si="4"/>
        <v>0</v>
      </c>
      <c r="BM37" s="4">
        <f t="shared" si="5"/>
        <v>33</v>
      </c>
      <c r="BN37" s="4">
        <f t="shared" si="6"/>
        <v>49</v>
      </c>
      <c r="BO37" s="4">
        <f t="shared" si="7"/>
        <v>75</v>
      </c>
      <c r="BP37" s="4">
        <f t="shared" si="8"/>
        <v>150</v>
      </c>
      <c r="BQ37" s="4">
        <f t="shared" si="9"/>
        <v>300</v>
      </c>
      <c r="BR37" s="34" t="str">
        <f t="shared" si="10"/>
        <v>1001,1002,1003,1004,1005,1006</v>
      </c>
      <c r="BS37" s="34" t="str">
        <f t="shared" si="36"/>
        <v>13001,13002,13003,13004,13005,13006</v>
      </c>
      <c r="BT37" s="4">
        <f>VLOOKUP(LOOKUP($Y37,$K$48:$K$55,$L$48:$L$55)&amp;BT$1&amp;$W37,装备额外附加!$M:$O,3,0)</f>
        <v>13001</v>
      </c>
      <c r="BU37" s="4">
        <f>VLOOKUP(LOOKUP($Y37,$K$48:$K$55,$L$48:$L$55)&amp;BU$1&amp;$W37,装备额外附加!$M:$O,3,0)</f>
        <v>13002</v>
      </c>
      <c r="BV37" s="4">
        <f>VLOOKUP(LOOKUP($Y37,$K$48:$K$55,$L$48:$L$55)&amp;BV$1&amp;$W37,装备额外附加!$M:$O,3,0)</f>
        <v>13003</v>
      </c>
      <c r="BW37" s="4">
        <f>VLOOKUP(LOOKUP($Y37,$K$48:$K$55,$L$48:$L$55)&amp;BW$1&amp;$W37,装备额外附加!$M:$O,3,0)</f>
        <v>13004</v>
      </c>
      <c r="BX37" s="4">
        <f>VLOOKUP(LOOKUP($Y37,$K$48:$K$55,$L$48:$L$55)&amp;BX$1&amp;$W37,装备额外附加!$M:$O,3,0)</f>
        <v>13005</v>
      </c>
      <c r="BY37" s="4">
        <f>VLOOKUP(LOOKUP($Y37,$K$48:$K$55,$L$48:$L$55)&amp;BY$1&amp;$W37,装备额外附加!$M:$O,3,0)</f>
        <v>13006</v>
      </c>
    </row>
    <row r="38" spans="1:77">
      <c r="A38" s="4" t="s">
        <v>102</v>
      </c>
      <c r="B38" s="4">
        <v>41</v>
      </c>
      <c r="C38" s="4">
        <v>0.48</v>
      </c>
      <c r="D38" s="4">
        <f t="shared" si="46"/>
        <v>648</v>
      </c>
      <c r="E38" s="4">
        <f t="shared" si="45"/>
        <v>86.4</v>
      </c>
      <c r="F38" s="4">
        <f t="shared" si="45"/>
        <v>57.6</v>
      </c>
      <c r="G38" s="4">
        <f t="shared" si="45"/>
        <v>57.6</v>
      </c>
      <c r="H38" s="4">
        <f t="shared" si="45"/>
        <v>57.6</v>
      </c>
      <c r="I38" s="4">
        <f t="shared" si="45"/>
        <v>28.8</v>
      </c>
      <c r="K38" s="4">
        <f t="shared" si="47"/>
        <v>86.4</v>
      </c>
      <c r="L38" s="4">
        <f t="shared" si="48"/>
        <v>43.2</v>
      </c>
      <c r="M38" s="4">
        <f t="shared" si="49"/>
        <v>103.68</v>
      </c>
      <c r="O38" s="4">
        <f t="shared" si="50"/>
        <v>1.37142857142857</v>
      </c>
      <c r="R38" s="4" t="s">
        <v>244</v>
      </c>
      <c r="S38" s="4" t="str">
        <f t="shared" si="11"/>
        <v>108002</v>
      </c>
      <c r="T38" s="4" t="s">
        <v>245</v>
      </c>
      <c r="U38" s="36">
        <v>70</v>
      </c>
      <c r="V38" s="36" t="str">
        <f t="shared" si="12"/>
        <v>头盔</v>
      </c>
      <c r="W38" s="36" t="str">
        <f t="shared" si="13"/>
        <v>护甲</v>
      </c>
      <c r="X38" s="4">
        <f t="shared" si="14"/>
        <v>2</v>
      </c>
      <c r="Y38" s="4">
        <f t="shared" si="15"/>
        <v>77</v>
      </c>
      <c r="Z38" s="4">
        <f t="shared" si="16"/>
        <v>0</v>
      </c>
      <c r="AA38" s="4" t="str">
        <f t="shared" si="17"/>
        <v>144,172,259,432,720,1440</v>
      </c>
      <c r="AB38" s="36">
        <f t="shared" si="18"/>
        <v>160</v>
      </c>
      <c r="AC38" s="36">
        <f t="shared" si="38"/>
        <v>144</v>
      </c>
      <c r="AD38" s="36">
        <f t="shared" ref="AD38:AG57" si="51">INT($AB38*VLOOKUP(AD$1,$B$11:$L$16,11,0)*VLOOKUP($V38,$C$22:$M$29,11,0))</f>
        <v>172</v>
      </c>
      <c r="AE38" s="36">
        <f t="shared" si="51"/>
        <v>259</v>
      </c>
      <c r="AF38" s="36">
        <f t="shared" si="51"/>
        <v>432</v>
      </c>
      <c r="AG38" s="36">
        <f t="shared" si="51"/>
        <v>720</v>
      </c>
      <c r="AH38" s="36">
        <f t="shared" si="42"/>
        <v>1440</v>
      </c>
      <c r="AJ38" s="4" t="str">
        <f t="shared" si="21"/>
        <v>720,864,1296,2160,3600,</v>
      </c>
      <c r="AK38" s="36">
        <f t="shared" si="22"/>
        <v>800</v>
      </c>
      <c r="AL38" s="36">
        <f t="shared" si="23"/>
        <v>720</v>
      </c>
      <c r="AM38" s="36">
        <f t="shared" si="23"/>
        <v>864</v>
      </c>
      <c r="AN38" s="36">
        <f t="shared" si="23"/>
        <v>1296</v>
      </c>
      <c r="AO38" s="36">
        <f t="shared" si="23"/>
        <v>2160</v>
      </c>
      <c r="AP38" s="36">
        <f t="shared" si="23"/>
        <v>3600</v>
      </c>
      <c r="AR38" s="4" t="str">
        <f t="shared" si="24"/>
        <v>57600,69120,103680,172800,288000,</v>
      </c>
      <c r="AS38" s="36">
        <f t="shared" si="25"/>
        <v>64000</v>
      </c>
      <c r="AT38" s="36">
        <f t="shared" si="26"/>
        <v>57600</v>
      </c>
      <c r="AU38" s="36">
        <f t="shared" si="26"/>
        <v>69120</v>
      </c>
      <c r="AV38" s="36">
        <f t="shared" si="26"/>
        <v>103680</v>
      </c>
      <c r="AW38" s="36">
        <f t="shared" si="26"/>
        <v>172800</v>
      </c>
      <c r="AX38" s="36">
        <f t="shared" si="26"/>
        <v>288000</v>
      </c>
      <c r="AZ38" s="4">
        <f t="shared" si="27"/>
        <v>0</v>
      </c>
      <c r="BA38" s="4">
        <f t="shared" si="28"/>
        <v>22</v>
      </c>
      <c r="BB38" s="4">
        <f t="shared" si="29"/>
        <v>18</v>
      </c>
      <c r="BC38" s="35" t="str">
        <f t="shared" si="30"/>
        <v/>
      </c>
      <c r="BD38" s="35" t="str">
        <f t="shared" si="3"/>
        <v>22,22,22,</v>
      </c>
      <c r="BE38" s="35" t="str">
        <f t="shared" si="31"/>
        <v>18,</v>
      </c>
      <c r="BF38" s="36" t="str">
        <f t="shared" si="32"/>
        <v/>
      </c>
      <c r="BG38" s="36" t="str">
        <f>IF(BA38=0,"",IF(Z38=0,"3,4,5",VLOOKUP(Z38,{1,3;2,4;3,5},2,0))&amp;",")</f>
        <v>3,4,5,</v>
      </c>
      <c r="BH38" s="36" t="str">
        <f t="shared" si="33"/>
        <v>6,</v>
      </c>
      <c r="BI38" s="34" t="str">
        <f t="shared" si="34"/>
        <v>3,4,5,6</v>
      </c>
      <c r="BJ38" s="34" t="str">
        <f t="shared" si="37"/>
        <v>22,22,22,18</v>
      </c>
      <c r="BK38" s="34" t="str">
        <f t="shared" si="35"/>
        <v>0,22,33,50,100,200</v>
      </c>
      <c r="BL38" s="4">
        <f t="shared" si="4"/>
        <v>0</v>
      </c>
      <c r="BM38" s="4">
        <f t="shared" si="5"/>
        <v>22</v>
      </c>
      <c r="BN38" s="4">
        <f t="shared" si="6"/>
        <v>33</v>
      </c>
      <c r="BO38" s="4">
        <f t="shared" si="7"/>
        <v>50</v>
      </c>
      <c r="BP38" s="4">
        <f t="shared" si="8"/>
        <v>100</v>
      </c>
      <c r="BQ38" s="4">
        <f t="shared" si="9"/>
        <v>200</v>
      </c>
      <c r="BR38" s="34" t="str">
        <f t="shared" si="10"/>
        <v>2001,2002,2003,2004,2005,2006</v>
      </c>
      <c r="BS38" s="34" t="str">
        <f t="shared" si="36"/>
        <v>23001,23002,23003,23004,23005,23006</v>
      </c>
      <c r="BT38" s="4">
        <f>VLOOKUP(LOOKUP($Y38,$K$48:$K$55,$L$48:$L$55)&amp;BT$1&amp;$W38,装备额外附加!$M:$O,3,0)</f>
        <v>23001</v>
      </c>
      <c r="BU38" s="4">
        <f>VLOOKUP(LOOKUP($Y38,$K$48:$K$55,$L$48:$L$55)&amp;BU$1&amp;$W38,装备额外附加!$M:$O,3,0)</f>
        <v>23002</v>
      </c>
      <c r="BV38" s="4">
        <f>VLOOKUP(LOOKUP($Y38,$K$48:$K$55,$L$48:$L$55)&amp;BV$1&amp;$W38,装备额外附加!$M:$O,3,0)</f>
        <v>23003</v>
      </c>
      <c r="BW38" s="4">
        <f>VLOOKUP(LOOKUP($Y38,$K$48:$K$55,$L$48:$L$55)&amp;BW$1&amp;$W38,装备额外附加!$M:$O,3,0)</f>
        <v>23004</v>
      </c>
      <c r="BX38" s="4">
        <f>VLOOKUP(LOOKUP($Y38,$K$48:$K$55,$L$48:$L$55)&amp;BX$1&amp;$W38,装备额外附加!$M:$O,3,0)</f>
        <v>23005</v>
      </c>
      <c r="BY38" s="4">
        <f>VLOOKUP(LOOKUP($Y38,$K$48:$K$55,$L$48:$L$55)&amp;BY$1&amp;$W38,装备额外附加!$M:$O,3,0)</f>
        <v>23006</v>
      </c>
    </row>
    <row r="39" spans="1:77">
      <c r="A39" s="4" t="s">
        <v>103</v>
      </c>
      <c r="B39" s="4">
        <v>51</v>
      </c>
      <c r="C39" s="4">
        <v>0.66</v>
      </c>
      <c r="D39" s="4">
        <f t="shared" si="46"/>
        <v>891</v>
      </c>
      <c r="E39" s="4">
        <f t="shared" si="45"/>
        <v>118.8</v>
      </c>
      <c r="F39" s="4">
        <f t="shared" si="45"/>
        <v>79.2</v>
      </c>
      <c r="G39" s="4">
        <f t="shared" si="45"/>
        <v>79.2</v>
      </c>
      <c r="H39" s="4">
        <f t="shared" si="45"/>
        <v>79.2</v>
      </c>
      <c r="I39" s="4">
        <f t="shared" si="45"/>
        <v>39.6</v>
      </c>
      <c r="K39" s="4">
        <f t="shared" si="47"/>
        <v>118.8</v>
      </c>
      <c r="L39" s="4">
        <f t="shared" si="48"/>
        <v>59.4</v>
      </c>
      <c r="M39" s="4">
        <f t="shared" si="49"/>
        <v>142.56</v>
      </c>
      <c r="O39" s="4">
        <f t="shared" si="50"/>
        <v>1.375</v>
      </c>
      <c r="R39" s="4" t="s">
        <v>246</v>
      </c>
      <c r="S39" s="4" t="str">
        <f t="shared" si="11"/>
        <v>108003</v>
      </c>
      <c r="T39" s="4" t="s">
        <v>247</v>
      </c>
      <c r="U39" s="36">
        <v>70</v>
      </c>
      <c r="V39" s="36" t="str">
        <f t="shared" si="12"/>
        <v>衣服</v>
      </c>
      <c r="W39" s="36" t="str">
        <f t="shared" si="13"/>
        <v>护甲</v>
      </c>
      <c r="X39" s="4">
        <f t="shared" si="14"/>
        <v>3</v>
      </c>
      <c r="Y39" s="4">
        <f t="shared" si="15"/>
        <v>75</v>
      </c>
      <c r="Z39" s="4">
        <f t="shared" si="16"/>
        <v>0</v>
      </c>
      <c r="AA39" s="4" t="str">
        <f t="shared" si="17"/>
        <v>144,172,259,432,720,1440</v>
      </c>
      <c r="AB39" s="36">
        <f t="shared" si="18"/>
        <v>160</v>
      </c>
      <c r="AC39" s="36">
        <f t="shared" ref="AC39:AC70" si="52">INT($AB39*VLOOKUP(AC$1,$B$11:$L$16,11,0)*VLOOKUP($V39,$C$22:$M$29,11,0))</f>
        <v>144</v>
      </c>
      <c r="AD39" s="36">
        <f t="shared" si="51"/>
        <v>172</v>
      </c>
      <c r="AE39" s="36">
        <f t="shared" si="51"/>
        <v>259</v>
      </c>
      <c r="AF39" s="36">
        <f t="shared" si="51"/>
        <v>432</v>
      </c>
      <c r="AG39" s="36">
        <f t="shared" si="51"/>
        <v>720</v>
      </c>
      <c r="AH39" s="36">
        <f t="shared" si="42"/>
        <v>1440</v>
      </c>
      <c r="AJ39" s="4" t="str">
        <f t="shared" si="21"/>
        <v>720,864,1296,2160,3600,</v>
      </c>
      <c r="AK39" s="36">
        <f t="shared" si="22"/>
        <v>800</v>
      </c>
      <c r="AL39" s="36">
        <f t="shared" si="23"/>
        <v>720</v>
      </c>
      <c r="AM39" s="36">
        <f t="shared" si="23"/>
        <v>864</v>
      </c>
      <c r="AN39" s="36">
        <f t="shared" si="23"/>
        <v>1296</v>
      </c>
      <c r="AO39" s="36">
        <f t="shared" si="23"/>
        <v>2160</v>
      </c>
      <c r="AP39" s="36">
        <f t="shared" si="23"/>
        <v>3600</v>
      </c>
      <c r="AR39" s="4" t="str">
        <f t="shared" si="24"/>
        <v>57600,69120,103680,172800,288000,</v>
      </c>
      <c r="AS39" s="36">
        <f t="shared" si="25"/>
        <v>64000</v>
      </c>
      <c r="AT39" s="36">
        <f t="shared" si="26"/>
        <v>57600</v>
      </c>
      <c r="AU39" s="36">
        <f t="shared" si="26"/>
        <v>69120</v>
      </c>
      <c r="AV39" s="36">
        <f t="shared" si="26"/>
        <v>103680</v>
      </c>
      <c r="AW39" s="36">
        <f t="shared" si="26"/>
        <v>172800</v>
      </c>
      <c r="AX39" s="36">
        <f t="shared" si="26"/>
        <v>288000</v>
      </c>
      <c r="AZ39" s="4">
        <f t="shared" si="27"/>
        <v>334</v>
      </c>
      <c r="BA39" s="4">
        <f t="shared" si="28"/>
        <v>0</v>
      </c>
      <c r="BB39" s="4">
        <f t="shared" si="29"/>
        <v>18</v>
      </c>
      <c r="BC39" s="35" t="str">
        <f t="shared" si="30"/>
        <v>334,</v>
      </c>
      <c r="BD39" s="35" t="str">
        <f t="shared" si="3"/>
        <v/>
      </c>
      <c r="BE39" s="35" t="str">
        <f t="shared" si="31"/>
        <v>18,</v>
      </c>
      <c r="BF39" s="36" t="str">
        <f t="shared" si="32"/>
        <v>1,</v>
      </c>
      <c r="BG39" s="36" t="str">
        <f>IF(BA39=0,"",IF(Z39=0,"3,4,5",VLOOKUP(Z39,{1,3;2,4;3,5},2,0))&amp;",")</f>
        <v/>
      </c>
      <c r="BH39" s="36" t="str">
        <f t="shared" si="33"/>
        <v>6,</v>
      </c>
      <c r="BI39" s="34" t="str">
        <f t="shared" si="34"/>
        <v>1,6</v>
      </c>
      <c r="BJ39" s="34" t="str">
        <f t="shared" si="37"/>
        <v>334,18</v>
      </c>
      <c r="BK39" s="34" t="str">
        <f t="shared" si="35"/>
        <v>0,22,33,50,100,200</v>
      </c>
      <c r="BL39" s="4">
        <f t="shared" si="4"/>
        <v>0</v>
      </c>
      <c r="BM39" s="4">
        <f t="shared" si="5"/>
        <v>22</v>
      </c>
      <c r="BN39" s="4">
        <f t="shared" si="6"/>
        <v>33</v>
      </c>
      <c r="BO39" s="4">
        <f t="shared" si="7"/>
        <v>50</v>
      </c>
      <c r="BP39" s="4">
        <f t="shared" si="8"/>
        <v>100</v>
      </c>
      <c r="BQ39" s="4">
        <f t="shared" si="9"/>
        <v>200</v>
      </c>
      <c r="BR39" s="34" t="str">
        <f t="shared" si="10"/>
        <v>2001,2002,2003,2004,2005,2006</v>
      </c>
      <c r="BS39" s="34" t="str">
        <f t="shared" si="36"/>
        <v>23001,23002,23003,23004,23005,23006</v>
      </c>
      <c r="BT39" s="4">
        <f>VLOOKUP(LOOKUP($Y39,$K$48:$K$55,$L$48:$L$55)&amp;BT$1&amp;$W39,装备额外附加!$M:$O,3,0)</f>
        <v>23001</v>
      </c>
      <c r="BU39" s="4">
        <f>VLOOKUP(LOOKUP($Y39,$K$48:$K$55,$L$48:$L$55)&amp;BU$1&amp;$W39,装备额外附加!$M:$O,3,0)</f>
        <v>23002</v>
      </c>
      <c r="BV39" s="4">
        <f>VLOOKUP(LOOKUP($Y39,$K$48:$K$55,$L$48:$L$55)&amp;BV$1&amp;$W39,装备额外附加!$M:$O,3,0)</f>
        <v>23003</v>
      </c>
      <c r="BW39" s="4">
        <f>VLOOKUP(LOOKUP($Y39,$K$48:$K$55,$L$48:$L$55)&amp;BW$1&amp;$W39,装备额外附加!$M:$O,3,0)</f>
        <v>23004</v>
      </c>
      <c r="BX39" s="4">
        <f>VLOOKUP(LOOKUP($Y39,$K$48:$K$55,$L$48:$L$55)&amp;BX$1&amp;$W39,装备额外附加!$M:$O,3,0)</f>
        <v>23005</v>
      </c>
      <c r="BY39" s="4">
        <f>VLOOKUP(LOOKUP($Y39,$K$48:$K$55,$L$48:$L$55)&amp;BY$1&amp;$W39,装备额外附加!$M:$O,3,0)</f>
        <v>23006</v>
      </c>
    </row>
    <row r="40" spans="1:77">
      <c r="A40" s="4" t="s">
        <v>104</v>
      </c>
      <c r="B40" s="4">
        <v>61</v>
      </c>
      <c r="C40" s="4">
        <v>0.9</v>
      </c>
      <c r="D40" s="4">
        <f t="shared" si="46"/>
        <v>1215</v>
      </c>
      <c r="E40" s="4">
        <f t="shared" si="45"/>
        <v>162</v>
      </c>
      <c r="F40" s="4">
        <f t="shared" si="45"/>
        <v>108</v>
      </c>
      <c r="G40" s="4">
        <f t="shared" si="45"/>
        <v>108</v>
      </c>
      <c r="H40" s="4">
        <f t="shared" si="45"/>
        <v>108</v>
      </c>
      <c r="I40" s="4">
        <f t="shared" si="45"/>
        <v>54</v>
      </c>
      <c r="K40" s="4">
        <f t="shared" si="47"/>
        <v>162</v>
      </c>
      <c r="L40" s="4">
        <f t="shared" si="48"/>
        <v>81</v>
      </c>
      <c r="M40" s="4">
        <f t="shared" si="49"/>
        <v>194.4</v>
      </c>
      <c r="O40" s="4">
        <f t="shared" si="50"/>
        <v>1.36363636363636</v>
      </c>
      <c r="R40" s="4" t="s">
        <v>248</v>
      </c>
      <c r="S40" s="4" t="str">
        <f t="shared" si="11"/>
        <v>108004</v>
      </c>
      <c r="T40" s="4" t="s">
        <v>249</v>
      </c>
      <c r="U40" s="36">
        <v>70</v>
      </c>
      <c r="V40" s="36" t="str">
        <f t="shared" si="12"/>
        <v>腰带</v>
      </c>
      <c r="W40" s="36" t="str">
        <f t="shared" si="13"/>
        <v>护甲</v>
      </c>
      <c r="X40" s="4">
        <f t="shared" si="14"/>
        <v>4</v>
      </c>
      <c r="Y40" s="4">
        <f t="shared" si="15"/>
        <v>78</v>
      </c>
      <c r="Z40" s="4">
        <f t="shared" si="16"/>
        <v>0</v>
      </c>
      <c r="AA40" s="4" t="str">
        <f t="shared" si="17"/>
        <v>128,153,230,384,640,1280</v>
      </c>
      <c r="AB40" s="36">
        <f t="shared" si="18"/>
        <v>160</v>
      </c>
      <c r="AC40" s="36">
        <f t="shared" si="52"/>
        <v>128</v>
      </c>
      <c r="AD40" s="36">
        <f t="shared" si="51"/>
        <v>153</v>
      </c>
      <c r="AE40" s="36">
        <f t="shared" si="51"/>
        <v>230</v>
      </c>
      <c r="AF40" s="36">
        <f t="shared" si="51"/>
        <v>384</v>
      </c>
      <c r="AG40" s="36">
        <f t="shared" si="51"/>
        <v>640</v>
      </c>
      <c r="AH40" s="36">
        <f t="shared" si="42"/>
        <v>1280</v>
      </c>
      <c r="AJ40" s="4" t="str">
        <f t="shared" si="21"/>
        <v>640,768,1152,1920,3200,</v>
      </c>
      <c r="AK40" s="36">
        <f t="shared" si="22"/>
        <v>800</v>
      </c>
      <c r="AL40" s="36">
        <f t="shared" si="23"/>
        <v>640</v>
      </c>
      <c r="AM40" s="36">
        <f t="shared" si="23"/>
        <v>768</v>
      </c>
      <c r="AN40" s="36">
        <f t="shared" si="23"/>
        <v>1152</v>
      </c>
      <c r="AO40" s="36">
        <f t="shared" si="23"/>
        <v>1920</v>
      </c>
      <c r="AP40" s="36">
        <f t="shared" si="23"/>
        <v>3200</v>
      </c>
      <c r="AR40" s="4" t="str">
        <f t="shared" si="24"/>
        <v>51200,61440,92160,153600,256000,</v>
      </c>
      <c r="AS40" s="36">
        <f t="shared" si="25"/>
        <v>64000</v>
      </c>
      <c r="AT40" s="36">
        <f t="shared" si="26"/>
        <v>51200</v>
      </c>
      <c r="AU40" s="36">
        <f t="shared" si="26"/>
        <v>61440</v>
      </c>
      <c r="AV40" s="36">
        <f t="shared" si="26"/>
        <v>92160</v>
      </c>
      <c r="AW40" s="36">
        <f t="shared" si="26"/>
        <v>153600</v>
      </c>
      <c r="AX40" s="36">
        <f t="shared" si="26"/>
        <v>256000</v>
      </c>
      <c r="AZ40" s="4">
        <f t="shared" si="27"/>
        <v>167</v>
      </c>
      <c r="BA40" s="4">
        <f t="shared" si="28"/>
        <v>0</v>
      </c>
      <c r="BB40" s="4">
        <f t="shared" si="29"/>
        <v>14</v>
      </c>
      <c r="BC40" s="35" t="str">
        <f t="shared" si="30"/>
        <v>167,</v>
      </c>
      <c r="BD40" s="35" t="str">
        <f t="shared" si="3"/>
        <v/>
      </c>
      <c r="BE40" s="35" t="str">
        <f t="shared" si="31"/>
        <v>14,</v>
      </c>
      <c r="BF40" s="36" t="str">
        <f t="shared" si="32"/>
        <v>1,</v>
      </c>
      <c r="BG40" s="36" t="str">
        <f>IF(BA40=0,"",IF(Z40=0,"3,4,5",VLOOKUP(Z40,{1,3;2,4;3,5},2,0))&amp;",")</f>
        <v/>
      </c>
      <c r="BH40" s="36" t="str">
        <f t="shared" si="33"/>
        <v>6,</v>
      </c>
      <c r="BI40" s="34" t="str">
        <f t="shared" si="34"/>
        <v>1,6</v>
      </c>
      <c r="BJ40" s="34" t="str">
        <f t="shared" si="37"/>
        <v>167,14</v>
      </c>
      <c r="BK40" s="34" t="str">
        <f t="shared" si="35"/>
        <v>0,22,33,50,100,200</v>
      </c>
      <c r="BL40" s="4">
        <f t="shared" si="4"/>
        <v>0</v>
      </c>
      <c r="BM40" s="4">
        <f t="shared" si="5"/>
        <v>22</v>
      </c>
      <c r="BN40" s="4">
        <f t="shared" si="6"/>
        <v>33</v>
      </c>
      <c r="BO40" s="4">
        <f t="shared" si="7"/>
        <v>50</v>
      </c>
      <c r="BP40" s="4">
        <f t="shared" si="8"/>
        <v>100</v>
      </c>
      <c r="BQ40" s="4">
        <f t="shared" si="9"/>
        <v>200</v>
      </c>
      <c r="BR40" s="34" t="str">
        <f t="shared" si="10"/>
        <v>2001,2002,2003,2004,2005,2006</v>
      </c>
      <c r="BS40" s="34" t="str">
        <f t="shared" si="36"/>
        <v>23001,23002,23003,23004,23005,23006</v>
      </c>
      <c r="BT40" s="4">
        <f>VLOOKUP(LOOKUP($Y40,$K$48:$K$55,$L$48:$L$55)&amp;BT$1&amp;$W40,装备额外附加!$M:$O,3,0)</f>
        <v>23001</v>
      </c>
      <c r="BU40" s="4">
        <f>VLOOKUP(LOOKUP($Y40,$K$48:$K$55,$L$48:$L$55)&amp;BU$1&amp;$W40,装备额外附加!$M:$O,3,0)</f>
        <v>23002</v>
      </c>
      <c r="BV40" s="4">
        <f>VLOOKUP(LOOKUP($Y40,$K$48:$K$55,$L$48:$L$55)&amp;BV$1&amp;$W40,装备额外附加!$M:$O,3,0)</f>
        <v>23003</v>
      </c>
      <c r="BW40" s="4">
        <f>VLOOKUP(LOOKUP($Y40,$K$48:$K$55,$L$48:$L$55)&amp;BW$1&amp;$W40,装备额外附加!$M:$O,3,0)</f>
        <v>23004</v>
      </c>
      <c r="BX40" s="4">
        <f>VLOOKUP(LOOKUP($Y40,$K$48:$K$55,$L$48:$L$55)&amp;BX$1&amp;$W40,装备额外附加!$M:$O,3,0)</f>
        <v>23005</v>
      </c>
      <c r="BY40" s="4">
        <f>VLOOKUP(LOOKUP($Y40,$K$48:$K$55,$L$48:$L$55)&amp;BY$1&amp;$W40,装备额外附加!$M:$O,3,0)</f>
        <v>23006</v>
      </c>
    </row>
    <row r="41" spans="1:77">
      <c r="A41" s="4" t="s">
        <v>105</v>
      </c>
      <c r="B41" s="4">
        <v>71</v>
      </c>
      <c r="C41" s="4">
        <v>1.24</v>
      </c>
      <c r="D41" s="4">
        <f t="shared" si="46"/>
        <v>1674</v>
      </c>
      <c r="E41" s="4">
        <f t="shared" si="45"/>
        <v>223.2</v>
      </c>
      <c r="F41" s="4">
        <f t="shared" si="45"/>
        <v>148.8</v>
      </c>
      <c r="G41" s="4">
        <f t="shared" si="45"/>
        <v>148.8</v>
      </c>
      <c r="H41" s="4">
        <f t="shared" si="45"/>
        <v>148.8</v>
      </c>
      <c r="I41" s="4">
        <f t="shared" si="45"/>
        <v>74.4</v>
      </c>
      <c r="K41" s="4">
        <f t="shared" si="47"/>
        <v>223.2</v>
      </c>
      <c r="L41" s="4">
        <f t="shared" si="48"/>
        <v>111.6</v>
      </c>
      <c r="M41" s="4">
        <f t="shared" si="49"/>
        <v>267.84</v>
      </c>
      <c r="O41" s="4">
        <f t="shared" si="50"/>
        <v>1.37777777777778</v>
      </c>
      <c r="R41" s="4" t="s">
        <v>250</v>
      </c>
      <c r="S41" s="4" t="str">
        <f t="shared" si="11"/>
        <v>108005</v>
      </c>
      <c r="T41" s="4" t="s">
        <v>251</v>
      </c>
      <c r="U41" s="36">
        <v>70</v>
      </c>
      <c r="V41" s="36" t="str">
        <f t="shared" si="12"/>
        <v>鞋子</v>
      </c>
      <c r="W41" s="36" t="str">
        <f t="shared" si="13"/>
        <v>护甲</v>
      </c>
      <c r="X41" s="4">
        <f t="shared" si="14"/>
        <v>5</v>
      </c>
      <c r="Y41" s="4">
        <f t="shared" si="15"/>
        <v>72</v>
      </c>
      <c r="Z41" s="4">
        <f t="shared" si="16"/>
        <v>0</v>
      </c>
      <c r="AA41" s="4" t="str">
        <f t="shared" si="17"/>
        <v>128,153,230,384,640,1280</v>
      </c>
      <c r="AB41" s="36">
        <f t="shared" si="18"/>
        <v>160</v>
      </c>
      <c r="AC41" s="36">
        <f t="shared" si="52"/>
        <v>128</v>
      </c>
      <c r="AD41" s="36">
        <f t="shared" si="51"/>
        <v>153</v>
      </c>
      <c r="AE41" s="36">
        <f t="shared" si="51"/>
        <v>230</v>
      </c>
      <c r="AF41" s="36">
        <f t="shared" si="51"/>
        <v>384</v>
      </c>
      <c r="AG41" s="36">
        <f t="shared" si="51"/>
        <v>640</v>
      </c>
      <c r="AH41" s="36">
        <f t="shared" si="42"/>
        <v>1280</v>
      </c>
      <c r="AJ41" s="4" t="str">
        <f t="shared" si="21"/>
        <v>640,768,1152,1920,3200,</v>
      </c>
      <c r="AK41" s="36">
        <f t="shared" si="22"/>
        <v>800</v>
      </c>
      <c r="AL41" s="36">
        <f t="shared" si="23"/>
        <v>640</v>
      </c>
      <c r="AM41" s="36">
        <f t="shared" si="23"/>
        <v>768</v>
      </c>
      <c r="AN41" s="36">
        <f t="shared" si="23"/>
        <v>1152</v>
      </c>
      <c r="AO41" s="36">
        <f t="shared" si="23"/>
        <v>1920</v>
      </c>
      <c r="AP41" s="36">
        <f t="shared" si="23"/>
        <v>3200</v>
      </c>
      <c r="AR41" s="4" t="str">
        <f t="shared" si="24"/>
        <v>51200,61440,92160,153600,256000,</v>
      </c>
      <c r="AS41" s="36">
        <f t="shared" si="25"/>
        <v>64000</v>
      </c>
      <c r="AT41" s="36">
        <f t="shared" si="26"/>
        <v>51200</v>
      </c>
      <c r="AU41" s="36">
        <f t="shared" si="26"/>
        <v>61440</v>
      </c>
      <c r="AV41" s="36">
        <f t="shared" si="26"/>
        <v>92160</v>
      </c>
      <c r="AW41" s="36">
        <f t="shared" si="26"/>
        <v>153600</v>
      </c>
      <c r="AX41" s="36">
        <f t="shared" si="26"/>
        <v>256000</v>
      </c>
      <c r="AZ41" s="4">
        <f t="shared" si="27"/>
        <v>167</v>
      </c>
      <c r="BA41" s="4">
        <f t="shared" si="28"/>
        <v>0</v>
      </c>
      <c r="BB41" s="4">
        <f t="shared" si="29"/>
        <v>14</v>
      </c>
      <c r="BC41" s="35" t="str">
        <f t="shared" si="30"/>
        <v>167,</v>
      </c>
      <c r="BD41" s="35" t="str">
        <f t="shared" si="3"/>
        <v/>
      </c>
      <c r="BE41" s="35" t="str">
        <f t="shared" si="31"/>
        <v>14,</v>
      </c>
      <c r="BF41" s="36" t="str">
        <f t="shared" si="32"/>
        <v>1,</v>
      </c>
      <c r="BG41" s="36" t="str">
        <f>IF(BA41=0,"",IF(Z41=0,"3,4,5",VLOOKUP(Z41,{1,3;2,4;3,5},2,0))&amp;",")</f>
        <v/>
      </c>
      <c r="BH41" s="36" t="str">
        <f t="shared" si="33"/>
        <v>6,</v>
      </c>
      <c r="BI41" s="34" t="str">
        <f t="shared" si="34"/>
        <v>1,6</v>
      </c>
      <c r="BJ41" s="34" t="str">
        <f t="shared" si="37"/>
        <v>167,14</v>
      </c>
      <c r="BK41" s="34" t="str">
        <f t="shared" si="35"/>
        <v>0,22,33,50,100,200</v>
      </c>
      <c r="BL41" s="4">
        <f t="shared" si="4"/>
        <v>0</v>
      </c>
      <c r="BM41" s="4">
        <f t="shared" si="5"/>
        <v>22</v>
      </c>
      <c r="BN41" s="4">
        <f t="shared" si="6"/>
        <v>33</v>
      </c>
      <c r="BO41" s="4">
        <f t="shared" si="7"/>
        <v>50</v>
      </c>
      <c r="BP41" s="4">
        <f t="shared" si="8"/>
        <v>100</v>
      </c>
      <c r="BQ41" s="4">
        <f t="shared" si="9"/>
        <v>200</v>
      </c>
      <c r="BR41" s="34" t="str">
        <f t="shared" si="10"/>
        <v>2001,2002,2003,2004,2005,2006</v>
      </c>
      <c r="BS41" s="34" t="str">
        <f t="shared" si="36"/>
        <v>23001,23002,23003,23004,23005,23006</v>
      </c>
      <c r="BT41" s="4">
        <f>VLOOKUP(LOOKUP($Y41,$K$48:$K$55,$L$48:$L$55)&amp;BT$1&amp;$W41,装备额外附加!$M:$O,3,0)</f>
        <v>23001</v>
      </c>
      <c r="BU41" s="4">
        <f>VLOOKUP(LOOKUP($Y41,$K$48:$K$55,$L$48:$L$55)&amp;BU$1&amp;$W41,装备额外附加!$M:$O,3,0)</f>
        <v>23002</v>
      </c>
      <c r="BV41" s="4">
        <f>VLOOKUP(LOOKUP($Y41,$K$48:$K$55,$L$48:$L$55)&amp;BV$1&amp;$W41,装备额外附加!$M:$O,3,0)</f>
        <v>23003</v>
      </c>
      <c r="BW41" s="4">
        <f>VLOOKUP(LOOKUP($Y41,$K$48:$K$55,$L$48:$L$55)&amp;BW$1&amp;$W41,装备额外附加!$M:$O,3,0)</f>
        <v>23004</v>
      </c>
      <c r="BX41" s="4">
        <f>VLOOKUP(LOOKUP($Y41,$K$48:$K$55,$L$48:$L$55)&amp;BX$1&amp;$W41,装备额外附加!$M:$O,3,0)</f>
        <v>23005</v>
      </c>
      <c r="BY41" s="4">
        <f>VLOOKUP(LOOKUP($Y41,$K$48:$K$55,$L$48:$L$55)&amp;BY$1&amp;$W41,装备额外附加!$M:$O,3,0)</f>
        <v>23006</v>
      </c>
    </row>
    <row r="42" spans="18:77">
      <c r="R42" s="4" t="s">
        <v>252</v>
      </c>
      <c r="S42" s="4" t="str">
        <f t="shared" si="11"/>
        <v>101018</v>
      </c>
      <c r="T42" s="4" t="s">
        <v>253</v>
      </c>
      <c r="U42" s="36">
        <v>0</v>
      </c>
      <c r="V42" s="36" t="str">
        <f t="shared" si="12"/>
        <v>项链</v>
      </c>
      <c r="W42" s="36" t="str">
        <f t="shared" si="13"/>
        <v>项链</v>
      </c>
      <c r="X42" s="4">
        <f t="shared" si="14"/>
        <v>8</v>
      </c>
      <c r="Y42" s="4">
        <f t="shared" si="15"/>
        <v>4</v>
      </c>
      <c r="Z42" s="4">
        <f t="shared" si="16"/>
        <v>1</v>
      </c>
      <c r="AA42" s="4" t="str">
        <f t="shared" si="17"/>
        <v>18,21,32,54,90,180</v>
      </c>
      <c r="AB42" s="36">
        <f t="shared" si="18"/>
        <v>20</v>
      </c>
      <c r="AC42" s="36">
        <f t="shared" si="52"/>
        <v>18</v>
      </c>
      <c r="AD42" s="36">
        <f t="shared" si="51"/>
        <v>21</v>
      </c>
      <c r="AE42" s="36">
        <f t="shared" si="51"/>
        <v>32</v>
      </c>
      <c r="AF42" s="36">
        <f t="shared" si="51"/>
        <v>54</v>
      </c>
      <c r="AG42" s="36">
        <f t="shared" si="51"/>
        <v>90</v>
      </c>
      <c r="AH42" s="36">
        <f t="shared" si="42"/>
        <v>180</v>
      </c>
      <c r="AJ42" s="4" t="str">
        <f t="shared" si="21"/>
        <v>90,108,162,270,450,</v>
      </c>
      <c r="AK42" s="36">
        <f t="shared" si="22"/>
        <v>100</v>
      </c>
      <c r="AL42" s="36">
        <f t="shared" si="23"/>
        <v>90</v>
      </c>
      <c r="AM42" s="36">
        <f t="shared" si="23"/>
        <v>108</v>
      </c>
      <c r="AN42" s="36">
        <f t="shared" si="23"/>
        <v>162</v>
      </c>
      <c r="AO42" s="36">
        <f t="shared" si="23"/>
        <v>270</v>
      </c>
      <c r="AP42" s="36">
        <f t="shared" si="23"/>
        <v>450</v>
      </c>
      <c r="AR42" s="4" t="str">
        <f t="shared" si="24"/>
        <v>7200,8640,12960,21600,36000,</v>
      </c>
      <c r="AS42" s="36">
        <f t="shared" si="25"/>
        <v>8000</v>
      </c>
      <c r="AT42" s="36">
        <f t="shared" si="26"/>
        <v>7200</v>
      </c>
      <c r="AU42" s="36">
        <f t="shared" si="26"/>
        <v>8640</v>
      </c>
      <c r="AV42" s="36">
        <f t="shared" si="26"/>
        <v>12960</v>
      </c>
      <c r="AW42" s="36">
        <f t="shared" si="26"/>
        <v>21600</v>
      </c>
      <c r="AX42" s="36">
        <f t="shared" si="26"/>
        <v>36000</v>
      </c>
      <c r="AZ42" s="4">
        <f t="shared" si="27"/>
        <v>0</v>
      </c>
      <c r="BA42" s="4">
        <f t="shared" si="28"/>
        <v>2</v>
      </c>
      <c r="BB42" s="4">
        <f t="shared" si="29"/>
        <v>0</v>
      </c>
      <c r="BC42" s="35" t="str">
        <f t="shared" si="30"/>
        <v/>
      </c>
      <c r="BD42" s="35" t="str">
        <f t="shared" si="3"/>
        <v>4,</v>
      </c>
      <c r="BE42" s="35" t="str">
        <f t="shared" si="31"/>
        <v/>
      </c>
      <c r="BF42" s="36" t="str">
        <f t="shared" si="32"/>
        <v/>
      </c>
      <c r="BG42" s="36" t="str">
        <f>IF(BA42=0,"",IF(Z42=0,"3,4,5",VLOOKUP(Z42,{1,3;2,4;3,5},2,0))&amp;",")</f>
        <v>3,</v>
      </c>
      <c r="BH42" s="36" t="str">
        <f t="shared" si="33"/>
        <v/>
      </c>
      <c r="BI42" s="34" t="str">
        <f t="shared" si="34"/>
        <v>3</v>
      </c>
      <c r="BJ42" s="34" t="str">
        <f t="shared" si="37"/>
        <v>4</v>
      </c>
      <c r="BK42" s="34" t="str">
        <f t="shared" si="35"/>
        <v>0,2,4,6,12,24</v>
      </c>
      <c r="BL42" s="4">
        <f t="shared" si="4"/>
        <v>0</v>
      </c>
      <c r="BM42" s="4">
        <f t="shared" si="5"/>
        <v>2</v>
      </c>
      <c r="BN42" s="4">
        <f t="shared" si="6"/>
        <v>4</v>
      </c>
      <c r="BO42" s="4">
        <f t="shared" si="7"/>
        <v>6</v>
      </c>
      <c r="BP42" s="4">
        <f t="shared" si="8"/>
        <v>12</v>
      </c>
      <c r="BQ42" s="4">
        <f t="shared" si="9"/>
        <v>24</v>
      </c>
      <c r="BR42" s="34" t="str">
        <f t="shared" si="10"/>
        <v>2001,2002,2003,2004,2005,2006</v>
      </c>
      <c r="BS42" s="34" t="str">
        <f t="shared" si="36"/>
        <v>50001,50002,50003,50004,50005,50006</v>
      </c>
      <c r="BT42" s="4">
        <f>VLOOKUP(LOOKUP($Y42,$K$48:$K$55,$L$48:$L$55)&amp;BT$1&amp;$W42,装备额外附加!$M:$O,3,0)</f>
        <v>50001</v>
      </c>
      <c r="BU42" s="4">
        <f>VLOOKUP(LOOKUP($Y42,$K$48:$K$55,$L$48:$L$55)&amp;BU$1&amp;$W42,装备额外附加!$M:$O,3,0)</f>
        <v>50002</v>
      </c>
      <c r="BV42" s="4">
        <f>VLOOKUP(LOOKUP($Y42,$K$48:$K$55,$L$48:$L$55)&amp;BV$1&amp;$W42,装备额外附加!$M:$O,3,0)</f>
        <v>50003</v>
      </c>
      <c r="BW42" s="4">
        <f>VLOOKUP(LOOKUP($Y42,$K$48:$K$55,$L$48:$L$55)&amp;BW$1&amp;$W42,装备额外附加!$M:$O,3,0)</f>
        <v>50004</v>
      </c>
      <c r="BX42" s="4">
        <f>VLOOKUP(LOOKUP($Y42,$K$48:$K$55,$L$48:$L$55)&amp;BX$1&amp;$W42,装备额外附加!$M:$O,3,0)</f>
        <v>50005</v>
      </c>
      <c r="BY42" s="4">
        <f>VLOOKUP(LOOKUP($Y42,$K$48:$K$55,$L$48:$L$55)&amp;BY$1&amp;$W42,装备额外附加!$M:$O,3,0)</f>
        <v>50006</v>
      </c>
    </row>
    <row r="43" spans="18:77">
      <c r="R43" s="4" t="s">
        <v>254</v>
      </c>
      <c r="S43" s="4" t="str">
        <f t="shared" si="11"/>
        <v>101016</v>
      </c>
      <c r="T43" s="4" t="s">
        <v>255</v>
      </c>
      <c r="U43" s="36">
        <v>0</v>
      </c>
      <c r="V43" s="36" t="str">
        <f t="shared" si="12"/>
        <v>手镯</v>
      </c>
      <c r="W43" s="36" t="str">
        <f t="shared" si="13"/>
        <v>手镯</v>
      </c>
      <c r="X43" s="4">
        <f t="shared" si="14"/>
        <v>6</v>
      </c>
      <c r="Y43" s="4">
        <f t="shared" si="15"/>
        <v>6</v>
      </c>
      <c r="Z43" s="4">
        <f t="shared" si="16"/>
        <v>1</v>
      </c>
      <c r="AA43" s="4" t="str">
        <f t="shared" si="17"/>
        <v>16,19,28,48,80,160</v>
      </c>
      <c r="AB43" s="36">
        <f t="shared" si="18"/>
        <v>20</v>
      </c>
      <c r="AC43" s="36">
        <f t="shared" si="52"/>
        <v>16</v>
      </c>
      <c r="AD43" s="36">
        <f t="shared" si="51"/>
        <v>19</v>
      </c>
      <c r="AE43" s="36">
        <f t="shared" si="51"/>
        <v>28</v>
      </c>
      <c r="AF43" s="36">
        <f t="shared" si="51"/>
        <v>48</v>
      </c>
      <c r="AG43" s="36">
        <f t="shared" si="51"/>
        <v>80</v>
      </c>
      <c r="AH43" s="36">
        <f t="shared" si="42"/>
        <v>160</v>
      </c>
      <c r="AJ43" s="4" t="str">
        <f t="shared" si="21"/>
        <v>80,96,144,240,400,</v>
      </c>
      <c r="AK43" s="36">
        <f t="shared" si="22"/>
        <v>100</v>
      </c>
      <c r="AL43" s="36">
        <f t="shared" si="23"/>
        <v>80</v>
      </c>
      <c r="AM43" s="36">
        <f t="shared" si="23"/>
        <v>96</v>
      </c>
      <c r="AN43" s="36">
        <f t="shared" si="23"/>
        <v>144</v>
      </c>
      <c r="AO43" s="36">
        <f t="shared" si="23"/>
        <v>240</v>
      </c>
      <c r="AP43" s="36">
        <f t="shared" si="23"/>
        <v>400</v>
      </c>
      <c r="AR43" s="4" t="str">
        <f t="shared" si="24"/>
        <v>6400,7680,11520,19200,32000,</v>
      </c>
      <c r="AS43" s="36">
        <f t="shared" si="25"/>
        <v>8000</v>
      </c>
      <c r="AT43" s="36">
        <f t="shared" si="26"/>
        <v>6400</v>
      </c>
      <c r="AU43" s="36">
        <f t="shared" si="26"/>
        <v>7680</v>
      </c>
      <c r="AV43" s="36">
        <f t="shared" si="26"/>
        <v>11520</v>
      </c>
      <c r="AW43" s="36">
        <f t="shared" si="26"/>
        <v>19200</v>
      </c>
      <c r="AX43" s="36">
        <f t="shared" si="26"/>
        <v>32000</v>
      </c>
      <c r="AZ43" s="4">
        <f t="shared" si="27"/>
        <v>20</v>
      </c>
      <c r="BA43" s="4">
        <f t="shared" si="28"/>
        <v>1</v>
      </c>
      <c r="BB43" s="4">
        <f t="shared" si="29"/>
        <v>0</v>
      </c>
      <c r="BC43" s="35" t="str">
        <f t="shared" si="30"/>
        <v>20,</v>
      </c>
      <c r="BD43" s="35" t="str">
        <f t="shared" si="3"/>
        <v>2,</v>
      </c>
      <c r="BE43" s="35" t="str">
        <f t="shared" si="31"/>
        <v/>
      </c>
      <c r="BF43" s="36" t="str">
        <f t="shared" si="32"/>
        <v>1,</v>
      </c>
      <c r="BG43" s="36" t="str">
        <f>IF(BA43=0,"",IF(Z43=0,"3,4,5",VLOOKUP(Z43,{1,3;2,4;3,5},2,0))&amp;",")</f>
        <v>3,</v>
      </c>
      <c r="BH43" s="36" t="str">
        <f t="shared" si="33"/>
        <v/>
      </c>
      <c r="BI43" s="34" t="str">
        <f t="shared" si="34"/>
        <v>1,3</v>
      </c>
      <c r="BJ43" s="34" t="str">
        <f t="shared" si="37"/>
        <v>20,2</v>
      </c>
      <c r="BK43" s="34" t="str">
        <f t="shared" si="35"/>
        <v>0,2,4,6,12,24</v>
      </c>
      <c r="BL43" s="4">
        <f t="shared" si="4"/>
        <v>0</v>
      </c>
      <c r="BM43" s="4">
        <f t="shared" si="5"/>
        <v>2</v>
      </c>
      <c r="BN43" s="4">
        <f t="shared" si="6"/>
        <v>4</v>
      </c>
      <c r="BO43" s="4">
        <f t="shared" si="7"/>
        <v>6</v>
      </c>
      <c r="BP43" s="4">
        <f t="shared" si="8"/>
        <v>12</v>
      </c>
      <c r="BQ43" s="4">
        <f t="shared" si="9"/>
        <v>24</v>
      </c>
      <c r="BR43" s="34" t="str">
        <f t="shared" si="10"/>
        <v>3001,3002,3003,3004,3005,3006</v>
      </c>
      <c r="BS43" s="34" t="str">
        <f t="shared" si="36"/>
        <v>40001,40002,40003,40004,40005,40006</v>
      </c>
      <c r="BT43" s="4">
        <f>VLOOKUP(LOOKUP($Y43,$K$48:$K$55,$L$48:$L$55)&amp;BT$1&amp;$W43,装备额外附加!$M:$O,3,0)</f>
        <v>40001</v>
      </c>
      <c r="BU43" s="4">
        <f>VLOOKUP(LOOKUP($Y43,$K$48:$K$55,$L$48:$L$55)&amp;BU$1&amp;$W43,装备额外附加!$M:$O,3,0)</f>
        <v>40002</v>
      </c>
      <c r="BV43" s="4">
        <f>VLOOKUP(LOOKUP($Y43,$K$48:$K$55,$L$48:$L$55)&amp;BV$1&amp;$W43,装备额外附加!$M:$O,3,0)</f>
        <v>40003</v>
      </c>
      <c r="BW43" s="4">
        <f>VLOOKUP(LOOKUP($Y43,$K$48:$K$55,$L$48:$L$55)&amp;BW$1&amp;$W43,装备额外附加!$M:$O,3,0)</f>
        <v>40004</v>
      </c>
      <c r="BX43" s="4">
        <f>VLOOKUP(LOOKUP($Y43,$K$48:$K$55,$L$48:$L$55)&amp;BX$1&amp;$W43,装备额外附加!$M:$O,3,0)</f>
        <v>40005</v>
      </c>
      <c r="BY43" s="4">
        <f>VLOOKUP(LOOKUP($Y43,$K$48:$K$55,$L$48:$L$55)&amp;BY$1&amp;$W43,装备额外附加!$M:$O,3,0)</f>
        <v>40006</v>
      </c>
    </row>
    <row r="44" spans="1:77">
      <c r="A44" s="47" t="s">
        <v>256</v>
      </c>
      <c r="B44" s="4" t="s">
        <v>257</v>
      </c>
      <c r="R44" s="4" t="s">
        <v>258</v>
      </c>
      <c r="S44" s="4" t="str">
        <f t="shared" si="11"/>
        <v>101017</v>
      </c>
      <c r="T44" s="4" t="s">
        <v>259</v>
      </c>
      <c r="U44" s="36">
        <v>0</v>
      </c>
      <c r="V44" s="36" t="str">
        <f t="shared" si="12"/>
        <v>戒指</v>
      </c>
      <c r="W44" s="36" t="str">
        <f t="shared" si="13"/>
        <v>戒指</v>
      </c>
      <c r="X44" s="4">
        <f t="shared" si="14"/>
        <v>7</v>
      </c>
      <c r="Y44" s="4">
        <f t="shared" si="15"/>
        <v>3</v>
      </c>
      <c r="Z44" s="4">
        <f t="shared" si="16"/>
        <v>1</v>
      </c>
      <c r="AA44" s="4" t="str">
        <f t="shared" si="17"/>
        <v>16,19,28,48,80,160</v>
      </c>
      <c r="AB44" s="36">
        <f t="shared" si="18"/>
        <v>20</v>
      </c>
      <c r="AC44" s="36">
        <f t="shared" si="52"/>
        <v>16</v>
      </c>
      <c r="AD44" s="36">
        <f t="shared" si="51"/>
        <v>19</v>
      </c>
      <c r="AE44" s="36">
        <f t="shared" si="51"/>
        <v>28</v>
      </c>
      <c r="AF44" s="36">
        <f t="shared" si="51"/>
        <v>48</v>
      </c>
      <c r="AG44" s="36">
        <f t="shared" si="51"/>
        <v>80</v>
      </c>
      <c r="AH44" s="36">
        <f t="shared" si="42"/>
        <v>160</v>
      </c>
      <c r="AJ44" s="4" t="str">
        <f t="shared" si="21"/>
        <v>80,96,144,240,400,</v>
      </c>
      <c r="AK44" s="36">
        <f t="shared" si="22"/>
        <v>100</v>
      </c>
      <c r="AL44" s="36">
        <f t="shared" si="23"/>
        <v>80</v>
      </c>
      <c r="AM44" s="36">
        <f t="shared" si="23"/>
        <v>96</v>
      </c>
      <c r="AN44" s="36">
        <f t="shared" si="23"/>
        <v>144</v>
      </c>
      <c r="AO44" s="36">
        <f t="shared" si="23"/>
        <v>240</v>
      </c>
      <c r="AP44" s="36">
        <f t="shared" si="23"/>
        <v>400</v>
      </c>
      <c r="AR44" s="4" t="str">
        <f t="shared" si="24"/>
        <v>6400,7680,11520,19200,32000,</v>
      </c>
      <c r="AS44" s="36">
        <f t="shared" si="25"/>
        <v>8000</v>
      </c>
      <c r="AT44" s="36">
        <f t="shared" si="26"/>
        <v>6400</v>
      </c>
      <c r="AU44" s="36">
        <f t="shared" si="26"/>
        <v>7680</v>
      </c>
      <c r="AV44" s="36">
        <f t="shared" si="26"/>
        <v>11520</v>
      </c>
      <c r="AW44" s="36">
        <f t="shared" si="26"/>
        <v>19200</v>
      </c>
      <c r="AX44" s="36">
        <f t="shared" si="26"/>
        <v>32000</v>
      </c>
      <c r="AZ44" s="4">
        <f t="shared" si="27"/>
        <v>20</v>
      </c>
      <c r="BA44" s="4">
        <f t="shared" si="28"/>
        <v>1</v>
      </c>
      <c r="BB44" s="4">
        <f t="shared" si="29"/>
        <v>0</v>
      </c>
      <c r="BC44" s="35" t="str">
        <f t="shared" si="30"/>
        <v>20,</v>
      </c>
      <c r="BD44" s="35" t="str">
        <f t="shared" si="3"/>
        <v>2,</v>
      </c>
      <c r="BE44" s="35" t="str">
        <f t="shared" si="31"/>
        <v/>
      </c>
      <c r="BF44" s="36" t="str">
        <f t="shared" si="32"/>
        <v>1,</v>
      </c>
      <c r="BG44" s="36" t="str">
        <f>IF(BA44=0,"",IF(Z44=0,"3,4,5",VLOOKUP(Z44,{1,3;2,4;3,5},2,0))&amp;",")</f>
        <v>3,</v>
      </c>
      <c r="BH44" s="36" t="str">
        <f t="shared" si="33"/>
        <v/>
      </c>
      <c r="BI44" s="34" t="str">
        <f t="shared" si="34"/>
        <v>1,3</v>
      </c>
      <c r="BJ44" s="34" t="str">
        <f t="shared" si="37"/>
        <v>20,2</v>
      </c>
      <c r="BK44" s="34" t="str">
        <f t="shared" si="35"/>
        <v>0,2,4,6,12,24</v>
      </c>
      <c r="BL44" s="4">
        <f t="shared" si="4"/>
        <v>0</v>
      </c>
      <c r="BM44" s="4">
        <f t="shared" si="5"/>
        <v>2</v>
      </c>
      <c r="BN44" s="4">
        <f t="shared" si="6"/>
        <v>4</v>
      </c>
      <c r="BO44" s="4">
        <f t="shared" si="7"/>
        <v>6</v>
      </c>
      <c r="BP44" s="4">
        <f t="shared" si="8"/>
        <v>12</v>
      </c>
      <c r="BQ44" s="4">
        <f t="shared" si="9"/>
        <v>24</v>
      </c>
      <c r="BR44" s="34" t="str">
        <f t="shared" si="10"/>
        <v>4001,4002,4003,4004,4005,4006</v>
      </c>
      <c r="BS44" s="34" t="str">
        <f t="shared" si="36"/>
        <v>30001,30002,30003,30004,30005,30006</v>
      </c>
      <c r="BT44" s="4">
        <f>VLOOKUP(LOOKUP($Y44,$K$48:$K$55,$L$48:$L$55)&amp;BT$1&amp;$W44,装备额外附加!$M:$O,3,0)</f>
        <v>30001</v>
      </c>
      <c r="BU44" s="4">
        <f>VLOOKUP(LOOKUP($Y44,$K$48:$K$55,$L$48:$L$55)&amp;BU$1&amp;$W44,装备额外附加!$M:$O,3,0)</f>
        <v>30002</v>
      </c>
      <c r="BV44" s="4">
        <f>VLOOKUP(LOOKUP($Y44,$K$48:$K$55,$L$48:$L$55)&amp;BV$1&amp;$W44,装备额外附加!$M:$O,3,0)</f>
        <v>30003</v>
      </c>
      <c r="BW44" s="4">
        <f>VLOOKUP(LOOKUP($Y44,$K$48:$K$55,$L$48:$L$55)&amp;BW$1&amp;$W44,装备额外附加!$M:$O,3,0)</f>
        <v>30004</v>
      </c>
      <c r="BX44" s="4">
        <f>VLOOKUP(LOOKUP($Y44,$K$48:$K$55,$L$48:$L$55)&amp;BX$1&amp;$W44,装备额外附加!$M:$O,3,0)</f>
        <v>30005</v>
      </c>
      <c r="BY44" s="4">
        <f>VLOOKUP(LOOKUP($Y44,$K$48:$K$55,$L$48:$L$55)&amp;BY$1&amp;$W44,装备额外附加!$M:$O,3,0)</f>
        <v>30006</v>
      </c>
    </row>
    <row r="45" spans="1:77">
      <c r="A45" s="47"/>
      <c r="E45" s="4">
        <v>1.5</v>
      </c>
      <c r="F45" s="4">
        <v>1.5</v>
      </c>
      <c r="G45" s="4">
        <v>2</v>
      </c>
      <c r="H45" s="4">
        <v>2</v>
      </c>
      <c r="R45" s="4" t="s">
        <v>260</v>
      </c>
      <c r="S45" s="4" t="str">
        <f t="shared" si="11"/>
        <v>101028</v>
      </c>
      <c r="T45" s="4" t="s">
        <v>261</v>
      </c>
      <c r="U45" s="36">
        <v>0</v>
      </c>
      <c r="V45" s="36" t="str">
        <f t="shared" si="12"/>
        <v>项链</v>
      </c>
      <c r="W45" s="36" t="str">
        <f t="shared" si="13"/>
        <v>项链</v>
      </c>
      <c r="X45" s="4">
        <f t="shared" si="14"/>
        <v>8</v>
      </c>
      <c r="Y45" s="4">
        <f t="shared" si="15"/>
        <v>4</v>
      </c>
      <c r="Z45" s="4">
        <f t="shared" si="16"/>
        <v>2</v>
      </c>
      <c r="AA45" s="4" t="str">
        <f t="shared" si="17"/>
        <v>18,21,32,54,90,180</v>
      </c>
      <c r="AB45" s="36">
        <f t="shared" si="18"/>
        <v>20</v>
      </c>
      <c r="AC45" s="36">
        <f t="shared" si="52"/>
        <v>18</v>
      </c>
      <c r="AD45" s="36">
        <f t="shared" si="51"/>
        <v>21</v>
      </c>
      <c r="AE45" s="36">
        <f t="shared" si="51"/>
        <v>32</v>
      </c>
      <c r="AF45" s="36">
        <f t="shared" si="51"/>
        <v>54</v>
      </c>
      <c r="AG45" s="36">
        <f t="shared" si="51"/>
        <v>90</v>
      </c>
      <c r="AH45" s="36">
        <f t="shared" si="42"/>
        <v>180</v>
      </c>
      <c r="AJ45" s="4" t="str">
        <f t="shared" si="21"/>
        <v>90,108,162,270,450,</v>
      </c>
      <c r="AK45" s="36">
        <f t="shared" si="22"/>
        <v>100</v>
      </c>
      <c r="AL45" s="36">
        <f t="shared" si="23"/>
        <v>90</v>
      </c>
      <c r="AM45" s="36">
        <f t="shared" si="23"/>
        <v>108</v>
      </c>
      <c r="AN45" s="36">
        <f t="shared" si="23"/>
        <v>162</v>
      </c>
      <c r="AO45" s="36">
        <f t="shared" si="23"/>
        <v>270</v>
      </c>
      <c r="AP45" s="36">
        <f t="shared" si="23"/>
        <v>450</v>
      </c>
      <c r="AR45" s="4" t="str">
        <f t="shared" si="24"/>
        <v>7200,8640,12960,21600,36000,</v>
      </c>
      <c r="AS45" s="36">
        <f t="shared" si="25"/>
        <v>8000</v>
      </c>
      <c r="AT45" s="36">
        <f t="shared" si="26"/>
        <v>7200</v>
      </c>
      <c r="AU45" s="36">
        <f t="shared" si="26"/>
        <v>8640</v>
      </c>
      <c r="AV45" s="36">
        <f t="shared" si="26"/>
        <v>12960</v>
      </c>
      <c r="AW45" s="36">
        <f t="shared" si="26"/>
        <v>21600</v>
      </c>
      <c r="AX45" s="36">
        <f t="shared" si="26"/>
        <v>36000</v>
      </c>
      <c r="AZ45" s="4">
        <f t="shared" si="27"/>
        <v>0</v>
      </c>
      <c r="BA45" s="4">
        <f t="shared" si="28"/>
        <v>2</v>
      </c>
      <c r="BB45" s="4">
        <f t="shared" si="29"/>
        <v>0</v>
      </c>
      <c r="BC45" s="35" t="str">
        <f t="shared" si="30"/>
        <v/>
      </c>
      <c r="BD45" s="35" t="str">
        <f t="shared" si="3"/>
        <v>4,</v>
      </c>
      <c r="BE45" s="35" t="str">
        <f t="shared" si="31"/>
        <v/>
      </c>
      <c r="BF45" s="36" t="str">
        <f t="shared" si="32"/>
        <v/>
      </c>
      <c r="BG45" s="36" t="str">
        <f>IF(BA45=0,"",IF(Z45=0,"3,4,5",VLOOKUP(Z45,{1,3;2,4;3,5},2,0))&amp;",")</f>
        <v>4,</v>
      </c>
      <c r="BH45" s="36" t="str">
        <f t="shared" si="33"/>
        <v/>
      </c>
      <c r="BI45" s="34" t="str">
        <f t="shared" si="34"/>
        <v>4</v>
      </c>
      <c r="BJ45" s="34" t="str">
        <f t="shared" si="37"/>
        <v>4</v>
      </c>
      <c r="BK45" s="34" t="str">
        <f t="shared" si="35"/>
        <v>0,2,4,6,12,24</v>
      </c>
      <c r="BL45" s="4">
        <f t="shared" si="4"/>
        <v>0</v>
      </c>
      <c r="BM45" s="4">
        <f t="shared" si="5"/>
        <v>2</v>
      </c>
      <c r="BN45" s="4">
        <f t="shared" si="6"/>
        <v>4</v>
      </c>
      <c r="BO45" s="4">
        <f t="shared" si="7"/>
        <v>6</v>
      </c>
      <c r="BP45" s="4">
        <f t="shared" si="8"/>
        <v>12</v>
      </c>
      <c r="BQ45" s="4">
        <f t="shared" si="9"/>
        <v>24</v>
      </c>
      <c r="BR45" s="34" t="str">
        <f t="shared" si="10"/>
        <v>2001,2002,2003,2004,2005,2006</v>
      </c>
      <c r="BS45" s="34" t="str">
        <f t="shared" si="36"/>
        <v>50001,50002,50003,50004,50005,50006</v>
      </c>
      <c r="BT45" s="4">
        <f>VLOOKUP(LOOKUP($Y45,$K$48:$K$55,$L$48:$L$55)&amp;BT$1&amp;$W45,装备额外附加!$M:$O,3,0)</f>
        <v>50001</v>
      </c>
      <c r="BU45" s="4">
        <f>VLOOKUP(LOOKUP($Y45,$K$48:$K$55,$L$48:$L$55)&amp;BU$1&amp;$W45,装备额外附加!$M:$O,3,0)</f>
        <v>50002</v>
      </c>
      <c r="BV45" s="4">
        <f>VLOOKUP(LOOKUP($Y45,$K$48:$K$55,$L$48:$L$55)&amp;BV$1&amp;$W45,装备额外附加!$M:$O,3,0)</f>
        <v>50003</v>
      </c>
      <c r="BW45" s="4">
        <f>VLOOKUP(LOOKUP($Y45,$K$48:$K$55,$L$48:$L$55)&amp;BW$1&amp;$W45,装备额外附加!$M:$O,3,0)</f>
        <v>50004</v>
      </c>
      <c r="BX45" s="4">
        <f>VLOOKUP(LOOKUP($Y45,$K$48:$K$55,$L$48:$L$55)&amp;BX$1&amp;$W45,装备额外附加!$M:$O,3,0)</f>
        <v>50005</v>
      </c>
      <c r="BY45" s="4">
        <f>VLOOKUP(LOOKUP($Y45,$K$48:$K$55,$L$48:$L$55)&amp;BY$1&amp;$W45,装备额外附加!$M:$O,3,0)</f>
        <v>50006</v>
      </c>
    </row>
    <row r="46" spans="1:77">
      <c r="A46" s="47"/>
      <c r="B46" s="53" t="s">
        <v>262</v>
      </c>
      <c r="C46" s="53"/>
      <c r="D46" s="53">
        <v>0.1</v>
      </c>
      <c r="E46" s="53">
        <f>D46*E45</f>
        <v>0.15</v>
      </c>
      <c r="F46" s="53">
        <f t="shared" ref="F46:H46" si="53">E46*F45</f>
        <v>0.225</v>
      </c>
      <c r="G46" s="53">
        <f t="shared" si="53"/>
        <v>0.45</v>
      </c>
      <c r="H46" s="53">
        <f t="shared" si="53"/>
        <v>0.9</v>
      </c>
      <c r="R46" s="4" t="s">
        <v>263</v>
      </c>
      <c r="S46" s="4" t="str">
        <f t="shared" si="11"/>
        <v>101026</v>
      </c>
      <c r="T46" s="4" t="s">
        <v>264</v>
      </c>
      <c r="U46" s="36">
        <v>0</v>
      </c>
      <c r="V46" s="36" t="str">
        <f t="shared" si="12"/>
        <v>手镯</v>
      </c>
      <c r="W46" s="36" t="str">
        <f t="shared" si="13"/>
        <v>手镯</v>
      </c>
      <c r="X46" s="4">
        <f t="shared" si="14"/>
        <v>6</v>
      </c>
      <c r="Y46" s="4">
        <f t="shared" si="15"/>
        <v>6</v>
      </c>
      <c r="Z46" s="4">
        <f t="shared" si="16"/>
        <v>2</v>
      </c>
      <c r="AA46" s="4" t="str">
        <f t="shared" si="17"/>
        <v>16,19,28,48,80,160</v>
      </c>
      <c r="AB46" s="36">
        <f t="shared" si="18"/>
        <v>20</v>
      </c>
      <c r="AC46" s="36">
        <f t="shared" si="52"/>
        <v>16</v>
      </c>
      <c r="AD46" s="36">
        <f t="shared" si="51"/>
        <v>19</v>
      </c>
      <c r="AE46" s="36">
        <f t="shared" si="51"/>
        <v>28</v>
      </c>
      <c r="AF46" s="36">
        <f t="shared" si="51"/>
        <v>48</v>
      </c>
      <c r="AG46" s="36">
        <f t="shared" si="51"/>
        <v>80</v>
      </c>
      <c r="AH46" s="36">
        <f t="shared" si="42"/>
        <v>160</v>
      </c>
      <c r="AJ46" s="4" t="str">
        <f t="shared" si="21"/>
        <v>80,96,144,240,400,</v>
      </c>
      <c r="AK46" s="36">
        <f t="shared" si="22"/>
        <v>100</v>
      </c>
      <c r="AL46" s="36">
        <f t="shared" si="23"/>
        <v>80</v>
      </c>
      <c r="AM46" s="36">
        <f t="shared" si="23"/>
        <v>96</v>
      </c>
      <c r="AN46" s="36">
        <f t="shared" si="23"/>
        <v>144</v>
      </c>
      <c r="AO46" s="36">
        <f t="shared" si="23"/>
        <v>240</v>
      </c>
      <c r="AP46" s="36">
        <f t="shared" si="23"/>
        <v>400</v>
      </c>
      <c r="AR46" s="4" t="str">
        <f t="shared" si="24"/>
        <v>6400,7680,11520,19200,32000,</v>
      </c>
      <c r="AS46" s="36">
        <f t="shared" si="25"/>
        <v>8000</v>
      </c>
      <c r="AT46" s="36">
        <f t="shared" si="26"/>
        <v>6400</v>
      </c>
      <c r="AU46" s="36">
        <f t="shared" si="26"/>
        <v>7680</v>
      </c>
      <c r="AV46" s="36">
        <f t="shared" si="26"/>
        <v>11520</v>
      </c>
      <c r="AW46" s="36">
        <f t="shared" si="26"/>
        <v>19200</v>
      </c>
      <c r="AX46" s="36">
        <f t="shared" si="26"/>
        <v>32000</v>
      </c>
      <c r="AZ46" s="4">
        <f t="shared" si="27"/>
        <v>20</v>
      </c>
      <c r="BA46" s="4">
        <f t="shared" si="28"/>
        <v>1</v>
      </c>
      <c r="BB46" s="4">
        <f t="shared" si="29"/>
        <v>0</v>
      </c>
      <c r="BC46" s="35" t="str">
        <f t="shared" si="30"/>
        <v>20,</v>
      </c>
      <c r="BD46" s="35" t="str">
        <f t="shared" si="3"/>
        <v>2,</v>
      </c>
      <c r="BE46" s="35" t="str">
        <f t="shared" si="31"/>
        <v/>
      </c>
      <c r="BF46" s="36" t="str">
        <f t="shared" si="32"/>
        <v>1,</v>
      </c>
      <c r="BG46" s="36" t="str">
        <f>IF(BA46=0,"",IF(Z46=0,"3,4,5",VLOOKUP(Z46,{1,3;2,4;3,5},2,0))&amp;",")</f>
        <v>4,</v>
      </c>
      <c r="BH46" s="36" t="str">
        <f t="shared" si="33"/>
        <v/>
      </c>
      <c r="BI46" s="34" t="str">
        <f t="shared" si="34"/>
        <v>1,4</v>
      </c>
      <c r="BJ46" s="34" t="str">
        <f t="shared" si="37"/>
        <v>20,2</v>
      </c>
      <c r="BK46" s="34" t="str">
        <f t="shared" si="35"/>
        <v>0,2,4,6,12,24</v>
      </c>
      <c r="BL46" s="4">
        <f t="shared" si="4"/>
        <v>0</v>
      </c>
      <c r="BM46" s="4">
        <f t="shared" si="5"/>
        <v>2</v>
      </c>
      <c r="BN46" s="4">
        <f t="shared" si="6"/>
        <v>4</v>
      </c>
      <c r="BO46" s="4">
        <f t="shared" si="7"/>
        <v>6</v>
      </c>
      <c r="BP46" s="4">
        <f t="shared" si="8"/>
        <v>12</v>
      </c>
      <c r="BQ46" s="4">
        <f t="shared" si="9"/>
        <v>24</v>
      </c>
      <c r="BR46" s="34" t="str">
        <f t="shared" si="10"/>
        <v>3001,3002,3003,3004,3005,3006</v>
      </c>
      <c r="BS46" s="34" t="str">
        <f t="shared" si="36"/>
        <v>40001,40002,40003,40004,40005,40006</v>
      </c>
      <c r="BT46" s="4">
        <f>VLOOKUP(LOOKUP($Y46,$K$48:$K$55,$L$48:$L$55)&amp;BT$1&amp;$W46,装备额外附加!$M:$O,3,0)</f>
        <v>40001</v>
      </c>
      <c r="BU46" s="4">
        <f>VLOOKUP(LOOKUP($Y46,$K$48:$K$55,$L$48:$L$55)&amp;BU$1&amp;$W46,装备额外附加!$M:$O,3,0)</f>
        <v>40002</v>
      </c>
      <c r="BV46" s="4">
        <f>VLOOKUP(LOOKUP($Y46,$K$48:$K$55,$L$48:$L$55)&amp;BV$1&amp;$W46,装备额外附加!$M:$O,3,0)</f>
        <v>40003</v>
      </c>
      <c r="BW46" s="4">
        <f>VLOOKUP(LOOKUP($Y46,$K$48:$K$55,$L$48:$L$55)&amp;BW$1&amp;$W46,装备额外附加!$M:$O,3,0)</f>
        <v>40004</v>
      </c>
      <c r="BX46" s="4">
        <f>VLOOKUP(LOOKUP($Y46,$K$48:$K$55,$L$48:$L$55)&amp;BX$1&amp;$W46,装备额外附加!$M:$O,3,0)</f>
        <v>40005</v>
      </c>
      <c r="BY46" s="4">
        <f>VLOOKUP(LOOKUP($Y46,$K$48:$K$55,$L$48:$L$55)&amp;BY$1&amp;$W46,装备额外附加!$M:$O,3,0)</f>
        <v>40006</v>
      </c>
    </row>
    <row r="47" spans="1:77">
      <c r="A47" s="4" t="s">
        <v>110</v>
      </c>
      <c r="B47" s="54" t="s">
        <v>265</v>
      </c>
      <c r="C47" s="54" t="s">
        <v>116</v>
      </c>
      <c r="D47" s="54" t="s">
        <v>117</v>
      </c>
      <c r="E47" s="54" t="s">
        <v>118</v>
      </c>
      <c r="F47" s="54" t="s">
        <v>119</v>
      </c>
      <c r="G47" s="54" t="s">
        <v>120</v>
      </c>
      <c r="H47" s="54" t="s">
        <v>121</v>
      </c>
      <c r="K47" s="54" t="s">
        <v>265</v>
      </c>
      <c r="L47" s="4" t="s">
        <v>266</v>
      </c>
      <c r="R47" s="4" t="s">
        <v>267</v>
      </c>
      <c r="S47" s="4" t="str">
        <f t="shared" si="11"/>
        <v>101027</v>
      </c>
      <c r="T47" s="4" t="s">
        <v>268</v>
      </c>
      <c r="U47" s="36">
        <v>0</v>
      </c>
      <c r="V47" s="36" t="str">
        <f t="shared" si="12"/>
        <v>戒指</v>
      </c>
      <c r="W47" s="36" t="str">
        <f t="shared" si="13"/>
        <v>戒指</v>
      </c>
      <c r="X47" s="4">
        <f t="shared" si="14"/>
        <v>7</v>
      </c>
      <c r="Y47" s="4">
        <f t="shared" si="15"/>
        <v>3</v>
      </c>
      <c r="Z47" s="4">
        <f t="shared" si="16"/>
        <v>2</v>
      </c>
      <c r="AA47" s="4" t="str">
        <f t="shared" si="17"/>
        <v>16,19,28,48,80,160</v>
      </c>
      <c r="AB47" s="36">
        <f t="shared" si="18"/>
        <v>20</v>
      </c>
      <c r="AC47" s="36">
        <f t="shared" si="52"/>
        <v>16</v>
      </c>
      <c r="AD47" s="36">
        <f t="shared" si="51"/>
        <v>19</v>
      </c>
      <c r="AE47" s="36">
        <f t="shared" si="51"/>
        <v>28</v>
      </c>
      <c r="AF47" s="36">
        <f t="shared" si="51"/>
        <v>48</v>
      </c>
      <c r="AG47" s="36">
        <f t="shared" si="51"/>
        <v>80</v>
      </c>
      <c r="AH47" s="36">
        <f t="shared" si="42"/>
        <v>160</v>
      </c>
      <c r="AJ47" s="4" t="str">
        <f t="shared" si="21"/>
        <v>80,96,144,240,400,</v>
      </c>
      <c r="AK47" s="36">
        <f t="shared" si="22"/>
        <v>100</v>
      </c>
      <c r="AL47" s="36">
        <f t="shared" si="23"/>
        <v>80</v>
      </c>
      <c r="AM47" s="36">
        <f t="shared" si="23"/>
        <v>96</v>
      </c>
      <c r="AN47" s="36">
        <f t="shared" si="23"/>
        <v>144</v>
      </c>
      <c r="AO47" s="36">
        <f t="shared" si="23"/>
        <v>240</v>
      </c>
      <c r="AP47" s="36">
        <f t="shared" si="23"/>
        <v>400</v>
      </c>
      <c r="AR47" s="4" t="str">
        <f t="shared" si="24"/>
        <v>6400,7680,11520,19200,32000,</v>
      </c>
      <c r="AS47" s="36">
        <f t="shared" si="25"/>
        <v>8000</v>
      </c>
      <c r="AT47" s="36">
        <f t="shared" si="26"/>
        <v>6400</v>
      </c>
      <c r="AU47" s="36">
        <f t="shared" si="26"/>
        <v>7680</v>
      </c>
      <c r="AV47" s="36">
        <f t="shared" si="26"/>
        <v>11520</v>
      </c>
      <c r="AW47" s="36">
        <f t="shared" si="26"/>
        <v>19200</v>
      </c>
      <c r="AX47" s="36">
        <f t="shared" si="26"/>
        <v>32000</v>
      </c>
      <c r="AZ47" s="4">
        <f t="shared" si="27"/>
        <v>20</v>
      </c>
      <c r="BA47" s="4">
        <f t="shared" si="28"/>
        <v>1</v>
      </c>
      <c r="BB47" s="4">
        <f t="shared" si="29"/>
        <v>0</v>
      </c>
      <c r="BC47" s="35" t="str">
        <f t="shared" si="30"/>
        <v>20,</v>
      </c>
      <c r="BD47" s="35" t="str">
        <f t="shared" si="3"/>
        <v>2,</v>
      </c>
      <c r="BE47" s="35" t="str">
        <f t="shared" si="31"/>
        <v/>
      </c>
      <c r="BF47" s="36" t="str">
        <f t="shared" si="32"/>
        <v>1,</v>
      </c>
      <c r="BG47" s="36" t="str">
        <f>IF(BA47=0,"",IF(Z47=0,"3,4,5",VLOOKUP(Z47,{1,3;2,4;3,5},2,0))&amp;",")</f>
        <v>4,</v>
      </c>
      <c r="BH47" s="36" t="str">
        <f t="shared" si="33"/>
        <v/>
      </c>
      <c r="BI47" s="34" t="str">
        <f t="shared" si="34"/>
        <v>1,4</v>
      </c>
      <c r="BJ47" s="34" t="str">
        <f t="shared" si="37"/>
        <v>20,2</v>
      </c>
      <c r="BK47" s="34" t="str">
        <f t="shared" si="35"/>
        <v>0,2,4,6,12,24</v>
      </c>
      <c r="BL47" s="4">
        <f t="shared" si="4"/>
        <v>0</v>
      </c>
      <c r="BM47" s="4">
        <f t="shared" si="5"/>
        <v>2</v>
      </c>
      <c r="BN47" s="4">
        <f t="shared" si="6"/>
        <v>4</v>
      </c>
      <c r="BO47" s="4">
        <f t="shared" si="7"/>
        <v>6</v>
      </c>
      <c r="BP47" s="4">
        <f t="shared" si="8"/>
        <v>12</v>
      </c>
      <c r="BQ47" s="4">
        <f t="shared" si="9"/>
        <v>24</v>
      </c>
      <c r="BR47" s="34" t="str">
        <f t="shared" si="10"/>
        <v>4001,4002,4003,4004,4005,4006</v>
      </c>
      <c r="BS47" s="34" t="str">
        <f t="shared" si="36"/>
        <v>30001,30002,30003,30004,30005,30006</v>
      </c>
      <c r="BT47" s="4">
        <f>VLOOKUP(LOOKUP($Y47,$K$48:$K$55,$L$48:$L$55)&amp;BT$1&amp;$W47,装备额外附加!$M:$O,3,0)</f>
        <v>30001</v>
      </c>
      <c r="BU47" s="4">
        <f>VLOOKUP(LOOKUP($Y47,$K$48:$K$55,$L$48:$L$55)&amp;BU$1&amp;$W47,装备额外附加!$M:$O,3,0)</f>
        <v>30002</v>
      </c>
      <c r="BV47" s="4">
        <f>VLOOKUP(LOOKUP($Y47,$K$48:$K$55,$L$48:$L$55)&amp;BV$1&amp;$W47,装备额外附加!$M:$O,3,0)</f>
        <v>30003</v>
      </c>
      <c r="BW47" s="4">
        <f>VLOOKUP(LOOKUP($Y47,$K$48:$K$55,$L$48:$L$55)&amp;BW$1&amp;$W47,装备额外附加!$M:$O,3,0)</f>
        <v>30004</v>
      </c>
      <c r="BX47" s="4">
        <f>VLOOKUP(LOOKUP($Y47,$K$48:$K$55,$L$48:$L$55)&amp;BX$1&amp;$W47,装备额外附加!$M:$O,3,0)</f>
        <v>30005</v>
      </c>
      <c r="BY47" s="4">
        <f>VLOOKUP(LOOKUP($Y47,$K$48:$K$55,$L$48:$L$55)&amp;BY$1&amp;$W47,装备额外附加!$M:$O,3,0)</f>
        <v>30006</v>
      </c>
    </row>
    <row r="48" spans="1:77">
      <c r="A48" s="4" t="s">
        <v>235</v>
      </c>
      <c r="B48" s="54">
        <v>1</v>
      </c>
      <c r="C48" s="54">
        <v>0</v>
      </c>
      <c r="D48" s="54">
        <f>INT($K34*D$46)</f>
        <v>2</v>
      </c>
      <c r="E48" s="54">
        <f t="shared" ref="E48:H48" si="54">INT($K34*E$46)</f>
        <v>4</v>
      </c>
      <c r="F48" s="54">
        <f t="shared" si="54"/>
        <v>6</v>
      </c>
      <c r="G48" s="54">
        <f t="shared" si="54"/>
        <v>12</v>
      </c>
      <c r="H48" s="54">
        <f t="shared" si="54"/>
        <v>24</v>
      </c>
      <c r="K48" s="54">
        <v>1</v>
      </c>
      <c r="L48" s="4">
        <v>1</v>
      </c>
      <c r="R48" s="4" t="s">
        <v>269</v>
      </c>
      <c r="S48" s="4" t="str">
        <f t="shared" si="11"/>
        <v>101038</v>
      </c>
      <c r="T48" s="4" t="s">
        <v>270</v>
      </c>
      <c r="U48" s="36">
        <v>0</v>
      </c>
      <c r="V48" s="36" t="str">
        <f t="shared" si="12"/>
        <v>项链</v>
      </c>
      <c r="W48" s="36" t="str">
        <f t="shared" si="13"/>
        <v>项链</v>
      </c>
      <c r="X48" s="4">
        <f t="shared" si="14"/>
        <v>8</v>
      </c>
      <c r="Y48" s="4">
        <f t="shared" si="15"/>
        <v>4</v>
      </c>
      <c r="Z48" s="4">
        <f t="shared" si="16"/>
        <v>3</v>
      </c>
      <c r="AA48" s="4" t="str">
        <f t="shared" si="17"/>
        <v>18,21,32,54,90,180</v>
      </c>
      <c r="AB48" s="36">
        <f t="shared" si="18"/>
        <v>20</v>
      </c>
      <c r="AC48" s="36">
        <f t="shared" si="52"/>
        <v>18</v>
      </c>
      <c r="AD48" s="36">
        <f t="shared" si="51"/>
        <v>21</v>
      </c>
      <c r="AE48" s="36">
        <f t="shared" si="51"/>
        <v>32</v>
      </c>
      <c r="AF48" s="36">
        <f t="shared" si="51"/>
        <v>54</v>
      </c>
      <c r="AG48" s="36">
        <f t="shared" si="51"/>
        <v>90</v>
      </c>
      <c r="AH48" s="36">
        <f t="shared" si="42"/>
        <v>180</v>
      </c>
      <c r="AJ48" s="4" t="str">
        <f t="shared" si="21"/>
        <v>90,108,162,270,450,</v>
      </c>
      <c r="AK48" s="36">
        <f t="shared" si="22"/>
        <v>100</v>
      </c>
      <c r="AL48" s="36">
        <f t="shared" si="23"/>
        <v>90</v>
      </c>
      <c r="AM48" s="36">
        <f t="shared" si="23"/>
        <v>108</v>
      </c>
      <c r="AN48" s="36">
        <f t="shared" si="23"/>
        <v>162</v>
      </c>
      <c r="AO48" s="36">
        <f t="shared" si="23"/>
        <v>270</v>
      </c>
      <c r="AP48" s="36">
        <f t="shared" si="23"/>
        <v>450</v>
      </c>
      <c r="AR48" s="4" t="str">
        <f t="shared" si="24"/>
        <v>7200,8640,12960,21600,36000,</v>
      </c>
      <c r="AS48" s="36">
        <f t="shared" si="25"/>
        <v>8000</v>
      </c>
      <c r="AT48" s="36">
        <f t="shared" si="26"/>
        <v>7200</v>
      </c>
      <c r="AU48" s="36">
        <f t="shared" si="26"/>
        <v>8640</v>
      </c>
      <c r="AV48" s="36">
        <f t="shared" si="26"/>
        <v>12960</v>
      </c>
      <c r="AW48" s="36">
        <f t="shared" si="26"/>
        <v>21600</v>
      </c>
      <c r="AX48" s="36">
        <f t="shared" si="26"/>
        <v>36000</v>
      </c>
      <c r="AZ48" s="4">
        <f t="shared" si="27"/>
        <v>0</v>
      </c>
      <c r="BA48" s="4">
        <f t="shared" si="28"/>
        <v>2</v>
      </c>
      <c r="BB48" s="4">
        <f t="shared" si="29"/>
        <v>0</v>
      </c>
      <c r="BC48" s="35" t="str">
        <f t="shared" si="30"/>
        <v/>
      </c>
      <c r="BD48" s="35" t="str">
        <f t="shared" si="3"/>
        <v>4,</v>
      </c>
      <c r="BE48" s="35" t="str">
        <f t="shared" si="31"/>
        <v/>
      </c>
      <c r="BF48" s="36" t="str">
        <f t="shared" si="32"/>
        <v/>
      </c>
      <c r="BG48" s="36" t="str">
        <f>IF(BA48=0,"",IF(Z48=0,"3,4,5",VLOOKUP(Z48,{1,3;2,4;3,5},2,0))&amp;",")</f>
        <v>5,</v>
      </c>
      <c r="BH48" s="36" t="str">
        <f t="shared" si="33"/>
        <v/>
      </c>
      <c r="BI48" s="34" t="str">
        <f t="shared" si="34"/>
        <v>5</v>
      </c>
      <c r="BJ48" s="34" t="str">
        <f t="shared" si="37"/>
        <v>4</v>
      </c>
      <c r="BK48" s="34" t="str">
        <f t="shared" si="35"/>
        <v>0,2,4,6,12,24</v>
      </c>
      <c r="BL48" s="4">
        <f t="shared" si="4"/>
        <v>0</v>
      </c>
      <c r="BM48" s="4">
        <f t="shared" si="5"/>
        <v>2</v>
      </c>
      <c r="BN48" s="4">
        <f t="shared" si="6"/>
        <v>4</v>
      </c>
      <c r="BO48" s="4">
        <f t="shared" si="7"/>
        <v>6</v>
      </c>
      <c r="BP48" s="4">
        <f t="shared" si="8"/>
        <v>12</v>
      </c>
      <c r="BQ48" s="4">
        <f t="shared" si="9"/>
        <v>24</v>
      </c>
      <c r="BR48" s="34" t="str">
        <f t="shared" si="10"/>
        <v>2001,2002,2003,2004,2005,2006</v>
      </c>
      <c r="BS48" s="34" t="str">
        <f t="shared" si="36"/>
        <v>50001,50002,50003,50004,50005,50006</v>
      </c>
      <c r="BT48" s="4">
        <f>VLOOKUP(LOOKUP($Y48,$K$48:$K$55,$L$48:$L$55)&amp;BT$1&amp;$W48,装备额外附加!$M:$O,3,0)</f>
        <v>50001</v>
      </c>
      <c r="BU48" s="4">
        <f>VLOOKUP(LOOKUP($Y48,$K$48:$K$55,$L$48:$L$55)&amp;BU$1&amp;$W48,装备额外附加!$M:$O,3,0)</f>
        <v>50002</v>
      </c>
      <c r="BV48" s="4">
        <f>VLOOKUP(LOOKUP($Y48,$K$48:$K$55,$L$48:$L$55)&amp;BV$1&amp;$W48,装备额外附加!$M:$O,3,0)</f>
        <v>50003</v>
      </c>
      <c r="BW48" s="4">
        <f>VLOOKUP(LOOKUP($Y48,$K$48:$K$55,$L$48:$L$55)&amp;BW$1&amp;$W48,装备额外附加!$M:$O,3,0)</f>
        <v>50004</v>
      </c>
      <c r="BX48" s="4">
        <f>VLOOKUP(LOOKUP($Y48,$K$48:$K$55,$L$48:$L$55)&amp;BX$1&amp;$W48,装备额外附加!$M:$O,3,0)</f>
        <v>50005</v>
      </c>
      <c r="BY48" s="4">
        <f>VLOOKUP(LOOKUP($Y48,$K$48:$K$55,$L$48:$L$55)&amp;BY$1&amp;$W48,装备额外附加!$M:$O,3,0)</f>
        <v>50006</v>
      </c>
    </row>
    <row r="49" spans="1:77">
      <c r="A49" s="4" t="s">
        <v>99</v>
      </c>
      <c r="B49" s="54">
        <v>11</v>
      </c>
      <c r="C49" s="54">
        <v>0</v>
      </c>
      <c r="D49" s="54">
        <f>INT($K35*D$46)</f>
        <v>3</v>
      </c>
      <c r="E49" s="54">
        <f t="shared" ref="E49:H49" si="55">INT($K35*E$46)</f>
        <v>5</v>
      </c>
      <c r="F49" s="54">
        <f t="shared" si="55"/>
        <v>7</v>
      </c>
      <c r="G49" s="54">
        <f t="shared" si="55"/>
        <v>15</v>
      </c>
      <c r="H49" s="54">
        <f t="shared" si="55"/>
        <v>30</v>
      </c>
      <c r="K49" s="54">
        <v>11</v>
      </c>
      <c r="L49" s="4">
        <v>1</v>
      </c>
      <c r="R49" s="4" t="s">
        <v>271</v>
      </c>
      <c r="S49" s="4" t="str">
        <f t="shared" si="11"/>
        <v>101036</v>
      </c>
      <c r="T49" s="4" t="s">
        <v>272</v>
      </c>
      <c r="U49" s="36">
        <v>0</v>
      </c>
      <c r="V49" s="36" t="str">
        <f t="shared" si="12"/>
        <v>手镯</v>
      </c>
      <c r="W49" s="36" t="str">
        <f t="shared" si="13"/>
        <v>手镯</v>
      </c>
      <c r="X49" s="4">
        <f t="shared" si="14"/>
        <v>6</v>
      </c>
      <c r="Y49" s="4">
        <f t="shared" si="15"/>
        <v>6</v>
      </c>
      <c r="Z49" s="4">
        <f t="shared" si="16"/>
        <v>3</v>
      </c>
      <c r="AA49" s="4" t="str">
        <f t="shared" si="17"/>
        <v>16,19,28,48,80,160</v>
      </c>
      <c r="AB49" s="36">
        <f t="shared" si="18"/>
        <v>20</v>
      </c>
      <c r="AC49" s="36">
        <f t="shared" si="52"/>
        <v>16</v>
      </c>
      <c r="AD49" s="36">
        <f t="shared" si="51"/>
        <v>19</v>
      </c>
      <c r="AE49" s="36">
        <f t="shared" si="51"/>
        <v>28</v>
      </c>
      <c r="AF49" s="36">
        <f t="shared" si="51"/>
        <v>48</v>
      </c>
      <c r="AG49" s="36">
        <f t="shared" si="51"/>
        <v>80</v>
      </c>
      <c r="AH49" s="36">
        <f t="shared" si="42"/>
        <v>160</v>
      </c>
      <c r="AJ49" s="4" t="str">
        <f t="shared" si="21"/>
        <v>80,96,144,240,400,</v>
      </c>
      <c r="AK49" s="36">
        <f t="shared" si="22"/>
        <v>100</v>
      </c>
      <c r="AL49" s="36">
        <f t="shared" si="23"/>
        <v>80</v>
      </c>
      <c r="AM49" s="36">
        <f t="shared" si="23"/>
        <v>96</v>
      </c>
      <c r="AN49" s="36">
        <f t="shared" si="23"/>
        <v>144</v>
      </c>
      <c r="AO49" s="36">
        <f t="shared" si="23"/>
        <v>240</v>
      </c>
      <c r="AP49" s="36">
        <f t="shared" si="23"/>
        <v>400</v>
      </c>
      <c r="AR49" s="4" t="str">
        <f t="shared" si="24"/>
        <v>6400,7680,11520,19200,32000,</v>
      </c>
      <c r="AS49" s="36">
        <f t="shared" si="25"/>
        <v>8000</v>
      </c>
      <c r="AT49" s="36">
        <f t="shared" si="26"/>
        <v>6400</v>
      </c>
      <c r="AU49" s="36">
        <f t="shared" si="26"/>
        <v>7680</v>
      </c>
      <c r="AV49" s="36">
        <f t="shared" si="26"/>
        <v>11520</v>
      </c>
      <c r="AW49" s="36">
        <f t="shared" si="26"/>
        <v>19200</v>
      </c>
      <c r="AX49" s="36">
        <f t="shared" si="26"/>
        <v>32000</v>
      </c>
      <c r="AZ49" s="4">
        <f t="shared" si="27"/>
        <v>20</v>
      </c>
      <c r="BA49" s="4">
        <f t="shared" si="28"/>
        <v>1</v>
      </c>
      <c r="BB49" s="4">
        <f t="shared" si="29"/>
        <v>0</v>
      </c>
      <c r="BC49" s="35" t="str">
        <f t="shared" si="30"/>
        <v>20,</v>
      </c>
      <c r="BD49" s="35" t="str">
        <f t="shared" si="3"/>
        <v>2,</v>
      </c>
      <c r="BE49" s="35" t="str">
        <f t="shared" si="31"/>
        <v/>
      </c>
      <c r="BF49" s="36" t="str">
        <f t="shared" si="32"/>
        <v>1,</v>
      </c>
      <c r="BG49" s="36" t="str">
        <f>IF(BA49=0,"",IF(Z49=0,"3,4,5",VLOOKUP(Z49,{1,3;2,4;3,5},2,0))&amp;",")</f>
        <v>5,</v>
      </c>
      <c r="BH49" s="36" t="str">
        <f t="shared" si="33"/>
        <v/>
      </c>
      <c r="BI49" s="34" t="str">
        <f t="shared" si="34"/>
        <v>1,5</v>
      </c>
      <c r="BJ49" s="34" t="str">
        <f t="shared" si="37"/>
        <v>20,2</v>
      </c>
      <c r="BK49" s="34" t="str">
        <f t="shared" si="35"/>
        <v>0,2,4,6,12,24</v>
      </c>
      <c r="BL49" s="4">
        <f t="shared" si="4"/>
        <v>0</v>
      </c>
      <c r="BM49" s="4">
        <f t="shared" si="5"/>
        <v>2</v>
      </c>
      <c r="BN49" s="4">
        <f t="shared" si="6"/>
        <v>4</v>
      </c>
      <c r="BO49" s="4">
        <f t="shared" si="7"/>
        <v>6</v>
      </c>
      <c r="BP49" s="4">
        <f t="shared" si="8"/>
        <v>12</v>
      </c>
      <c r="BQ49" s="4">
        <f t="shared" si="9"/>
        <v>24</v>
      </c>
      <c r="BR49" s="34" t="str">
        <f t="shared" si="10"/>
        <v>3001,3002,3003,3004,3005,3006</v>
      </c>
      <c r="BS49" s="34" t="str">
        <f t="shared" si="36"/>
        <v>40001,40002,40003,40004,40005,40006</v>
      </c>
      <c r="BT49" s="4">
        <f>VLOOKUP(LOOKUP($Y49,$K$48:$K$55,$L$48:$L$55)&amp;BT$1&amp;$W49,装备额外附加!$M:$O,3,0)</f>
        <v>40001</v>
      </c>
      <c r="BU49" s="4">
        <f>VLOOKUP(LOOKUP($Y49,$K$48:$K$55,$L$48:$L$55)&amp;BU$1&amp;$W49,装备额外附加!$M:$O,3,0)</f>
        <v>40002</v>
      </c>
      <c r="BV49" s="4">
        <f>VLOOKUP(LOOKUP($Y49,$K$48:$K$55,$L$48:$L$55)&amp;BV$1&amp;$W49,装备额外附加!$M:$O,3,0)</f>
        <v>40003</v>
      </c>
      <c r="BW49" s="4">
        <f>VLOOKUP(LOOKUP($Y49,$K$48:$K$55,$L$48:$L$55)&amp;BW$1&amp;$W49,装备额外附加!$M:$O,3,0)</f>
        <v>40004</v>
      </c>
      <c r="BX49" s="4">
        <f>VLOOKUP(LOOKUP($Y49,$K$48:$K$55,$L$48:$L$55)&amp;BX$1&amp;$W49,装备额外附加!$M:$O,3,0)</f>
        <v>40005</v>
      </c>
      <c r="BY49" s="4">
        <f>VLOOKUP(LOOKUP($Y49,$K$48:$K$55,$L$48:$L$55)&amp;BY$1&amp;$W49,装备额外附加!$M:$O,3,0)</f>
        <v>40006</v>
      </c>
    </row>
    <row r="50" spans="1:77">
      <c r="A50" s="4" t="s">
        <v>100</v>
      </c>
      <c r="B50" s="54">
        <v>21</v>
      </c>
      <c r="C50" s="54">
        <v>0</v>
      </c>
      <c r="D50" s="54">
        <f t="shared" ref="D50:H50" si="56">INT($K36*D$46)</f>
        <v>4</v>
      </c>
      <c r="E50" s="54">
        <f t="shared" si="56"/>
        <v>7</v>
      </c>
      <c r="F50" s="54">
        <f t="shared" si="56"/>
        <v>10</v>
      </c>
      <c r="G50" s="54">
        <f t="shared" si="56"/>
        <v>21</v>
      </c>
      <c r="H50" s="54">
        <f t="shared" si="56"/>
        <v>42</v>
      </c>
      <c r="K50" s="54">
        <v>21</v>
      </c>
      <c r="L50" s="4">
        <v>21</v>
      </c>
      <c r="R50" s="4" t="s">
        <v>273</v>
      </c>
      <c r="S50" s="4" t="str">
        <f t="shared" si="11"/>
        <v>101037</v>
      </c>
      <c r="T50" s="4" t="s">
        <v>274</v>
      </c>
      <c r="U50" s="36">
        <v>0</v>
      </c>
      <c r="V50" s="36" t="str">
        <f t="shared" si="12"/>
        <v>戒指</v>
      </c>
      <c r="W50" s="36" t="str">
        <f t="shared" si="13"/>
        <v>戒指</v>
      </c>
      <c r="X50" s="4">
        <f t="shared" si="14"/>
        <v>7</v>
      </c>
      <c r="Y50" s="4">
        <f t="shared" si="15"/>
        <v>3</v>
      </c>
      <c r="Z50" s="4">
        <f t="shared" si="16"/>
        <v>3</v>
      </c>
      <c r="AA50" s="4" t="str">
        <f t="shared" si="17"/>
        <v>16,19,28,48,80,160</v>
      </c>
      <c r="AB50" s="36">
        <f t="shared" si="18"/>
        <v>20</v>
      </c>
      <c r="AC50" s="36">
        <f t="shared" si="52"/>
        <v>16</v>
      </c>
      <c r="AD50" s="36">
        <f t="shared" si="51"/>
        <v>19</v>
      </c>
      <c r="AE50" s="36">
        <f t="shared" si="51"/>
        <v>28</v>
      </c>
      <c r="AF50" s="36">
        <f t="shared" si="51"/>
        <v>48</v>
      </c>
      <c r="AG50" s="36">
        <f t="shared" si="51"/>
        <v>80</v>
      </c>
      <c r="AH50" s="36">
        <f t="shared" si="42"/>
        <v>160</v>
      </c>
      <c r="AJ50" s="4" t="str">
        <f t="shared" si="21"/>
        <v>80,96,144,240,400,</v>
      </c>
      <c r="AK50" s="36">
        <f t="shared" si="22"/>
        <v>100</v>
      </c>
      <c r="AL50" s="36">
        <f t="shared" si="23"/>
        <v>80</v>
      </c>
      <c r="AM50" s="36">
        <f t="shared" si="23"/>
        <v>96</v>
      </c>
      <c r="AN50" s="36">
        <f t="shared" si="23"/>
        <v>144</v>
      </c>
      <c r="AO50" s="36">
        <f t="shared" si="23"/>
        <v>240</v>
      </c>
      <c r="AP50" s="36">
        <f t="shared" si="23"/>
        <v>400</v>
      </c>
      <c r="AR50" s="4" t="str">
        <f t="shared" si="24"/>
        <v>6400,7680,11520,19200,32000,</v>
      </c>
      <c r="AS50" s="36">
        <f t="shared" si="25"/>
        <v>8000</v>
      </c>
      <c r="AT50" s="36">
        <f t="shared" si="26"/>
        <v>6400</v>
      </c>
      <c r="AU50" s="36">
        <f t="shared" si="26"/>
        <v>7680</v>
      </c>
      <c r="AV50" s="36">
        <f t="shared" si="26"/>
        <v>11520</v>
      </c>
      <c r="AW50" s="36">
        <f t="shared" si="26"/>
        <v>19200</v>
      </c>
      <c r="AX50" s="36">
        <f t="shared" si="26"/>
        <v>32000</v>
      </c>
      <c r="AZ50" s="4">
        <f t="shared" si="27"/>
        <v>20</v>
      </c>
      <c r="BA50" s="4">
        <f t="shared" si="28"/>
        <v>1</v>
      </c>
      <c r="BB50" s="4">
        <f t="shared" si="29"/>
        <v>0</v>
      </c>
      <c r="BC50" s="35" t="str">
        <f t="shared" si="30"/>
        <v>20,</v>
      </c>
      <c r="BD50" s="35" t="str">
        <f t="shared" si="3"/>
        <v>2,</v>
      </c>
      <c r="BE50" s="35" t="str">
        <f t="shared" si="31"/>
        <v/>
      </c>
      <c r="BF50" s="36" t="str">
        <f t="shared" si="32"/>
        <v>1,</v>
      </c>
      <c r="BG50" s="36" t="str">
        <f>IF(BA50=0,"",IF(Z50=0,"3,4,5",VLOOKUP(Z50,{1,3;2,4;3,5},2,0))&amp;",")</f>
        <v>5,</v>
      </c>
      <c r="BH50" s="36" t="str">
        <f t="shared" si="33"/>
        <v/>
      </c>
      <c r="BI50" s="34" t="str">
        <f t="shared" si="34"/>
        <v>1,5</v>
      </c>
      <c r="BJ50" s="34" t="str">
        <f t="shared" si="37"/>
        <v>20,2</v>
      </c>
      <c r="BK50" s="34" t="str">
        <f t="shared" si="35"/>
        <v>0,2,4,6,12,24</v>
      </c>
      <c r="BL50" s="4">
        <f t="shared" si="4"/>
        <v>0</v>
      </c>
      <c r="BM50" s="4">
        <f t="shared" si="5"/>
        <v>2</v>
      </c>
      <c r="BN50" s="4">
        <f t="shared" si="6"/>
        <v>4</v>
      </c>
      <c r="BO50" s="4">
        <f t="shared" si="7"/>
        <v>6</v>
      </c>
      <c r="BP50" s="4">
        <f t="shared" si="8"/>
        <v>12</v>
      </c>
      <c r="BQ50" s="4">
        <f t="shared" si="9"/>
        <v>24</v>
      </c>
      <c r="BR50" s="34" t="str">
        <f t="shared" si="10"/>
        <v>4001,4002,4003,4004,4005,4006</v>
      </c>
      <c r="BS50" s="34" t="str">
        <f t="shared" si="36"/>
        <v>30001,30002,30003,30004,30005,30006</v>
      </c>
      <c r="BT50" s="4">
        <f>VLOOKUP(LOOKUP($Y50,$K$48:$K$55,$L$48:$L$55)&amp;BT$1&amp;$W50,装备额外附加!$M:$O,3,0)</f>
        <v>30001</v>
      </c>
      <c r="BU50" s="4">
        <f>VLOOKUP(LOOKUP($Y50,$K$48:$K$55,$L$48:$L$55)&amp;BU$1&amp;$W50,装备额外附加!$M:$O,3,0)</f>
        <v>30002</v>
      </c>
      <c r="BV50" s="4">
        <f>VLOOKUP(LOOKUP($Y50,$K$48:$K$55,$L$48:$L$55)&amp;BV$1&amp;$W50,装备额外附加!$M:$O,3,0)</f>
        <v>30003</v>
      </c>
      <c r="BW50" s="4">
        <f>VLOOKUP(LOOKUP($Y50,$K$48:$K$55,$L$48:$L$55)&amp;BW$1&amp;$W50,装备额外附加!$M:$O,3,0)</f>
        <v>30004</v>
      </c>
      <c r="BX50" s="4">
        <f>VLOOKUP(LOOKUP($Y50,$K$48:$K$55,$L$48:$L$55)&amp;BX$1&amp;$W50,装备额外附加!$M:$O,3,0)</f>
        <v>30005</v>
      </c>
      <c r="BY50" s="4">
        <f>VLOOKUP(LOOKUP($Y50,$K$48:$K$55,$L$48:$L$55)&amp;BY$1&amp;$W50,装备额外附加!$M:$O,3,0)</f>
        <v>30006</v>
      </c>
    </row>
    <row r="51" spans="1:77">
      <c r="A51" s="4" t="s">
        <v>101</v>
      </c>
      <c r="B51" s="54">
        <v>31</v>
      </c>
      <c r="C51" s="54">
        <v>0</v>
      </c>
      <c r="D51" s="54">
        <f t="shared" ref="D51:H51" si="57">INT($K37*D$46)</f>
        <v>6</v>
      </c>
      <c r="E51" s="54">
        <f t="shared" si="57"/>
        <v>9</v>
      </c>
      <c r="F51" s="54">
        <f t="shared" si="57"/>
        <v>14</v>
      </c>
      <c r="G51" s="54">
        <f t="shared" si="57"/>
        <v>28</v>
      </c>
      <c r="H51" s="54">
        <f t="shared" si="57"/>
        <v>56</v>
      </c>
      <c r="K51" s="54">
        <v>31</v>
      </c>
      <c r="L51" s="4">
        <v>21</v>
      </c>
      <c r="R51" s="4" t="s">
        <v>275</v>
      </c>
      <c r="S51" s="4" t="str">
        <f t="shared" si="11"/>
        <v>102018</v>
      </c>
      <c r="T51" s="4" t="s">
        <v>276</v>
      </c>
      <c r="U51" s="36">
        <v>10</v>
      </c>
      <c r="V51" s="36" t="str">
        <f t="shared" si="12"/>
        <v>项链</v>
      </c>
      <c r="W51" s="36" t="str">
        <f t="shared" si="13"/>
        <v>项链</v>
      </c>
      <c r="X51" s="4">
        <f t="shared" si="14"/>
        <v>8</v>
      </c>
      <c r="Y51" s="4">
        <f t="shared" si="15"/>
        <v>14</v>
      </c>
      <c r="Z51" s="4">
        <f t="shared" si="16"/>
        <v>1</v>
      </c>
      <c r="AA51" s="4" t="str">
        <f t="shared" si="17"/>
        <v>36,43,64,108,180,360</v>
      </c>
      <c r="AB51" s="36">
        <f t="shared" si="18"/>
        <v>40</v>
      </c>
      <c r="AC51" s="36">
        <f t="shared" si="52"/>
        <v>36</v>
      </c>
      <c r="AD51" s="36">
        <f t="shared" si="51"/>
        <v>43</v>
      </c>
      <c r="AE51" s="36">
        <f t="shared" si="51"/>
        <v>64</v>
      </c>
      <c r="AF51" s="36">
        <f t="shared" si="51"/>
        <v>108</v>
      </c>
      <c r="AG51" s="36">
        <f t="shared" si="51"/>
        <v>180</v>
      </c>
      <c r="AH51" s="36">
        <f t="shared" si="42"/>
        <v>360</v>
      </c>
      <c r="AJ51" s="4" t="str">
        <f t="shared" si="21"/>
        <v>180,216,324,540,900,</v>
      </c>
      <c r="AK51" s="36">
        <f t="shared" si="22"/>
        <v>200</v>
      </c>
      <c r="AL51" s="36">
        <f t="shared" si="23"/>
        <v>180</v>
      </c>
      <c r="AM51" s="36">
        <f t="shared" si="23"/>
        <v>216</v>
      </c>
      <c r="AN51" s="36">
        <f t="shared" si="23"/>
        <v>324</v>
      </c>
      <c r="AO51" s="36">
        <f t="shared" si="23"/>
        <v>540</v>
      </c>
      <c r="AP51" s="36">
        <f t="shared" si="23"/>
        <v>900</v>
      </c>
      <c r="AR51" s="4" t="str">
        <f t="shared" si="24"/>
        <v>14400,17280,25920,43200,72000,</v>
      </c>
      <c r="AS51" s="36">
        <f t="shared" si="25"/>
        <v>16000</v>
      </c>
      <c r="AT51" s="36">
        <f t="shared" si="26"/>
        <v>14400</v>
      </c>
      <c r="AU51" s="36">
        <f t="shared" si="26"/>
        <v>17280</v>
      </c>
      <c r="AV51" s="36">
        <f t="shared" si="26"/>
        <v>25920</v>
      </c>
      <c r="AW51" s="36">
        <f t="shared" si="26"/>
        <v>43200</v>
      </c>
      <c r="AX51" s="36">
        <f t="shared" si="26"/>
        <v>72000</v>
      </c>
      <c r="AZ51" s="4">
        <f t="shared" si="27"/>
        <v>0</v>
      </c>
      <c r="BA51" s="4">
        <f t="shared" si="28"/>
        <v>3</v>
      </c>
      <c r="BB51" s="4">
        <f t="shared" si="29"/>
        <v>1</v>
      </c>
      <c r="BC51" s="35" t="str">
        <f t="shared" si="30"/>
        <v/>
      </c>
      <c r="BD51" s="35" t="str">
        <f t="shared" si="3"/>
        <v>6,</v>
      </c>
      <c r="BE51" s="35" t="str">
        <f t="shared" si="31"/>
        <v>1,</v>
      </c>
      <c r="BF51" s="36" t="str">
        <f t="shared" si="32"/>
        <v/>
      </c>
      <c r="BG51" s="36" t="str">
        <f>IF(BA51=0,"",IF(Z51=0,"3,4,5",VLOOKUP(Z51,{1,3;2,4;3,5},2,0))&amp;",")</f>
        <v>3,</v>
      </c>
      <c r="BH51" s="36" t="str">
        <f t="shared" si="33"/>
        <v>6,</v>
      </c>
      <c r="BI51" s="34" t="str">
        <f t="shared" si="34"/>
        <v>3,6</v>
      </c>
      <c r="BJ51" s="34" t="str">
        <f t="shared" si="37"/>
        <v>6,1</v>
      </c>
      <c r="BK51" s="34" t="str">
        <f t="shared" si="35"/>
        <v>0,3,5,7,15,30</v>
      </c>
      <c r="BL51" s="4">
        <f t="shared" si="4"/>
        <v>0</v>
      </c>
      <c r="BM51" s="4">
        <f t="shared" si="5"/>
        <v>3</v>
      </c>
      <c r="BN51" s="4">
        <f t="shared" si="6"/>
        <v>5</v>
      </c>
      <c r="BO51" s="4">
        <f t="shared" si="7"/>
        <v>7</v>
      </c>
      <c r="BP51" s="4">
        <f t="shared" si="8"/>
        <v>15</v>
      </c>
      <c r="BQ51" s="4">
        <f t="shared" si="9"/>
        <v>30</v>
      </c>
      <c r="BR51" s="34" t="str">
        <f t="shared" si="10"/>
        <v>2001,2002,2003,2004,2005,2006</v>
      </c>
      <c r="BS51" s="34" t="str">
        <f t="shared" si="36"/>
        <v>50001,50002,50003,50004,50005,50006</v>
      </c>
      <c r="BT51" s="4">
        <f>VLOOKUP(LOOKUP($Y51,$K$48:$K$55,$L$48:$L$55)&amp;BT$1&amp;$W51,装备额外附加!$M:$O,3,0)</f>
        <v>50001</v>
      </c>
      <c r="BU51" s="4">
        <f>VLOOKUP(LOOKUP($Y51,$K$48:$K$55,$L$48:$L$55)&amp;BU$1&amp;$W51,装备额外附加!$M:$O,3,0)</f>
        <v>50002</v>
      </c>
      <c r="BV51" s="4">
        <f>VLOOKUP(LOOKUP($Y51,$K$48:$K$55,$L$48:$L$55)&amp;BV$1&amp;$W51,装备额外附加!$M:$O,3,0)</f>
        <v>50003</v>
      </c>
      <c r="BW51" s="4">
        <f>VLOOKUP(LOOKUP($Y51,$K$48:$K$55,$L$48:$L$55)&amp;BW$1&amp;$W51,装备额外附加!$M:$O,3,0)</f>
        <v>50004</v>
      </c>
      <c r="BX51" s="4">
        <f>VLOOKUP(LOOKUP($Y51,$K$48:$K$55,$L$48:$L$55)&amp;BX$1&amp;$W51,装备额外附加!$M:$O,3,0)</f>
        <v>50005</v>
      </c>
      <c r="BY51" s="4">
        <f>VLOOKUP(LOOKUP($Y51,$K$48:$K$55,$L$48:$L$55)&amp;BY$1&amp;$W51,装备额外附加!$M:$O,3,0)</f>
        <v>50006</v>
      </c>
    </row>
    <row r="52" spans="1:77">
      <c r="A52" s="4" t="s">
        <v>102</v>
      </c>
      <c r="B52" s="54">
        <v>41</v>
      </c>
      <c r="C52" s="54">
        <v>0</v>
      </c>
      <c r="D52" s="54">
        <f t="shared" ref="D52:H52" si="58">INT($K38*D$46)</f>
        <v>8</v>
      </c>
      <c r="E52" s="54">
        <f t="shared" si="58"/>
        <v>12</v>
      </c>
      <c r="F52" s="54">
        <f t="shared" si="58"/>
        <v>19</v>
      </c>
      <c r="G52" s="54">
        <f t="shared" si="58"/>
        <v>38</v>
      </c>
      <c r="H52" s="54">
        <f t="shared" si="58"/>
        <v>77</v>
      </c>
      <c r="K52" s="54">
        <v>41</v>
      </c>
      <c r="L52" s="4">
        <v>41</v>
      </c>
      <c r="R52" s="4" t="s">
        <v>277</v>
      </c>
      <c r="S52" s="4" t="str">
        <f t="shared" si="11"/>
        <v>102016</v>
      </c>
      <c r="T52" s="4" t="s">
        <v>278</v>
      </c>
      <c r="U52" s="36">
        <v>10</v>
      </c>
      <c r="V52" s="36" t="str">
        <f t="shared" si="12"/>
        <v>手镯</v>
      </c>
      <c r="W52" s="36" t="str">
        <f t="shared" si="13"/>
        <v>手镯</v>
      </c>
      <c r="X52" s="4">
        <f t="shared" si="14"/>
        <v>6</v>
      </c>
      <c r="Y52" s="4">
        <f t="shared" si="15"/>
        <v>16</v>
      </c>
      <c r="Z52" s="4">
        <f t="shared" si="16"/>
        <v>1</v>
      </c>
      <c r="AA52" s="4" t="str">
        <f t="shared" si="17"/>
        <v>32,38,57,96,160,320</v>
      </c>
      <c r="AB52" s="36">
        <f t="shared" si="18"/>
        <v>40</v>
      </c>
      <c r="AC52" s="36">
        <f t="shared" si="52"/>
        <v>32</v>
      </c>
      <c r="AD52" s="36">
        <f t="shared" si="51"/>
        <v>38</v>
      </c>
      <c r="AE52" s="36">
        <f t="shared" si="51"/>
        <v>57</v>
      </c>
      <c r="AF52" s="36">
        <f t="shared" si="51"/>
        <v>96</v>
      </c>
      <c r="AG52" s="36">
        <f t="shared" si="51"/>
        <v>160</v>
      </c>
      <c r="AH52" s="36">
        <f t="shared" si="42"/>
        <v>320</v>
      </c>
      <c r="AJ52" s="4" t="str">
        <f t="shared" si="21"/>
        <v>160,192,288,480,800,</v>
      </c>
      <c r="AK52" s="36">
        <f t="shared" si="22"/>
        <v>200</v>
      </c>
      <c r="AL52" s="36">
        <f t="shared" si="23"/>
        <v>160</v>
      </c>
      <c r="AM52" s="36">
        <f t="shared" si="23"/>
        <v>192</v>
      </c>
      <c r="AN52" s="36">
        <f t="shared" si="23"/>
        <v>288</v>
      </c>
      <c r="AO52" s="36">
        <f t="shared" si="23"/>
        <v>480</v>
      </c>
      <c r="AP52" s="36">
        <f t="shared" si="23"/>
        <v>800</v>
      </c>
      <c r="AR52" s="4" t="str">
        <f t="shared" si="24"/>
        <v>12800,15360,23040,38400,64000,</v>
      </c>
      <c r="AS52" s="36">
        <f t="shared" si="25"/>
        <v>16000</v>
      </c>
      <c r="AT52" s="36">
        <f t="shared" si="26"/>
        <v>12800</v>
      </c>
      <c r="AU52" s="36">
        <f t="shared" si="26"/>
        <v>15360</v>
      </c>
      <c r="AV52" s="36">
        <f t="shared" si="26"/>
        <v>23040</v>
      </c>
      <c r="AW52" s="36">
        <f t="shared" si="26"/>
        <v>38400</v>
      </c>
      <c r="AX52" s="36">
        <f t="shared" si="26"/>
        <v>64000</v>
      </c>
      <c r="AZ52" s="4">
        <f t="shared" si="27"/>
        <v>25</v>
      </c>
      <c r="BA52" s="4">
        <f t="shared" si="28"/>
        <v>2</v>
      </c>
      <c r="BB52" s="4">
        <f t="shared" si="29"/>
        <v>0</v>
      </c>
      <c r="BC52" s="35" t="str">
        <f t="shared" si="30"/>
        <v>25,</v>
      </c>
      <c r="BD52" s="35" t="str">
        <f t="shared" si="3"/>
        <v>4,</v>
      </c>
      <c r="BE52" s="35" t="str">
        <f t="shared" si="31"/>
        <v/>
      </c>
      <c r="BF52" s="36" t="str">
        <f t="shared" si="32"/>
        <v>1,</v>
      </c>
      <c r="BG52" s="36" t="str">
        <f>IF(BA52=0,"",IF(Z52=0,"3,4,5",VLOOKUP(Z52,{1,3;2,4;3,5},2,0))&amp;",")</f>
        <v>3,</v>
      </c>
      <c r="BH52" s="36" t="str">
        <f t="shared" si="33"/>
        <v/>
      </c>
      <c r="BI52" s="34" t="str">
        <f t="shared" si="34"/>
        <v>1,3</v>
      </c>
      <c r="BJ52" s="34" t="str">
        <f t="shared" si="37"/>
        <v>25,4</v>
      </c>
      <c r="BK52" s="34" t="str">
        <f t="shared" si="35"/>
        <v>0,3,5,7,15,30</v>
      </c>
      <c r="BL52" s="4">
        <f t="shared" si="4"/>
        <v>0</v>
      </c>
      <c r="BM52" s="4">
        <f t="shared" si="5"/>
        <v>3</v>
      </c>
      <c r="BN52" s="4">
        <f t="shared" si="6"/>
        <v>5</v>
      </c>
      <c r="BO52" s="4">
        <f t="shared" si="7"/>
        <v>7</v>
      </c>
      <c r="BP52" s="4">
        <f t="shared" si="8"/>
        <v>15</v>
      </c>
      <c r="BQ52" s="4">
        <f t="shared" si="9"/>
        <v>30</v>
      </c>
      <c r="BR52" s="34" t="str">
        <f t="shared" si="10"/>
        <v>3001,3002,3003,3004,3005,3006</v>
      </c>
      <c r="BS52" s="34" t="str">
        <f t="shared" si="36"/>
        <v>40001,40002,40003,40004,40005,40006</v>
      </c>
      <c r="BT52" s="4">
        <f>VLOOKUP(LOOKUP($Y52,$K$48:$K$55,$L$48:$L$55)&amp;BT$1&amp;$W52,装备额外附加!$M:$O,3,0)</f>
        <v>40001</v>
      </c>
      <c r="BU52" s="4">
        <f>VLOOKUP(LOOKUP($Y52,$K$48:$K$55,$L$48:$L$55)&amp;BU$1&amp;$W52,装备额外附加!$M:$O,3,0)</f>
        <v>40002</v>
      </c>
      <c r="BV52" s="4">
        <f>VLOOKUP(LOOKUP($Y52,$K$48:$K$55,$L$48:$L$55)&amp;BV$1&amp;$W52,装备额外附加!$M:$O,3,0)</f>
        <v>40003</v>
      </c>
      <c r="BW52" s="4">
        <f>VLOOKUP(LOOKUP($Y52,$K$48:$K$55,$L$48:$L$55)&amp;BW$1&amp;$W52,装备额外附加!$M:$O,3,0)</f>
        <v>40004</v>
      </c>
      <c r="BX52" s="4">
        <f>VLOOKUP(LOOKUP($Y52,$K$48:$K$55,$L$48:$L$55)&amp;BX$1&amp;$W52,装备额外附加!$M:$O,3,0)</f>
        <v>40005</v>
      </c>
      <c r="BY52" s="4">
        <f>VLOOKUP(LOOKUP($Y52,$K$48:$K$55,$L$48:$L$55)&amp;BY$1&amp;$W52,装备额外附加!$M:$O,3,0)</f>
        <v>40006</v>
      </c>
    </row>
    <row r="53" spans="1:77">
      <c r="A53" s="4" t="s">
        <v>103</v>
      </c>
      <c r="B53" s="54">
        <v>51</v>
      </c>
      <c r="C53" s="54">
        <v>0</v>
      </c>
      <c r="D53" s="54">
        <f t="shared" ref="D53:H53" si="59">INT($K39*D$46)</f>
        <v>11</v>
      </c>
      <c r="E53" s="54">
        <f t="shared" si="59"/>
        <v>17</v>
      </c>
      <c r="F53" s="54">
        <f t="shared" si="59"/>
        <v>26</v>
      </c>
      <c r="G53" s="54">
        <f t="shared" si="59"/>
        <v>53</v>
      </c>
      <c r="H53" s="54">
        <f t="shared" si="59"/>
        <v>106</v>
      </c>
      <c r="K53" s="54">
        <v>51</v>
      </c>
      <c r="L53" s="4">
        <v>41</v>
      </c>
      <c r="R53" s="4" t="s">
        <v>279</v>
      </c>
      <c r="S53" s="4" t="str">
        <f t="shared" si="11"/>
        <v>102017</v>
      </c>
      <c r="T53" s="4" t="s">
        <v>280</v>
      </c>
      <c r="U53" s="36">
        <v>10</v>
      </c>
      <c r="V53" s="36" t="str">
        <f t="shared" si="12"/>
        <v>戒指</v>
      </c>
      <c r="W53" s="36" t="str">
        <f t="shared" si="13"/>
        <v>戒指</v>
      </c>
      <c r="X53" s="4">
        <f t="shared" si="14"/>
        <v>7</v>
      </c>
      <c r="Y53" s="4">
        <f t="shared" si="15"/>
        <v>13</v>
      </c>
      <c r="Z53" s="4">
        <f t="shared" si="16"/>
        <v>1</v>
      </c>
      <c r="AA53" s="4" t="str">
        <f t="shared" si="17"/>
        <v>32,38,57,96,160,320</v>
      </c>
      <c r="AB53" s="36">
        <f t="shared" si="18"/>
        <v>40</v>
      </c>
      <c r="AC53" s="36">
        <f t="shared" si="52"/>
        <v>32</v>
      </c>
      <c r="AD53" s="36">
        <f t="shared" si="51"/>
        <v>38</v>
      </c>
      <c r="AE53" s="36">
        <f t="shared" si="51"/>
        <v>57</v>
      </c>
      <c r="AF53" s="36">
        <f t="shared" si="51"/>
        <v>96</v>
      </c>
      <c r="AG53" s="36">
        <f t="shared" si="51"/>
        <v>160</v>
      </c>
      <c r="AH53" s="36">
        <f t="shared" si="42"/>
        <v>320</v>
      </c>
      <c r="AJ53" s="4" t="str">
        <f t="shared" si="21"/>
        <v>160,192,288,480,800,</v>
      </c>
      <c r="AK53" s="36">
        <f t="shared" si="22"/>
        <v>200</v>
      </c>
      <c r="AL53" s="36">
        <f t="shared" si="23"/>
        <v>160</v>
      </c>
      <c r="AM53" s="36">
        <f t="shared" si="23"/>
        <v>192</v>
      </c>
      <c r="AN53" s="36">
        <f t="shared" si="23"/>
        <v>288</v>
      </c>
      <c r="AO53" s="36">
        <f t="shared" si="23"/>
        <v>480</v>
      </c>
      <c r="AP53" s="36">
        <f t="shared" si="23"/>
        <v>800</v>
      </c>
      <c r="AR53" s="4" t="str">
        <f t="shared" si="24"/>
        <v>12800,15360,23040,38400,64000,</v>
      </c>
      <c r="AS53" s="36">
        <f t="shared" si="25"/>
        <v>16000</v>
      </c>
      <c r="AT53" s="36">
        <f t="shared" si="26"/>
        <v>12800</v>
      </c>
      <c r="AU53" s="36">
        <f t="shared" si="26"/>
        <v>15360</v>
      </c>
      <c r="AV53" s="36">
        <f t="shared" si="26"/>
        <v>23040</v>
      </c>
      <c r="AW53" s="36">
        <f t="shared" si="26"/>
        <v>38400</v>
      </c>
      <c r="AX53" s="36">
        <f t="shared" si="26"/>
        <v>64000</v>
      </c>
      <c r="AZ53" s="4">
        <f t="shared" si="27"/>
        <v>25</v>
      </c>
      <c r="BA53" s="4">
        <f t="shared" si="28"/>
        <v>2</v>
      </c>
      <c r="BB53" s="4">
        <f t="shared" si="29"/>
        <v>0</v>
      </c>
      <c r="BC53" s="35" t="str">
        <f t="shared" si="30"/>
        <v>25,</v>
      </c>
      <c r="BD53" s="35" t="str">
        <f t="shared" si="3"/>
        <v>4,</v>
      </c>
      <c r="BE53" s="35" t="str">
        <f t="shared" si="31"/>
        <v/>
      </c>
      <c r="BF53" s="36" t="str">
        <f t="shared" si="32"/>
        <v>1,</v>
      </c>
      <c r="BG53" s="36" t="str">
        <f>IF(BA53=0,"",IF(Z53=0,"3,4,5",VLOOKUP(Z53,{1,3;2,4;3,5},2,0))&amp;",")</f>
        <v>3,</v>
      </c>
      <c r="BH53" s="36" t="str">
        <f t="shared" si="33"/>
        <v/>
      </c>
      <c r="BI53" s="34" t="str">
        <f t="shared" si="34"/>
        <v>1,3</v>
      </c>
      <c r="BJ53" s="34" t="str">
        <f t="shared" si="37"/>
        <v>25,4</v>
      </c>
      <c r="BK53" s="34" t="str">
        <f t="shared" si="35"/>
        <v>0,3,5,7,15,30</v>
      </c>
      <c r="BL53" s="4">
        <f t="shared" si="4"/>
        <v>0</v>
      </c>
      <c r="BM53" s="4">
        <f t="shared" si="5"/>
        <v>3</v>
      </c>
      <c r="BN53" s="4">
        <f t="shared" si="6"/>
        <v>5</v>
      </c>
      <c r="BO53" s="4">
        <f t="shared" si="7"/>
        <v>7</v>
      </c>
      <c r="BP53" s="4">
        <f t="shared" si="8"/>
        <v>15</v>
      </c>
      <c r="BQ53" s="4">
        <f t="shared" si="9"/>
        <v>30</v>
      </c>
      <c r="BR53" s="34" t="str">
        <f t="shared" si="10"/>
        <v>4001,4002,4003,4004,4005,4006</v>
      </c>
      <c r="BS53" s="34" t="str">
        <f t="shared" si="36"/>
        <v>30001,30002,30003,30004,30005,30006</v>
      </c>
      <c r="BT53" s="4">
        <f>VLOOKUP(LOOKUP($Y53,$K$48:$K$55,$L$48:$L$55)&amp;BT$1&amp;$W53,装备额外附加!$M:$O,3,0)</f>
        <v>30001</v>
      </c>
      <c r="BU53" s="4">
        <f>VLOOKUP(LOOKUP($Y53,$K$48:$K$55,$L$48:$L$55)&amp;BU$1&amp;$W53,装备额外附加!$M:$O,3,0)</f>
        <v>30002</v>
      </c>
      <c r="BV53" s="4">
        <f>VLOOKUP(LOOKUP($Y53,$K$48:$K$55,$L$48:$L$55)&amp;BV$1&amp;$W53,装备额外附加!$M:$O,3,0)</f>
        <v>30003</v>
      </c>
      <c r="BW53" s="4">
        <f>VLOOKUP(LOOKUP($Y53,$K$48:$K$55,$L$48:$L$55)&amp;BW$1&amp;$W53,装备额外附加!$M:$O,3,0)</f>
        <v>30004</v>
      </c>
      <c r="BX53" s="4">
        <f>VLOOKUP(LOOKUP($Y53,$K$48:$K$55,$L$48:$L$55)&amp;BX$1&amp;$W53,装备额外附加!$M:$O,3,0)</f>
        <v>30005</v>
      </c>
      <c r="BY53" s="4">
        <f>VLOOKUP(LOOKUP($Y53,$K$48:$K$55,$L$48:$L$55)&amp;BY$1&amp;$W53,装备额外附加!$M:$O,3,0)</f>
        <v>30006</v>
      </c>
    </row>
    <row r="54" spans="1:77">
      <c r="A54" s="4" t="s">
        <v>104</v>
      </c>
      <c r="B54" s="54">
        <v>61</v>
      </c>
      <c r="C54" s="54">
        <v>0</v>
      </c>
      <c r="D54" s="54">
        <f t="shared" ref="D54:H54" si="60">INT($K40*D$46)</f>
        <v>16</v>
      </c>
      <c r="E54" s="54">
        <f t="shared" si="60"/>
        <v>24</v>
      </c>
      <c r="F54" s="54">
        <f t="shared" si="60"/>
        <v>36</v>
      </c>
      <c r="G54" s="54">
        <f t="shared" si="60"/>
        <v>72</v>
      </c>
      <c r="H54" s="54">
        <f t="shared" si="60"/>
        <v>145</v>
      </c>
      <c r="K54" s="54">
        <v>61</v>
      </c>
      <c r="L54" s="4">
        <v>61</v>
      </c>
      <c r="R54" s="4" t="s">
        <v>281</v>
      </c>
      <c r="S54" s="4" t="str">
        <f t="shared" si="11"/>
        <v>102028</v>
      </c>
      <c r="T54" s="4" t="s">
        <v>282</v>
      </c>
      <c r="U54" s="36">
        <v>10</v>
      </c>
      <c r="V54" s="36" t="str">
        <f t="shared" si="12"/>
        <v>项链</v>
      </c>
      <c r="W54" s="36" t="str">
        <f t="shared" si="13"/>
        <v>项链</v>
      </c>
      <c r="X54" s="4">
        <f t="shared" si="14"/>
        <v>8</v>
      </c>
      <c r="Y54" s="4">
        <f t="shared" si="15"/>
        <v>14</v>
      </c>
      <c r="Z54" s="4">
        <f t="shared" si="16"/>
        <v>2</v>
      </c>
      <c r="AA54" s="4" t="str">
        <f t="shared" si="17"/>
        <v>36,43,64,108,180,360</v>
      </c>
      <c r="AB54" s="36">
        <f t="shared" si="18"/>
        <v>40</v>
      </c>
      <c r="AC54" s="36">
        <f t="shared" si="52"/>
        <v>36</v>
      </c>
      <c r="AD54" s="36">
        <f t="shared" si="51"/>
        <v>43</v>
      </c>
      <c r="AE54" s="36">
        <f t="shared" si="51"/>
        <v>64</v>
      </c>
      <c r="AF54" s="36">
        <f t="shared" si="51"/>
        <v>108</v>
      </c>
      <c r="AG54" s="36">
        <f t="shared" si="51"/>
        <v>180</v>
      </c>
      <c r="AH54" s="36">
        <f t="shared" si="42"/>
        <v>360</v>
      </c>
      <c r="AJ54" s="4" t="str">
        <f t="shared" si="21"/>
        <v>180,216,324,540,900,</v>
      </c>
      <c r="AK54" s="36">
        <f t="shared" si="22"/>
        <v>200</v>
      </c>
      <c r="AL54" s="36">
        <f t="shared" si="23"/>
        <v>180</v>
      </c>
      <c r="AM54" s="36">
        <f t="shared" si="23"/>
        <v>216</v>
      </c>
      <c r="AN54" s="36">
        <f t="shared" si="23"/>
        <v>324</v>
      </c>
      <c r="AO54" s="36">
        <f t="shared" si="23"/>
        <v>540</v>
      </c>
      <c r="AP54" s="36">
        <f t="shared" si="23"/>
        <v>900</v>
      </c>
      <c r="AR54" s="4" t="str">
        <f t="shared" si="24"/>
        <v>14400,17280,25920,43200,72000,</v>
      </c>
      <c r="AS54" s="36">
        <f t="shared" si="25"/>
        <v>16000</v>
      </c>
      <c r="AT54" s="36">
        <f t="shared" si="26"/>
        <v>14400</v>
      </c>
      <c r="AU54" s="36">
        <f t="shared" si="26"/>
        <v>17280</v>
      </c>
      <c r="AV54" s="36">
        <f t="shared" si="26"/>
        <v>25920</v>
      </c>
      <c r="AW54" s="36">
        <f t="shared" si="26"/>
        <v>43200</v>
      </c>
      <c r="AX54" s="36">
        <f t="shared" si="26"/>
        <v>72000</v>
      </c>
      <c r="AZ54" s="4">
        <f t="shared" si="27"/>
        <v>0</v>
      </c>
      <c r="BA54" s="4">
        <f t="shared" si="28"/>
        <v>3</v>
      </c>
      <c r="BB54" s="4">
        <f t="shared" si="29"/>
        <v>1</v>
      </c>
      <c r="BC54" s="35" t="str">
        <f t="shared" si="30"/>
        <v/>
      </c>
      <c r="BD54" s="35" t="str">
        <f t="shared" si="3"/>
        <v>6,</v>
      </c>
      <c r="BE54" s="35" t="str">
        <f t="shared" si="31"/>
        <v>1,</v>
      </c>
      <c r="BF54" s="36" t="str">
        <f t="shared" si="32"/>
        <v/>
      </c>
      <c r="BG54" s="36" t="str">
        <f>IF(BA54=0,"",IF(Z54=0,"3,4,5",VLOOKUP(Z54,{1,3;2,4;3,5},2,0))&amp;",")</f>
        <v>4,</v>
      </c>
      <c r="BH54" s="36" t="str">
        <f t="shared" si="33"/>
        <v>6,</v>
      </c>
      <c r="BI54" s="34" t="str">
        <f t="shared" si="34"/>
        <v>4,6</v>
      </c>
      <c r="BJ54" s="34" t="str">
        <f t="shared" si="37"/>
        <v>6,1</v>
      </c>
      <c r="BK54" s="34" t="str">
        <f t="shared" si="35"/>
        <v>0,3,5,7,15,30</v>
      </c>
      <c r="BL54" s="4">
        <f t="shared" si="4"/>
        <v>0</v>
      </c>
      <c r="BM54" s="4">
        <f t="shared" si="5"/>
        <v>3</v>
      </c>
      <c r="BN54" s="4">
        <f t="shared" si="6"/>
        <v>5</v>
      </c>
      <c r="BO54" s="4">
        <f t="shared" si="7"/>
        <v>7</v>
      </c>
      <c r="BP54" s="4">
        <f t="shared" si="8"/>
        <v>15</v>
      </c>
      <c r="BQ54" s="4">
        <f t="shared" si="9"/>
        <v>30</v>
      </c>
      <c r="BR54" s="34" t="str">
        <f t="shared" si="10"/>
        <v>2001,2002,2003,2004,2005,2006</v>
      </c>
      <c r="BS54" s="34" t="str">
        <f t="shared" si="36"/>
        <v>50001,50002,50003,50004,50005,50006</v>
      </c>
      <c r="BT54" s="4">
        <f>VLOOKUP(LOOKUP($Y54,$K$48:$K$55,$L$48:$L$55)&amp;BT$1&amp;$W54,装备额外附加!$M:$O,3,0)</f>
        <v>50001</v>
      </c>
      <c r="BU54" s="4">
        <f>VLOOKUP(LOOKUP($Y54,$K$48:$K$55,$L$48:$L$55)&amp;BU$1&amp;$W54,装备额外附加!$M:$O,3,0)</f>
        <v>50002</v>
      </c>
      <c r="BV54" s="4">
        <f>VLOOKUP(LOOKUP($Y54,$K$48:$K$55,$L$48:$L$55)&amp;BV$1&amp;$W54,装备额外附加!$M:$O,3,0)</f>
        <v>50003</v>
      </c>
      <c r="BW54" s="4">
        <f>VLOOKUP(LOOKUP($Y54,$K$48:$K$55,$L$48:$L$55)&amp;BW$1&amp;$W54,装备额外附加!$M:$O,3,0)</f>
        <v>50004</v>
      </c>
      <c r="BX54" s="4">
        <f>VLOOKUP(LOOKUP($Y54,$K$48:$K$55,$L$48:$L$55)&amp;BX$1&amp;$W54,装备额外附加!$M:$O,3,0)</f>
        <v>50005</v>
      </c>
      <c r="BY54" s="4">
        <f>VLOOKUP(LOOKUP($Y54,$K$48:$K$55,$L$48:$L$55)&amp;BY$1&amp;$W54,装备额外附加!$M:$O,3,0)</f>
        <v>50006</v>
      </c>
    </row>
    <row r="55" spans="1:77">
      <c r="A55" s="4" t="s">
        <v>105</v>
      </c>
      <c r="B55" s="54">
        <v>71</v>
      </c>
      <c r="C55" s="54">
        <v>0</v>
      </c>
      <c r="D55" s="54">
        <f t="shared" ref="D55:H55" si="61">INT($K41*D$46)</f>
        <v>22</v>
      </c>
      <c r="E55" s="54">
        <f t="shared" si="61"/>
        <v>33</v>
      </c>
      <c r="F55" s="54">
        <f t="shared" si="61"/>
        <v>50</v>
      </c>
      <c r="G55" s="54">
        <f t="shared" si="61"/>
        <v>100</v>
      </c>
      <c r="H55" s="54">
        <f t="shared" si="61"/>
        <v>200</v>
      </c>
      <c r="K55" s="54">
        <v>71</v>
      </c>
      <c r="L55" s="4">
        <v>61</v>
      </c>
      <c r="R55" s="4" t="s">
        <v>283</v>
      </c>
      <c r="S55" s="4" t="str">
        <f t="shared" si="11"/>
        <v>102026</v>
      </c>
      <c r="T55" s="4" t="s">
        <v>284</v>
      </c>
      <c r="U55" s="36">
        <v>10</v>
      </c>
      <c r="V55" s="36" t="str">
        <f t="shared" si="12"/>
        <v>手镯</v>
      </c>
      <c r="W55" s="36" t="str">
        <f t="shared" si="13"/>
        <v>手镯</v>
      </c>
      <c r="X55" s="4">
        <f t="shared" si="14"/>
        <v>6</v>
      </c>
      <c r="Y55" s="4">
        <f t="shared" si="15"/>
        <v>16</v>
      </c>
      <c r="Z55" s="4">
        <f t="shared" si="16"/>
        <v>2</v>
      </c>
      <c r="AA55" s="4" t="str">
        <f t="shared" si="17"/>
        <v>32,38,57,96,160,320</v>
      </c>
      <c r="AB55" s="36">
        <f t="shared" si="18"/>
        <v>40</v>
      </c>
      <c r="AC55" s="36">
        <f t="shared" si="52"/>
        <v>32</v>
      </c>
      <c r="AD55" s="36">
        <f t="shared" si="51"/>
        <v>38</v>
      </c>
      <c r="AE55" s="36">
        <f t="shared" si="51"/>
        <v>57</v>
      </c>
      <c r="AF55" s="36">
        <f t="shared" si="51"/>
        <v>96</v>
      </c>
      <c r="AG55" s="36">
        <f t="shared" si="51"/>
        <v>160</v>
      </c>
      <c r="AH55" s="36">
        <f t="shared" si="42"/>
        <v>320</v>
      </c>
      <c r="AJ55" s="4" t="str">
        <f t="shared" si="21"/>
        <v>160,192,288,480,800,</v>
      </c>
      <c r="AK55" s="36">
        <f t="shared" si="22"/>
        <v>200</v>
      </c>
      <c r="AL55" s="36">
        <f t="shared" si="23"/>
        <v>160</v>
      </c>
      <c r="AM55" s="36">
        <f t="shared" si="23"/>
        <v>192</v>
      </c>
      <c r="AN55" s="36">
        <f t="shared" si="23"/>
        <v>288</v>
      </c>
      <c r="AO55" s="36">
        <f t="shared" si="23"/>
        <v>480</v>
      </c>
      <c r="AP55" s="36">
        <f t="shared" si="23"/>
        <v>800</v>
      </c>
      <c r="AR55" s="4" t="str">
        <f t="shared" si="24"/>
        <v>12800,15360,23040,38400,64000,</v>
      </c>
      <c r="AS55" s="36">
        <f t="shared" si="25"/>
        <v>16000</v>
      </c>
      <c r="AT55" s="36">
        <f t="shared" si="26"/>
        <v>12800</v>
      </c>
      <c r="AU55" s="36">
        <f t="shared" si="26"/>
        <v>15360</v>
      </c>
      <c r="AV55" s="36">
        <f t="shared" si="26"/>
        <v>23040</v>
      </c>
      <c r="AW55" s="36">
        <f t="shared" si="26"/>
        <v>38400</v>
      </c>
      <c r="AX55" s="36">
        <f t="shared" si="26"/>
        <v>64000</v>
      </c>
      <c r="AZ55" s="4">
        <f t="shared" si="27"/>
        <v>25</v>
      </c>
      <c r="BA55" s="4">
        <f t="shared" si="28"/>
        <v>2</v>
      </c>
      <c r="BB55" s="4">
        <f t="shared" si="29"/>
        <v>0</v>
      </c>
      <c r="BC55" s="35" t="str">
        <f t="shared" si="30"/>
        <v>25,</v>
      </c>
      <c r="BD55" s="35" t="str">
        <f t="shared" si="3"/>
        <v>4,</v>
      </c>
      <c r="BE55" s="35" t="str">
        <f t="shared" si="31"/>
        <v/>
      </c>
      <c r="BF55" s="36" t="str">
        <f t="shared" si="32"/>
        <v>1,</v>
      </c>
      <c r="BG55" s="36" t="str">
        <f>IF(BA55=0,"",IF(Z55=0,"3,4,5",VLOOKUP(Z55,{1,3;2,4;3,5},2,0))&amp;",")</f>
        <v>4,</v>
      </c>
      <c r="BH55" s="36" t="str">
        <f t="shared" si="33"/>
        <v/>
      </c>
      <c r="BI55" s="34" t="str">
        <f t="shared" si="34"/>
        <v>1,4</v>
      </c>
      <c r="BJ55" s="34" t="str">
        <f t="shared" si="37"/>
        <v>25,4</v>
      </c>
      <c r="BK55" s="34" t="str">
        <f t="shared" si="35"/>
        <v>0,3,5,7,15,30</v>
      </c>
      <c r="BL55" s="4">
        <f t="shared" si="4"/>
        <v>0</v>
      </c>
      <c r="BM55" s="4">
        <f t="shared" si="5"/>
        <v>3</v>
      </c>
      <c r="BN55" s="4">
        <f t="shared" si="6"/>
        <v>5</v>
      </c>
      <c r="BO55" s="4">
        <f t="shared" si="7"/>
        <v>7</v>
      </c>
      <c r="BP55" s="4">
        <f t="shared" si="8"/>
        <v>15</v>
      </c>
      <c r="BQ55" s="4">
        <f t="shared" si="9"/>
        <v>30</v>
      </c>
      <c r="BR55" s="34" t="str">
        <f t="shared" si="10"/>
        <v>3001,3002,3003,3004,3005,3006</v>
      </c>
      <c r="BS55" s="34" t="str">
        <f t="shared" si="36"/>
        <v>40001,40002,40003,40004,40005,40006</v>
      </c>
      <c r="BT55" s="4">
        <f>VLOOKUP(LOOKUP($Y55,$K$48:$K$55,$L$48:$L$55)&amp;BT$1&amp;$W55,装备额外附加!$M:$O,3,0)</f>
        <v>40001</v>
      </c>
      <c r="BU55" s="4">
        <f>VLOOKUP(LOOKUP($Y55,$K$48:$K$55,$L$48:$L$55)&amp;BU$1&amp;$W55,装备额外附加!$M:$O,3,0)</f>
        <v>40002</v>
      </c>
      <c r="BV55" s="4">
        <f>VLOOKUP(LOOKUP($Y55,$K$48:$K$55,$L$48:$L$55)&amp;BV$1&amp;$W55,装备额外附加!$M:$O,3,0)</f>
        <v>40003</v>
      </c>
      <c r="BW55" s="4">
        <f>VLOOKUP(LOOKUP($Y55,$K$48:$K$55,$L$48:$L$55)&amp;BW$1&amp;$W55,装备额外附加!$M:$O,3,0)</f>
        <v>40004</v>
      </c>
      <c r="BX55" s="4">
        <f>VLOOKUP(LOOKUP($Y55,$K$48:$K$55,$L$48:$L$55)&amp;BX$1&amp;$W55,装备额外附加!$M:$O,3,0)</f>
        <v>40005</v>
      </c>
      <c r="BY55" s="4">
        <f>VLOOKUP(LOOKUP($Y55,$K$48:$K$55,$L$48:$L$55)&amp;BY$1&amp;$W55,装备额外附加!$M:$O,3,0)</f>
        <v>40006</v>
      </c>
    </row>
    <row r="56" spans="18:77">
      <c r="R56" s="4" t="s">
        <v>285</v>
      </c>
      <c r="S56" s="4" t="str">
        <f t="shared" si="11"/>
        <v>102027</v>
      </c>
      <c r="T56" s="4" t="s">
        <v>286</v>
      </c>
      <c r="U56" s="36">
        <v>10</v>
      </c>
      <c r="V56" s="36" t="str">
        <f t="shared" si="12"/>
        <v>戒指</v>
      </c>
      <c r="W56" s="36" t="str">
        <f t="shared" si="13"/>
        <v>戒指</v>
      </c>
      <c r="X56" s="4">
        <f t="shared" si="14"/>
        <v>7</v>
      </c>
      <c r="Y56" s="4">
        <f t="shared" si="15"/>
        <v>13</v>
      </c>
      <c r="Z56" s="4">
        <f t="shared" si="16"/>
        <v>2</v>
      </c>
      <c r="AA56" s="4" t="str">
        <f t="shared" si="17"/>
        <v>32,38,57,96,160,320</v>
      </c>
      <c r="AB56" s="36">
        <f t="shared" si="18"/>
        <v>40</v>
      </c>
      <c r="AC56" s="36">
        <f t="shared" si="52"/>
        <v>32</v>
      </c>
      <c r="AD56" s="36">
        <f t="shared" si="51"/>
        <v>38</v>
      </c>
      <c r="AE56" s="36">
        <f t="shared" si="51"/>
        <v>57</v>
      </c>
      <c r="AF56" s="36">
        <f t="shared" si="51"/>
        <v>96</v>
      </c>
      <c r="AG56" s="36">
        <f t="shared" si="51"/>
        <v>160</v>
      </c>
      <c r="AH56" s="36">
        <f t="shared" si="42"/>
        <v>320</v>
      </c>
      <c r="AJ56" s="4" t="str">
        <f t="shared" si="21"/>
        <v>160,192,288,480,800,</v>
      </c>
      <c r="AK56" s="36">
        <f t="shared" si="22"/>
        <v>200</v>
      </c>
      <c r="AL56" s="36">
        <f t="shared" si="23"/>
        <v>160</v>
      </c>
      <c r="AM56" s="36">
        <f t="shared" si="23"/>
        <v>192</v>
      </c>
      <c r="AN56" s="36">
        <f t="shared" si="23"/>
        <v>288</v>
      </c>
      <c r="AO56" s="36">
        <f t="shared" si="23"/>
        <v>480</v>
      </c>
      <c r="AP56" s="36">
        <f t="shared" si="23"/>
        <v>800</v>
      </c>
      <c r="AR56" s="4" t="str">
        <f t="shared" si="24"/>
        <v>12800,15360,23040,38400,64000,</v>
      </c>
      <c r="AS56" s="36">
        <f t="shared" si="25"/>
        <v>16000</v>
      </c>
      <c r="AT56" s="36">
        <f t="shared" si="26"/>
        <v>12800</v>
      </c>
      <c r="AU56" s="36">
        <f t="shared" si="26"/>
        <v>15360</v>
      </c>
      <c r="AV56" s="36">
        <f t="shared" si="26"/>
        <v>23040</v>
      </c>
      <c r="AW56" s="36">
        <f t="shared" si="26"/>
        <v>38400</v>
      </c>
      <c r="AX56" s="36">
        <f t="shared" si="26"/>
        <v>64000</v>
      </c>
      <c r="AZ56" s="4">
        <f t="shared" si="27"/>
        <v>25</v>
      </c>
      <c r="BA56" s="4">
        <f t="shared" si="28"/>
        <v>2</v>
      </c>
      <c r="BB56" s="4">
        <f t="shared" si="29"/>
        <v>0</v>
      </c>
      <c r="BC56" s="35" t="str">
        <f t="shared" si="30"/>
        <v>25,</v>
      </c>
      <c r="BD56" s="35" t="str">
        <f t="shared" si="3"/>
        <v>4,</v>
      </c>
      <c r="BE56" s="35" t="str">
        <f t="shared" si="31"/>
        <v/>
      </c>
      <c r="BF56" s="36" t="str">
        <f t="shared" si="32"/>
        <v>1,</v>
      </c>
      <c r="BG56" s="36" t="str">
        <f>IF(BA56=0,"",IF(Z56=0,"3,4,5",VLOOKUP(Z56,{1,3;2,4;3,5},2,0))&amp;",")</f>
        <v>4,</v>
      </c>
      <c r="BH56" s="36" t="str">
        <f t="shared" si="33"/>
        <v/>
      </c>
      <c r="BI56" s="34" t="str">
        <f t="shared" si="34"/>
        <v>1,4</v>
      </c>
      <c r="BJ56" s="34" t="str">
        <f t="shared" si="37"/>
        <v>25,4</v>
      </c>
      <c r="BK56" s="34" t="str">
        <f t="shared" si="35"/>
        <v>0,3,5,7,15,30</v>
      </c>
      <c r="BL56" s="4">
        <f t="shared" si="4"/>
        <v>0</v>
      </c>
      <c r="BM56" s="4">
        <f t="shared" si="5"/>
        <v>3</v>
      </c>
      <c r="BN56" s="4">
        <f t="shared" si="6"/>
        <v>5</v>
      </c>
      <c r="BO56" s="4">
        <f t="shared" si="7"/>
        <v>7</v>
      </c>
      <c r="BP56" s="4">
        <f t="shared" si="8"/>
        <v>15</v>
      </c>
      <c r="BQ56" s="4">
        <f t="shared" si="9"/>
        <v>30</v>
      </c>
      <c r="BR56" s="34" t="str">
        <f t="shared" si="10"/>
        <v>4001,4002,4003,4004,4005,4006</v>
      </c>
      <c r="BS56" s="34" t="str">
        <f t="shared" si="36"/>
        <v>30001,30002,30003,30004,30005,30006</v>
      </c>
      <c r="BT56" s="4">
        <f>VLOOKUP(LOOKUP($Y56,$K$48:$K$55,$L$48:$L$55)&amp;BT$1&amp;$W56,装备额外附加!$M:$O,3,0)</f>
        <v>30001</v>
      </c>
      <c r="BU56" s="4">
        <f>VLOOKUP(LOOKUP($Y56,$K$48:$K$55,$L$48:$L$55)&amp;BU$1&amp;$W56,装备额外附加!$M:$O,3,0)</f>
        <v>30002</v>
      </c>
      <c r="BV56" s="4">
        <f>VLOOKUP(LOOKUP($Y56,$K$48:$K$55,$L$48:$L$55)&amp;BV$1&amp;$W56,装备额外附加!$M:$O,3,0)</f>
        <v>30003</v>
      </c>
      <c r="BW56" s="4">
        <f>VLOOKUP(LOOKUP($Y56,$K$48:$K$55,$L$48:$L$55)&amp;BW$1&amp;$W56,装备额外附加!$M:$O,3,0)</f>
        <v>30004</v>
      </c>
      <c r="BX56" s="4">
        <f>VLOOKUP(LOOKUP($Y56,$K$48:$K$55,$L$48:$L$55)&amp;BX$1&amp;$W56,装备额外附加!$M:$O,3,0)</f>
        <v>30005</v>
      </c>
      <c r="BY56" s="4">
        <f>VLOOKUP(LOOKUP($Y56,$K$48:$K$55,$L$48:$L$55)&amp;BY$1&amp;$W56,装备额外附加!$M:$O,3,0)</f>
        <v>30006</v>
      </c>
    </row>
    <row r="57" spans="18:77">
      <c r="R57" s="4" t="s">
        <v>287</v>
      </c>
      <c r="S57" s="4" t="str">
        <f t="shared" si="11"/>
        <v>102038</v>
      </c>
      <c r="T57" s="4" t="s">
        <v>288</v>
      </c>
      <c r="U57" s="36">
        <v>10</v>
      </c>
      <c r="V57" s="36" t="str">
        <f t="shared" si="12"/>
        <v>项链</v>
      </c>
      <c r="W57" s="36" t="str">
        <f t="shared" si="13"/>
        <v>项链</v>
      </c>
      <c r="X57" s="4">
        <f t="shared" si="14"/>
        <v>8</v>
      </c>
      <c r="Y57" s="4">
        <f t="shared" si="15"/>
        <v>14</v>
      </c>
      <c r="Z57" s="4">
        <f t="shared" si="16"/>
        <v>3</v>
      </c>
      <c r="AA57" s="4" t="str">
        <f t="shared" si="17"/>
        <v>36,43,64,108,180,360</v>
      </c>
      <c r="AB57" s="36">
        <f t="shared" si="18"/>
        <v>40</v>
      </c>
      <c r="AC57" s="36">
        <f t="shared" si="52"/>
        <v>36</v>
      </c>
      <c r="AD57" s="36">
        <f t="shared" si="51"/>
        <v>43</v>
      </c>
      <c r="AE57" s="36">
        <f t="shared" si="51"/>
        <v>64</v>
      </c>
      <c r="AF57" s="36">
        <f t="shared" si="51"/>
        <v>108</v>
      </c>
      <c r="AG57" s="36">
        <f t="shared" si="51"/>
        <v>180</v>
      </c>
      <c r="AH57" s="36">
        <f t="shared" si="42"/>
        <v>360</v>
      </c>
      <c r="AJ57" s="4" t="str">
        <f t="shared" si="21"/>
        <v>180,216,324,540,900,</v>
      </c>
      <c r="AK57" s="36">
        <f t="shared" si="22"/>
        <v>200</v>
      </c>
      <c r="AL57" s="36">
        <f t="shared" si="23"/>
        <v>180</v>
      </c>
      <c r="AM57" s="36">
        <f t="shared" si="23"/>
        <v>216</v>
      </c>
      <c r="AN57" s="36">
        <f t="shared" si="23"/>
        <v>324</v>
      </c>
      <c r="AO57" s="36">
        <f t="shared" si="23"/>
        <v>540</v>
      </c>
      <c r="AP57" s="36">
        <f t="shared" si="23"/>
        <v>900</v>
      </c>
      <c r="AR57" s="4" t="str">
        <f t="shared" si="24"/>
        <v>14400,17280,25920,43200,72000,</v>
      </c>
      <c r="AS57" s="36">
        <f t="shared" si="25"/>
        <v>16000</v>
      </c>
      <c r="AT57" s="36">
        <f t="shared" si="26"/>
        <v>14400</v>
      </c>
      <c r="AU57" s="36">
        <f t="shared" si="26"/>
        <v>17280</v>
      </c>
      <c r="AV57" s="36">
        <f t="shared" si="26"/>
        <v>25920</v>
      </c>
      <c r="AW57" s="36">
        <f t="shared" si="26"/>
        <v>43200</v>
      </c>
      <c r="AX57" s="36">
        <f t="shared" si="26"/>
        <v>72000</v>
      </c>
      <c r="AZ57" s="4">
        <f t="shared" si="27"/>
        <v>0</v>
      </c>
      <c r="BA57" s="4">
        <f t="shared" si="28"/>
        <v>3</v>
      </c>
      <c r="BB57" s="4">
        <f t="shared" si="29"/>
        <v>1</v>
      </c>
      <c r="BC57" s="35" t="str">
        <f t="shared" si="30"/>
        <v/>
      </c>
      <c r="BD57" s="35" t="str">
        <f t="shared" si="3"/>
        <v>6,</v>
      </c>
      <c r="BE57" s="35" t="str">
        <f t="shared" si="31"/>
        <v>1,</v>
      </c>
      <c r="BF57" s="36" t="str">
        <f t="shared" si="32"/>
        <v/>
      </c>
      <c r="BG57" s="36" t="str">
        <f>IF(BA57=0,"",IF(Z57=0,"3,4,5",VLOOKUP(Z57,{1,3;2,4;3,5},2,0))&amp;",")</f>
        <v>5,</v>
      </c>
      <c r="BH57" s="36" t="str">
        <f t="shared" si="33"/>
        <v>6,</v>
      </c>
      <c r="BI57" s="34" t="str">
        <f t="shared" si="34"/>
        <v>5,6</v>
      </c>
      <c r="BJ57" s="34" t="str">
        <f t="shared" si="37"/>
        <v>6,1</v>
      </c>
      <c r="BK57" s="34" t="str">
        <f t="shared" si="35"/>
        <v>0,3,5,7,15,30</v>
      </c>
      <c r="BL57" s="4">
        <f t="shared" si="4"/>
        <v>0</v>
      </c>
      <c r="BM57" s="4">
        <f t="shared" si="5"/>
        <v>3</v>
      </c>
      <c r="BN57" s="4">
        <f t="shared" si="6"/>
        <v>5</v>
      </c>
      <c r="BO57" s="4">
        <f t="shared" si="7"/>
        <v>7</v>
      </c>
      <c r="BP57" s="4">
        <f t="shared" si="8"/>
        <v>15</v>
      </c>
      <c r="BQ57" s="4">
        <f t="shared" si="9"/>
        <v>30</v>
      </c>
      <c r="BR57" s="34" t="str">
        <f t="shared" si="10"/>
        <v>2001,2002,2003,2004,2005,2006</v>
      </c>
      <c r="BS57" s="34" t="str">
        <f t="shared" si="36"/>
        <v>50001,50002,50003,50004,50005,50006</v>
      </c>
      <c r="BT57" s="4">
        <f>VLOOKUP(LOOKUP($Y57,$K$48:$K$55,$L$48:$L$55)&amp;BT$1&amp;$W57,装备额外附加!$M:$O,3,0)</f>
        <v>50001</v>
      </c>
      <c r="BU57" s="4">
        <f>VLOOKUP(LOOKUP($Y57,$K$48:$K$55,$L$48:$L$55)&amp;BU$1&amp;$W57,装备额外附加!$M:$O,3,0)</f>
        <v>50002</v>
      </c>
      <c r="BV57" s="4">
        <f>VLOOKUP(LOOKUP($Y57,$K$48:$K$55,$L$48:$L$55)&amp;BV$1&amp;$W57,装备额外附加!$M:$O,3,0)</f>
        <v>50003</v>
      </c>
      <c r="BW57" s="4">
        <f>VLOOKUP(LOOKUP($Y57,$K$48:$K$55,$L$48:$L$55)&amp;BW$1&amp;$W57,装备额外附加!$M:$O,3,0)</f>
        <v>50004</v>
      </c>
      <c r="BX57" s="4">
        <f>VLOOKUP(LOOKUP($Y57,$K$48:$K$55,$L$48:$L$55)&amp;BX$1&amp;$W57,装备额外附加!$M:$O,3,0)</f>
        <v>50005</v>
      </c>
      <c r="BY57" s="4">
        <f>VLOOKUP(LOOKUP($Y57,$K$48:$K$55,$L$48:$L$55)&amp;BY$1&amp;$W57,装备额外附加!$M:$O,3,0)</f>
        <v>50006</v>
      </c>
    </row>
    <row r="58" spans="1:77">
      <c r="A58" s="47" t="s">
        <v>289</v>
      </c>
      <c r="C58" s="4">
        <v>0</v>
      </c>
      <c r="D58" s="4">
        <v>1</v>
      </c>
      <c r="E58" s="4">
        <v>2</v>
      </c>
      <c r="F58" s="4">
        <v>3</v>
      </c>
      <c r="R58" s="4" t="s">
        <v>290</v>
      </c>
      <c r="S58" s="4" t="str">
        <f t="shared" si="11"/>
        <v>102036</v>
      </c>
      <c r="T58" s="4" t="s">
        <v>291</v>
      </c>
      <c r="U58" s="36">
        <v>10</v>
      </c>
      <c r="V58" s="36" t="str">
        <f t="shared" si="12"/>
        <v>手镯</v>
      </c>
      <c r="W58" s="36" t="str">
        <f t="shared" si="13"/>
        <v>手镯</v>
      </c>
      <c r="X58" s="4">
        <f t="shared" si="14"/>
        <v>6</v>
      </c>
      <c r="Y58" s="4">
        <f t="shared" si="15"/>
        <v>16</v>
      </c>
      <c r="Z58" s="4">
        <f t="shared" si="16"/>
        <v>3</v>
      </c>
      <c r="AA58" s="4" t="str">
        <f t="shared" si="17"/>
        <v>32,38,57,96,160,320</v>
      </c>
      <c r="AB58" s="36">
        <f t="shared" si="18"/>
        <v>40</v>
      </c>
      <c r="AC58" s="36">
        <f t="shared" si="52"/>
        <v>32</v>
      </c>
      <c r="AD58" s="36">
        <f t="shared" ref="AD58:AG77" si="62">INT($AB58*VLOOKUP(AD$1,$B$11:$L$16,11,0)*VLOOKUP($V58,$C$22:$M$29,11,0))</f>
        <v>38</v>
      </c>
      <c r="AE58" s="36">
        <f t="shared" si="62"/>
        <v>57</v>
      </c>
      <c r="AF58" s="36">
        <f t="shared" si="62"/>
        <v>96</v>
      </c>
      <c r="AG58" s="36">
        <f t="shared" si="62"/>
        <v>160</v>
      </c>
      <c r="AH58" s="36">
        <f t="shared" si="42"/>
        <v>320</v>
      </c>
      <c r="AJ58" s="4" t="str">
        <f t="shared" si="21"/>
        <v>160,192,288,480,800,</v>
      </c>
      <c r="AK58" s="36">
        <f t="shared" si="22"/>
        <v>200</v>
      </c>
      <c r="AL58" s="36">
        <f t="shared" si="23"/>
        <v>160</v>
      </c>
      <c r="AM58" s="36">
        <f t="shared" si="23"/>
        <v>192</v>
      </c>
      <c r="AN58" s="36">
        <f t="shared" si="23"/>
        <v>288</v>
      </c>
      <c r="AO58" s="36">
        <f t="shared" si="23"/>
        <v>480</v>
      </c>
      <c r="AP58" s="36">
        <f t="shared" si="23"/>
        <v>800</v>
      </c>
      <c r="AR58" s="4" t="str">
        <f t="shared" si="24"/>
        <v>12800,15360,23040,38400,64000,</v>
      </c>
      <c r="AS58" s="36">
        <f t="shared" si="25"/>
        <v>16000</v>
      </c>
      <c r="AT58" s="36">
        <f t="shared" si="26"/>
        <v>12800</v>
      </c>
      <c r="AU58" s="36">
        <f t="shared" si="26"/>
        <v>15360</v>
      </c>
      <c r="AV58" s="36">
        <f t="shared" si="26"/>
        <v>23040</v>
      </c>
      <c r="AW58" s="36">
        <f t="shared" si="26"/>
        <v>38400</v>
      </c>
      <c r="AX58" s="36">
        <f t="shared" si="26"/>
        <v>64000</v>
      </c>
      <c r="AZ58" s="4">
        <f t="shared" si="27"/>
        <v>25</v>
      </c>
      <c r="BA58" s="4">
        <f t="shared" si="28"/>
        <v>2</v>
      </c>
      <c r="BB58" s="4">
        <f t="shared" si="29"/>
        <v>0</v>
      </c>
      <c r="BC58" s="35" t="str">
        <f t="shared" si="30"/>
        <v>25,</v>
      </c>
      <c r="BD58" s="35" t="str">
        <f t="shared" si="3"/>
        <v>4,</v>
      </c>
      <c r="BE58" s="35" t="str">
        <f t="shared" si="31"/>
        <v/>
      </c>
      <c r="BF58" s="36" t="str">
        <f t="shared" si="32"/>
        <v>1,</v>
      </c>
      <c r="BG58" s="36" t="str">
        <f>IF(BA58=0,"",IF(Z58=0,"3,4,5",VLOOKUP(Z58,{1,3;2,4;3,5},2,0))&amp;",")</f>
        <v>5,</v>
      </c>
      <c r="BH58" s="36" t="str">
        <f t="shared" si="33"/>
        <v/>
      </c>
      <c r="BI58" s="34" t="str">
        <f t="shared" si="34"/>
        <v>1,5</v>
      </c>
      <c r="BJ58" s="34" t="str">
        <f t="shared" si="37"/>
        <v>25,4</v>
      </c>
      <c r="BK58" s="34" t="str">
        <f t="shared" si="35"/>
        <v>0,3,5,7,15,30</v>
      </c>
      <c r="BL58" s="4">
        <f t="shared" si="4"/>
        <v>0</v>
      </c>
      <c r="BM58" s="4">
        <f t="shared" si="5"/>
        <v>3</v>
      </c>
      <c r="BN58" s="4">
        <f t="shared" si="6"/>
        <v>5</v>
      </c>
      <c r="BO58" s="4">
        <f t="shared" si="7"/>
        <v>7</v>
      </c>
      <c r="BP58" s="4">
        <f t="shared" si="8"/>
        <v>15</v>
      </c>
      <c r="BQ58" s="4">
        <f t="shared" si="9"/>
        <v>30</v>
      </c>
      <c r="BR58" s="34" t="str">
        <f t="shared" si="10"/>
        <v>3001,3002,3003,3004,3005,3006</v>
      </c>
      <c r="BS58" s="34" t="str">
        <f t="shared" si="36"/>
        <v>40001,40002,40003,40004,40005,40006</v>
      </c>
      <c r="BT58" s="4">
        <f>VLOOKUP(LOOKUP($Y58,$K$48:$K$55,$L$48:$L$55)&amp;BT$1&amp;$W58,装备额外附加!$M:$O,3,0)</f>
        <v>40001</v>
      </c>
      <c r="BU58" s="4">
        <f>VLOOKUP(LOOKUP($Y58,$K$48:$K$55,$L$48:$L$55)&amp;BU$1&amp;$W58,装备额外附加!$M:$O,3,0)</f>
        <v>40002</v>
      </c>
      <c r="BV58" s="4">
        <f>VLOOKUP(LOOKUP($Y58,$K$48:$K$55,$L$48:$L$55)&amp;BV$1&amp;$W58,装备额外附加!$M:$O,3,0)</f>
        <v>40003</v>
      </c>
      <c r="BW58" s="4">
        <f>VLOOKUP(LOOKUP($Y58,$K$48:$K$55,$L$48:$L$55)&amp;BW$1&amp;$W58,装备额外附加!$M:$O,3,0)</f>
        <v>40004</v>
      </c>
      <c r="BX58" s="4">
        <f>VLOOKUP(LOOKUP($Y58,$K$48:$K$55,$L$48:$L$55)&amp;BX$1&amp;$W58,装备额外附加!$M:$O,3,0)</f>
        <v>40005</v>
      </c>
      <c r="BY58" s="4">
        <f>VLOOKUP(LOOKUP($Y58,$K$48:$K$55,$L$48:$L$55)&amp;BY$1&amp;$W58,装备额外附加!$M:$O,3,0)</f>
        <v>40006</v>
      </c>
    </row>
    <row r="59" spans="2:77">
      <c r="B59" s="4" t="s">
        <v>116</v>
      </c>
      <c r="C59" s="4">
        <v>100</v>
      </c>
      <c r="H59" s="4">
        <f>C59</f>
        <v>100</v>
      </c>
      <c r="R59" s="4" t="s">
        <v>292</v>
      </c>
      <c r="S59" s="4" t="str">
        <f t="shared" si="11"/>
        <v>102037</v>
      </c>
      <c r="T59" s="4" t="s">
        <v>293</v>
      </c>
      <c r="U59" s="36">
        <v>10</v>
      </c>
      <c r="V59" s="36" t="str">
        <f t="shared" si="12"/>
        <v>戒指</v>
      </c>
      <c r="W59" s="36" t="str">
        <f t="shared" si="13"/>
        <v>戒指</v>
      </c>
      <c r="X59" s="4">
        <f t="shared" si="14"/>
        <v>7</v>
      </c>
      <c r="Y59" s="4">
        <f t="shared" si="15"/>
        <v>13</v>
      </c>
      <c r="Z59" s="4">
        <f t="shared" si="16"/>
        <v>3</v>
      </c>
      <c r="AA59" s="4" t="str">
        <f t="shared" si="17"/>
        <v>32,38,57,96,160,320</v>
      </c>
      <c r="AB59" s="36">
        <f t="shared" si="18"/>
        <v>40</v>
      </c>
      <c r="AC59" s="36">
        <f t="shared" si="52"/>
        <v>32</v>
      </c>
      <c r="AD59" s="36">
        <f t="shared" si="62"/>
        <v>38</v>
      </c>
      <c r="AE59" s="36">
        <f t="shared" si="62"/>
        <v>57</v>
      </c>
      <c r="AF59" s="36">
        <f t="shared" si="62"/>
        <v>96</v>
      </c>
      <c r="AG59" s="36">
        <f t="shared" si="62"/>
        <v>160</v>
      </c>
      <c r="AH59" s="36">
        <f t="shared" si="42"/>
        <v>320</v>
      </c>
      <c r="AJ59" s="4" t="str">
        <f t="shared" si="21"/>
        <v>160,192,288,480,800,</v>
      </c>
      <c r="AK59" s="36">
        <f t="shared" si="22"/>
        <v>200</v>
      </c>
      <c r="AL59" s="36">
        <f t="shared" si="23"/>
        <v>160</v>
      </c>
      <c r="AM59" s="36">
        <f t="shared" si="23"/>
        <v>192</v>
      </c>
      <c r="AN59" s="36">
        <f t="shared" si="23"/>
        <v>288</v>
      </c>
      <c r="AO59" s="36">
        <f t="shared" si="23"/>
        <v>480</v>
      </c>
      <c r="AP59" s="36">
        <f t="shared" si="23"/>
        <v>800</v>
      </c>
      <c r="AR59" s="4" t="str">
        <f t="shared" si="24"/>
        <v>12800,15360,23040,38400,64000,</v>
      </c>
      <c r="AS59" s="36">
        <f t="shared" si="25"/>
        <v>16000</v>
      </c>
      <c r="AT59" s="36">
        <f t="shared" si="26"/>
        <v>12800</v>
      </c>
      <c r="AU59" s="36">
        <f t="shared" si="26"/>
        <v>15360</v>
      </c>
      <c r="AV59" s="36">
        <f t="shared" si="26"/>
        <v>23040</v>
      </c>
      <c r="AW59" s="36">
        <f t="shared" si="26"/>
        <v>38400</v>
      </c>
      <c r="AX59" s="36">
        <f t="shared" si="26"/>
        <v>64000</v>
      </c>
      <c r="AZ59" s="4">
        <f t="shared" si="27"/>
        <v>25</v>
      </c>
      <c r="BA59" s="4">
        <f t="shared" si="28"/>
        <v>2</v>
      </c>
      <c r="BB59" s="4">
        <f t="shared" si="29"/>
        <v>0</v>
      </c>
      <c r="BC59" s="35" t="str">
        <f t="shared" si="30"/>
        <v>25,</v>
      </c>
      <c r="BD59" s="35" t="str">
        <f t="shared" si="3"/>
        <v>4,</v>
      </c>
      <c r="BE59" s="35" t="str">
        <f t="shared" si="31"/>
        <v/>
      </c>
      <c r="BF59" s="36" t="str">
        <f t="shared" si="32"/>
        <v>1,</v>
      </c>
      <c r="BG59" s="36" t="str">
        <f>IF(BA59=0,"",IF(Z59=0,"3,4,5",VLOOKUP(Z59,{1,3;2,4;3,5},2,0))&amp;",")</f>
        <v>5,</v>
      </c>
      <c r="BH59" s="36" t="str">
        <f t="shared" si="33"/>
        <v/>
      </c>
      <c r="BI59" s="34" t="str">
        <f t="shared" si="34"/>
        <v>1,5</v>
      </c>
      <c r="BJ59" s="34" t="str">
        <f t="shared" si="37"/>
        <v>25,4</v>
      </c>
      <c r="BK59" s="34" t="str">
        <f t="shared" si="35"/>
        <v>0,3,5,7,15,30</v>
      </c>
      <c r="BL59" s="4">
        <f t="shared" si="4"/>
        <v>0</v>
      </c>
      <c r="BM59" s="4">
        <f t="shared" si="5"/>
        <v>3</v>
      </c>
      <c r="BN59" s="4">
        <f t="shared" si="6"/>
        <v>5</v>
      </c>
      <c r="BO59" s="4">
        <f t="shared" si="7"/>
        <v>7</v>
      </c>
      <c r="BP59" s="4">
        <f t="shared" si="8"/>
        <v>15</v>
      </c>
      <c r="BQ59" s="4">
        <f t="shared" si="9"/>
        <v>30</v>
      </c>
      <c r="BR59" s="34" t="str">
        <f t="shared" si="10"/>
        <v>4001,4002,4003,4004,4005,4006</v>
      </c>
      <c r="BS59" s="34" t="str">
        <f t="shared" si="36"/>
        <v>30001,30002,30003,30004,30005,30006</v>
      </c>
      <c r="BT59" s="4">
        <f>VLOOKUP(LOOKUP($Y59,$K$48:$K$55,$L$48:$L$55)&amp;BT$1&amp;$W59,装备额外附加!$M:$O,3,0)</f>
        <v>30001</v>
      </c>
      <c r="BU59" s="4">
        <f>VLOOKUP(LOOKUP($Y59,$K$48:$K$55,$L$48:$L$55)&amp;BU$1&amp;$W59,装备额外附加!$M:$O,3,0)</f>
        <v>30002</v>
      </c>
      <c r="BV59" s="4">
        <f>VLOOKUP(LOOKUP($Y59,$K$48:$K$55,$L$48:$L$55)&amp;BV$1&amp;$W59,装备额外附加!$M:$O,3,0)</f>
        <v>30003</v>
      </c>
      <c r="BW59" s="4">
        <f>VLOOKUP(LOOKUP($Y59,$K$48:$K$55,$L$48:$L$55)&amp;BW$1&amp;$W59,装备额外附加!$M:$O,3,0)</f>
        <v>30004</v>
      </c>
      <c r="BX59" s="4">
        <f>VLOOKUP(LOOKUP($Y59,$K$48:$K$55,$L$48:$L$55)&amp;BX$1&amp;$W59,装备额外附加!$M:$O,3,0)</f>
        <v>30005</v>
      </c>
      <c r="BY59" s="4">
        <f>VLOOKUP(LOOKUP($Y59,$K$48:$K$55,$L$48:$L$55)&amp;BY$1&amp;$W59,装备额外附加!$M:$O,3,0)</f>
        <v>30006</v>
      </c>
    </row>
    <row r="60" spans="2:77">
      <c r="B60" s="4" t="s">
        <v>117</v>
      </c>
      <c r="C60" s="4">
        <v>80</v>
      </c>
      <c r="D60" s="4">
        <v>20</v>
      </c>
      <c r="H60" s="4" t="str">
        <f>C60&amp;","&amp;D60</f>
        <v>80,20</v>
      </c>
      <c r="R60" s="4" t="s">
        <v>294</v>
      </c>
      <c r="S60" s="4" t="str">
        <f t="shared" si="11"/>
        <v>103018</v>
      </c>
      <c r="T60" s="4" t="s">
        <v>295</v>
      </c>
      <c r="U60" s="36">
        <v>20</v>
      </c>
      <c r="V60" s="36" t="str">
        <f t="shared" si="12"/>
        <v>项链</v>
      </c>
      <c r="W60" s="36" t="str">
        <f t="shared" si="13"/>
        <v>项链</v>
      </c>
      <c r="X60" s="4">
        <f t="shared" si="14"/>
        <v>8</v>
      </c>
      <c r="Y60" s="4">
        <f t="shared" si="15"/>
        <v>24</v>
      </c>
      <c r="Z60" s="4">
        <f t="shared" si="16"/>
        <v>1</v>
      </c>
      <c r="AA60" s="4" t="str">
        <f t="shared" si="17"/>
        <v>54,64,97,162,270,540</v>
      </c>
      <c r="AB60" s="36">
        <f t="shared" si="18"/>
        <v>60</v>
      </c>
      <c r="AC60" s="36">
        <f t="shared" si="52"/>
        <v>54</v>
      </c>
      <c r="AD60" s="36">
        <f t="shared" si="62"/>
        <v>64</v>
      </c>
      <c r="AE60" s="36">
        <f t="shared" si="62"/>
        <v>97</v>
      </c>
      <c r="AF60" s="36">
        <f t="shared" si="62"/>
        <v>162</v>
      </c>
      <c r="AG60" s="36">
        <f t="shared" si="62"/>
        <v>270</v>
      </c>
      <c r="AH60" s="36">
        <f t="shared" si="42"/>
        <v>540</v>
      </c>
      <c r="AJ60" s="4" t="str">
        <f t="shared" si="21"/>
        <v>270,324,486,810,1350,</v>
      </c>
      <c r="AK60" s="36">
        <f t="shared" si="22"/>
        <v>300</v>
      </c>
      <c r="AL60" s="36">
        <f t="shared" si="23"/>
        <v>270</v>
      </c>
      <c r="AM60" s="36">
        <f t="shared" si="23"/>
        <v>324</v>
      </c>
      <c r="AN60" s="36">
        <f t="shared" si="23"/>
        <v>486</v>
      </c>
      <c r="AO60" s="36">
        <f t="shared" si="23"/>
        <v>810</v>
      </c>
      <c r="AP60" s="36">
        <f t="shared" si="23"/>
        <v>1350</v>
      </c>
      <c r="AR60" s="4" t="str">
        <f t="shared" si="24"/>
        <v>21600,25920,38880,64800,108000,</v>
      </c>
      <c r="AS60" s="36">
        <f t="shared" si="25"/>
        <v>24000</v>
      </c>
      <c r="AT60" s="36">
        <f t="shared" si="26"/>
        <v>21600</v>
      </c>
      <c r="AU60" s="36">
        <f t="shared" si="26"/>
        <v>25920</v>
      </c>
      <c r="AV60" s="36">
        <f t="shared" si="26"/>
        <v>38880</v>
      </c>
      <c r="AW60" s="36">
        <f t="shared" si="26"/>
        <v>64800</v>
      </c>
      <c r="AX60" s="36">
        <f t="shared" si="26"/>
        <v>108000</v>
      </c>
      <c r="AZ60" s="4">
        <f t="shared" si="27"/>
        <v>0</v>
      </c>
      <c r="BA60" s="4">
        <f t="shared" si="28"/>
        <v>4</v>
      </c>
      <c r="BB60" s="4">
        <f t="shared" si="29"/>
        <v>1</v>
      </c>
      <c r="BC60" s="35" t="str">
        <f t="shared" si="30"/>
        <v/>
      </c>
      <c r="BD60" s="35" t="str">
        <f t="shared" si="3"/>
        <v>8,</v>
      </c>
      <c r="BE60" s="35" t="str">
        <f t="shared" si="31"/>
        <v>1,</v>
      </c>
      <c r="BF60" s="36" t="str">
        <f t="shared" si="32"/>
        <v/>
      </c>
      <c r="BG60" s="36" t="str">
        <f>IF(BA60=0,"",IF(Z60=0,"3,4,5",VLOOKUP(Z60,{1,3;2,4;3,5},2,0))&amp;",")</f>
        <v>3,</v>
      </c>
      <c r="BH60" s="36" t="str">
        <f t="shared" si="33"/>
        <v>6,</v>
      </c>
      <c r="BI60" s="34" t="str">
        <f t="shared" si="34"/>
        <v>3,6</v>
      </c>
      <c r="BJ60" s="34" t="str">
        <f t="shared" si="37"/>
        <v>8,1</v>
      </c>
      <c r="BK60" s="34" t="str">
        <f t="shared" si="35"/>
        <v>0,4,7,10,21,42</v>
      </c>
      <c r="BL60" s="4">
        <f t="shared" si="4"/>
        <v>0</v>
      </c>
      <c r="BM60" s="4">
        <f t="shared" si="5"/>
        <v>4</v>
      </c>
      <c r="BN60" s="4">
        <f t="shared" si="6"/>
        <v>7</v>
      </c>
      <c r="BO60" s="4">
        <f t="shared" si="7"/>
        <v>10</v>
      </c>
      <c r="BP60" s="4">
        <f t="shared" si="8"/>
        <v>21</v>
      </c>
      <c r="BQ60" s="4">
        <f t="shared" si="9"/>
        <v>42</v>
      </c>
      <c r="BR60" s="34" t="str">
        <f t="shared" si="10"/>
        <v>2001,2002,2003,2004,2005,2006</v>
      </c>
      <c r="BS60" s="34" t="str">
        <f t="shared" si="36"/>
        <v>51001,51002,51003,51004,51005,51006</v>
      </c>
      <c r="BT60" s="4">
        <f>VLOOKUP(LOOKUP($Y60,$K$48:$K$55,$L$48:$L$55)&amp;BT$1&amp;$W60,装备额外附加!$M:$O,3,0)</f>
        <v>51001</v>
      </c>
      <c r="BU60" s="4">
        <f>VLOOKUP(LOOKUP($Y60,$K$48:$K$55,$L$48:$L$55)&amp;BU$1&amp;$W60,装备额外附加!$M:$O,3,0)</f>
        <v>51002</v>
      </c>
      <c r="BV60" s="4">
        <f>VLOOKUP(LOOKUP($Y60,$K$48:$K$55,$L$48:$L$55)&amp;BV$1&amp;$W60,装备额外附加!$M:$O,3,0)</f>
        <v>51003</v>
      </c>
      <c r="BW60" s="4">
        <f>VLOOKUP(LOOKUP($Y60,$K$48:$K$55,$L$48:$L$55)&amp;BW$1&amp;$W60,装备额外附加!$M:$O,3,0)</f>
        <v>51004</v>
      </c>
      <c r="BX60" s="4">
        <f>VLOOKUP(LOOKUP($Y60,$K$48:$K$55,$L$48:$L$55)&amp;BX$1&amp;$W60,装备额外附加!$M:$O,3,0)</f>
        <v>51005</v>
      </c>
      <c r="BY60" s="4">
        <f>VLOOKUP(LOOKUP($Y60,$K$48:$K$55,$L$48:$L$55)&amp;BY$1&amp;$W60,装备额外附加!$M:$O,3,0)</f>
        <v>51006</v>
      </c>
    </row>
    <row r="61" spans="2:77">
      <c r="B61" s="4" t="s">
        <v>118</v>
      </c>
      <c r="C61" s="4">
        <v>0</v>
      </c>
      <c r="D61" s="4">
        <v>80</v>
      </c>
      <c r="E61" s="4">
        <v>20</v>
      </c>
      <c r="H61" s="4" t="str">
        <f>C61&amp;","&amp;D61&amp;","&amp;E61</f>
        <v>0,80,20</v>
      </c>
      <c r="R61" s="4" t="s">
        <v>296</v>
      </c>
      <c r="S61" s="4" t="str">
        <f t="shared" si="11"/>
        <v>103016</v>
      </c>
      <c r="T61" s="4" t="s">
        <v>297</v>
      </c>
      <c r="U61" s="36">
        <v>20</v>
      </c>
      <c r="V61" s="36" t="str">
        <f t="shared" si="12"/>
        <v>手镯</v>
      </c>
      <c r="W61" s="36" t="str">
        <f t="shared" si="13"/>
        <v>手镯</v>
      </c>
      <c r="X61" s="4">
        <f t="shared" si="14"/>
        <v>6</v>
      </c>
      <c r="Y61" s="4">
        <f t="shared" si="15"/>
        <v>26</v>
      </c>
      <c r="Z61" s="4">
        <f t="shared" si="16"/>
        <v>1</v>
      </c>
      <c r="AA61" s="4" t="str">
        <f t="shared" si="17"/>
        <v>48,57,86,144,240,480</v>
      </c>
      <c r="AB61" s="36">
        <f t="shared" si="18"/>
        <v>60</v>
      </c>
      <c r="AC61" s="36">
        <f t="shared" si="52"/>
        <v>48</v>
      </c>
      <c r="AD61" s="36">
        <f t="shared" si="62"/>
        <v>57</v>
      </c>
      <c r="AE61" s="36">
        <f t="shared" si="62"/>
        <v>86</v>
      </c>
      <c r="AF61" s="36">
        <f t="shared" si="62"/>
        <v>144</v>
      </c>
      <c r="AG61" s="36">
        <f t="shared" si="62"/>
        <v>240</v>
      </c>
      <c r="AH61" s="36">
        <f t="shared" si="42"/>
        <v>480</v>
      </c>
      <c r="AJ61" s="4" t="str">
        <f t="shared" si="21"/>
        <v>240,288,432,720,1200,</v>
      </c>
      <c r="AK61" s="36">
        <f t="shared" si="22"/>
        <v>300</v>
      </c>
      <c r="AL61" s="36">
        <f t="shared" si="23"/>
        <v>240</v>
      </c>
      <c r="AM61" s="36">
        <f t="shared" si="23"/>
        <v>288</v>
      </c>
      <c r="AN61" s="36">
        <f t="shared" si="23"/>
        <v>432</v>
      </c>
      <c r="AO61" s="36">
        <f t="shared" si="23"/>
        <v>720</v>
      </c>
      <c r="AP61" s="36">
        <f t="shared" si="23"/>
        <v>1200</v>
      </c>
      <c r="AR61" s="4" t="str">
        <f t="shared" si="24"/>
        <v>19200,23040,34560,57600,96000,</v>
      </c>
      <c r="AS61" s="36">
        <f t="shared" si="25"/>
        <v>24000</v>
      </c>
      <c r="AT61" s="36">
        <f t="shared" si="26"/>
        <v>19200</v>
      </c>
      <c r="AU61" s="36">
        <f t="shared" si="26"/>
        <v>23040</v>
      </c>
      <c r="AV61" s="36">
        <f t="shared" si="26"/>
        <v>34560</v>
      </c>
      <c r="AW61" s="36">
        <f t="shared" si="26"/>
        <v>57600</v>
      </c>
      <c r="AX61" s="36">
        <f t="shared" si="26"/>
        <v>96000</v>
      </c>
      <c r="AZ61" s="4">
        <f t="shared" si="27"/>
        <v>35</v>
      </c>
      <c r="BA61" s="4">
        <f t="shared" si="28"/>
        <v>3</v>
      </c>
      <c r="BB61" s="4">
        <f t="shared" si="29"/>
        <v>0</v>
      </c>
      <c r="BC61" s="35" t="str">
        <f t="shared" si="30"/>
        <v>35,</v>
      </c>
      <c r="BD61" s="35" t="str">
        <f t="shared" si="3"/>
        <v>6,</v>
      </c>
      <c r="BE61" s="35" t="str">
        <f t="shared" si="31"/>
        <v/>
      </c>
      <c r="BF61" s="36" t="str">
        <f t="shared" si="32"/>
        <v>1,</v>
      </c>
      <c r="BG61" s="36" t="str">
        <f>IF(BA61=0,"",IF(Z61=0,"3,4,5",VLOOKUP(Z61,{1,3;2,4;3,5},2,0))&amp;",")</f>
        <v>3,</v>
      </c>
      <c r="BH61" s="36" t="str">
        <f t="shared" si="33"/>
        <v/>
      </c>
      <c r="BI61" s="34" t="str">
        <f t="shared" si="34"/>
        <v>1,3</v>
      </c>
      <c r="BJ61" s="34" t="str">
        <f t="shared" si="37"/>
        <v>35,6</v>
      </c>
      <c r="BK61" s="34" t="str">
        <f t="shared" si="35"/>
        <v>0,4,7,10,21,42</v>
      </c>
      <c r="BL61" s="4">
        <f t="shared" si="4"/>
        <v>0</v>
      </c>
      <c r="BM61" s="4">
        <f t="shared" si="5"/>
        <v>4</v>
      </c>
      <c r="BN61" s="4">
        <f t="shared" si="6"/>
        <v>7</v>
      </c>
      <c r="BO61" s="4">
        <f t="shared" si="7"/>
        <v>10</v>
      </c>
      <c r="BP61" s="4">
        <f t="shared" si="8"/>
        <v>21</v>
      </c>
      <c r="BQ61" s="4">
        <f t="shared" si="9"/>
        <v>42</v>
      </c>
      <c r="BR61" s="34" t="str">
        <f t="shared" si="10"/>
        <v>3001,3002,3003,3004,3005,3006</v>
      </c>
      <c r="BS61" s="34" t="str">
        <f t="shared" si="36"/>
        <v>41001,41002,41003,41004,41005,41006</v>
      </c>
      <c r="BT61" s="4">
        <f>VLOOKUP(LOOKUP($Y61,$K$48:$K$55,$L$48:$L$55)&amp;BT$1&amp;$W61,装备额外附加!$M:$O,3,0)</f>
        <v>41001</v>
      </c>
      <c r="BU61" s="4">
        <f>VLOOKUP(LOOKUP($Y61,$K$48:$K$55,$L$48:$L$55)&amp;BU$1&amp;$W61,装备额外附加!$M:$O,3,0)</f>
        <v>41002</v>
      </c>
      <c r="BV61" s="4">
        <f>VLOOKUP(LOOKUP($Y61,$K$48:$K$55,$L$48:$L$55)&amp;BV$1&amp;$W61,装备额外附加!$M:$O,3,0)</f>
        <v>41003</v>
      </c>
      <c r="BW61" s="4">
        <f>VLOOKUP(LOOKUP($Y61,$K$48:$K$55,$L$48:$L$55)&amp;BW$1&amp;$W61,装备额外附加!$M:$O,3,0)</f>
        <v>41004</v>
      </c>
      <c r="BX61" s="4">
        <f>VLOOKUP(LOOKUP($Y61,$K$48:$K$55,$L$48:$L$55)&amp;BX$1&amp;$W61,装备额外附加!$M:$O,3,0)</f>
        <v>41005</v>
      </c>
      <c r="BY61" s="4">
        <f>VLOOKUP(LOOKUP($Y61,$K$48:$K$55,$L$48:$L$55)&amp;BY$1&amp;$W61,装备额外附加!$M:$O,3,0)</f>
        <v>41006</v>
      </c>
    </row>
    <row r="62" spans="2:77">
      <c r="B62" s="4" t="s">
        <v>119</v>
      </c>
      <c r="C62" s="4">
        <v>0</v>
      </c>
      <c r="D62" s="4">
        <v>20</v>
      </c>
      <c r="E62" s="4">
        <v>50</v>
      </c>
      <c r="F62" s="4">
        <v>30</v>
      </c>
      <c r="H62" s="4" t="str">
        <f>C62&amp;","&amp;D62&amp;","&amp;E62&amp;","&amp;F62</f>
        <v>0,20,50,30</v>
      </c>
      <c r="R62" s="4" t="s">
        <v>298</v>
      </c>
      <c r="S62" s="4" t="str">
        <f t="shared" si="11"/>
        <v>103017</v>
      </c>
      <c r="T62" s="4" t="s">
        <v>299</v>
      </c>
      <c r="U62" s="36">
        <v>20</v>
      </c>
      <c r="V62" s="36" t="str">
        <f t="shared" si="12"/>
        <v>戒指</v>
      </c>
      <c r="W62" s="36" t="str">
        <f t="shared" si="13"/>
        <v>戒指</v>
      </c>
      <c r="X62" s="4">
        <f t="shared" si="14"/>
        <v>7</v>
      </c>
      <c r="Y62" s="4">
        <f t="shared" si="15"/>
        <v>23</v>
      </c>
      <c r="Z62" s="4">
        <f t="shared" si="16"/>
        <v>1</v>
      </c>
      <c r="AA62" s="4" t="str">
        <f t="shared" si="17"/>
        <v>48,57,86,144,240,480</v>
      </c>
      <c r="AB62" s="36">
        <f t="shared" si="18"/>
        <v>60</v>
      </c>
      <c r="AC62" s="36">
        <f t="shared" si="52"/>
        <v>48</v>
      </c>
      <c r="AD62" s="36">
        <f t="shared" si="62"/>
        <v>57</v>
      </c>
      <c r="AE62" s="36">
        <f t="shared" si="62"/>
        <v>86</v>
      </c>
      <c r="AF62" s="36">
        <f t="shared" si="62"/>
        <v>144</v>
      </c>
      <c r="AG62" s="36">
        <f t="shared" si="62"/>
        <v>240</v>
      </c>
      <c r="AH62" s="36">
        <f t="shared" si="42"/>
        <v>480</v>
      </c>
      <c r="AJ62" s="4" t="str">
        <f t="shared" si="21"/>
        <v>240,288,432,720,1200,</v>
      </c>
      <c r="AK62" s="36">
        <f t="shared" si="22"/>
        <v>300</v>
      </c>
      <c r="AL62" s="36">
        <f t="shared" si="23"/>
        <v>240</v>
      </c>
      <c r="AM62" s="36">
        <f t="shared" si="23"/>
        <v>288</v>
      </c>
      <c r="AN62" s="36">
        <f t="shared" si="23"/>
        <v>432</v>
      </c>
      <c r="AO62" s="36">
        <f t="shared" si="23"/>
        <v>720</v>
      </c>
      <c r="AP62" s="36">
        <f t="shared" si="23"/>
        <v>1200</v>
      </c>
      <c r="AR62" s="4" t="str">
        <f t="shared" si="24"/>
        <v>19200,23040,34560,57600,96000,</v>
      </c>
      <c r="AS62" s="36">
        <f t="shared" si="25"/>
        <v>24000</v>
      </c>
      <c r="AT62" s="36">
        <f t="shared" si="26"/>
        <v>19200</v>
      </c>
      <c r="AU62" s="36">
        <f t="shared" si="26"/>
        <v>23040</v>
      </c>
      <c r="AV62" s="36">
        <f t="shared" si="26"/>
        <v>34560</v>
      </c>
      <c r="AW62" s="36">
        <f t="shared" si="26"/>
        <v>57600</v>
      </c>
      <c r="AX62" s="36">
        <f t="shared" si="26"/>
        <v>96000</v>
      </c>
      <c r="AZ62" s="4">
        <f t="shared" si="27"/>
        <v>35</v>
      </c>
      <c r="BA62" s="4">
        <f t="shared" si="28"/>
        <v>3</v>
      </c>
      <c r="BB62" s="4">
        <f t="shared" si="29"/>
        <v>0</v>
      </c>
      <c r="BC62" s="35" t="str">
        <f t="shared" si="30"/>
        <v>35,</v>
      </c>
      <c r="BD62" s="35" t="str">
        <f t="shared" si="3"/>
        <v>6,</v>
      </c>
      <c r="BE62" s="35" t="str">
        <f t="shared" si="31"/>
        <v/>
      </c>
      <c r="BF62" s="36" t="str">
        <f t="shared" si="32"/>
        <v>1,</v>
      </c>
      <c r="BG62" s="36" t="str">
        <f>IF(BA62=0,"",IF(Z62=0,"3,4,5",VLOOKUP(Z62,{1,3;2,4;3,5},2,0))&amp;",")</f>
        <v>3,</v>
      </c>
      <c r="BH62" s="36" t="str">
        <f t="shared" si="33"/>
        <v/>
      </c>
      <c r="BI62" s="34" t="str">
        <f t="shared" si="34"/>
        <v>1,3</v>
      </c>
      <c r="BJ62" s="34" t="str">
        <f t="shared" si="37"/>
        <v>35,6</v>
      </c>
      <c r="BK62" s="34" t="str">
        <f t="shared" si="35"/>
        <v>0,4,7,10,21,42</v>
      </c>
      <c r="BL62" s="4">
        <f t="shared" si="4"/>
        <v>0</v>
      </c>
      <c r="BM62" s="4">
        <f t="shared" si="5"/>
        <v>4</v>
      </c>
      <c r="BN62" s="4">
        <f t="shared" si="6"/>
        <v>7</v>
      </c>
      <c r="BO62" s="4">
        <f t="shared" si="7"/>
        <v>10</v>
      </c>
      <c r="BP62" s="4">
        <f t="shared" si="8"/>
        <v>21</v>
      </c>
      <c r="BQ62" s="4">
        <f t="shared" si="9"/>
        <v>42</v>
      </c>
      <c r="BR62" s="34" t="str">
        <f t="shared" si="10"/>
        <v>4001,4002,4003,4004,4005,4006</v>
      </c>
      <c r="BS62" s="34" t="str">
        <f t="shared" si="36"/>
        <v>31001,31002,31003,31004,31005,31006</v>
      </c>
      <c r="BT62" s="4">
        <f>VLOOKUP(LOOKUP($Y62,$K$48:$K$55,$L$48:$L$55)&amp;BT$1&amp;$W62,装备额外附加!$M:$O,3,0)</f>
        <v>31001</v>
      </c>
      <c r="BU62" s="4">
        <f>VLOOKUP(LOOKUP($Y62,$K$48:$K$55,$L$48:$L$55)&amp;BU$1&amp;$W62,装备额外附加!$M:$O,3,0)</f>
        <v>31002</v>
      </c>
      <c r="BV62" s="4">
        <f>VLOOKUP(LOOKUP($Y62,$K$48:$K$55,$L$48:$L$55)&amp;BV$1&amp;$W62,装备额外附加!$M:$O,3,0)</f>
        <v>31003</v>
      </c>
      <c r="BW62" s="4">
        <f>VLOOKUP(LOOKUP($Y62,$K$48:$K$55,$L$48:$L$55)&amp;BW$1&amp;$W62,装备额外附加!$M:$O,3,0)</f>
        <v>31004</v>
      </c>
      <c r="BX62" s="4">
        <f>VLOOKUP(LOOKUP($Y62,$K$48:$K$55,$L$48:$L$55)&amp;BX$1&amp;$W62,装备额外附加!$M:$O,3,0)</f>
        <v>31005</v>
      </c>
      <c r="BY62" s="4">
        <f>VLOOKUP(LOOKUP($Y62,$K$48:$K$55,$L$48:$L$55)&amp;BY$1&amp;$W62,装备额外附加!$M:$O,3,0)</f>
        <v>31006</v>
      </c>
    </row>
    <row r="63" spans="2:77">
      <c r="B63" s="4" t="s">
        <v>120</v>
      </c>
      <c r="C63" s="4">
        <v>0</v>
      </c>
      <c r="D63" s="4">
        <v>0</v>
      </c>
      <c r="E63" s="4">
        <v>50</v>
      </c>
      <c r="F63" s="4">
        <v>50</v>
      </c>
      <c r="H63" s="4" t="str">
        <f t="shared" ref="H63:H64" si="63">C63&amp;","&amp;D63&amp;","&amp;E63&amp;","&amp;F63</f>
        <v>0,0,50,50</v>
      </c>
      <c r="R63" s="4" t="s">
        <v>300</v>
      </c>
      <c r="S63" s="4" t="str">
        <f t="shared" si="11"/>
        <v>103028</v>
      </c>
      <c r="T63" s="4" t="s">
        <v>301</v>
      </c>
      <c r="U63" s="36">
        <v>20</v>
      </c>
      <c r="V63" s="36" t="str">
        <f t="shared" si="12"/>
        <v>项链</v>
      </c>
      <c r="W63" s="36" t="str">
        <f t="shared" si="13"/>
        <v>项链</v>
      </c>
      <c r="X63" s="4">
        <f t="shared" si="14"/>
        <v>8</v>
      </c>
      <c r="Y63" s="4">
        <f t="shared" si="15"/>
        <v>24</v>
      </c>
      <c r="Z63" s="4">
        <f t="shared" si="16"/>
        <v>2</v>
      </c>
      <c r="AA63" s="4" t="str">
        <f t="shared" si="17"/>
        <v>54,64,97,162,270,540</v>
      </c>
      <c r="AB63" s="36">
        <f t="shared" si="18"/>
        <v>60</v>
      </c>
      <c r="AC63" s="36">
        <f t="shared" si="52"/>
        <v>54</v>
      </c>
      <c r="AD63" s="36">
        <f t="shared" si="62"/>
        <v>64</v>
      </c>
      <c r="AE63" s="36">
        <f t="shared" si="62"/>
        <v>97</v>
      </c>
      <c r="AF63" s="36">
        <f t="shared" si="62"/>
        <v>162</v>
      </c>
      <c r="AG63" s="36">
        <f t="shared" si="62"/>
        <v>270</v>
      </c>
      <c r="AH63" s="36">
        <f t="shared" si="42"/>
        <v>540</v>
      </c>
      <c r="AJ63" s="4" t="str">
        <f t="shared" si="21"/>
        <v>270,324,486,810,1350,</v>
      </c>
      <c r="AK63" s="36">
        <f t="shared" si="22"/>
        <v>300</v>
      </c>
      <c r="AL63" s="36">
        <f t="shared" si="23"/>
        <v>270</v>
      </c>
      <c r="AM63" s="36">
        <f t="shared" si="23"/>
        <v>324</v>
      </c>
      <c r="AN63" s="36">
        <f t="shared" si="23"/>
        <v>486</v>
      </c>
      <c r="AO63" s="36">
        <f t="shared" si="23"/>
        <v>810</v>
      </c>
      <c r="AP63" s="36">
        <f t="shared" si="23"/>
        <v>1350</v>
      </c>
      <c r="AR63" s="4" t="str">
        <f t="shared" si="24"/>
        <v>21600,25920,38880,64800,108000,</v>
      </c>
      <c r="AS63" s="36">
        <f t="shared" si="25"/>
        <v>24000</v>
      </c>
      <c r="AT63" s="36">
        <f t="shared" si="26"/>
        <v>21600</v>
      </c>
      <c r="AU63" s="36">
        <f t="shared" si="26"/>
        <v>25920</v>
      </c>
      <c r="AV63" s="36">
        <f t="shared" si="26"/>
        <v>38880</v>
      </c>
      <c r="AW63" s="36">
        <f t="shared" si="26"/>
        <v>64800</v>
      </c>
      <c r="AX63" s="36">
        <f t="shared" si="26"/>
        <v>108000</v>
      </c>
      <c r="AZ63" s="4">
        <f t="shared" si="27"/>
        <v>0</v>
      </c>
      <c r="BA63" s="4">
        <f t="shared" si="28"/>
        <v>4</v>
      </c>
      <c r="BB63" s="4">
        <f t="shared" si="29"/>
        <v>1</v>
      </c>
      <c r="BC63" s="35" t="str">
        <f t="shared" si="30"/>
        <v/>
      </c>
      <c r="BD63" s="35" t="str">
        <f t="shared" si="3"/>
        <v>8,</v>
      </c>
      <c r="BE63" s="35" t="str">
        <f t="shared" si="31"/>
        <v>1,</v>
      </c>
      <c r="BF63" s="36" t="str">
        <f t="shared" si="32"/>
        <v/>
      </c>
      <c r="BG63" s="36" t="str">
        <f>IF(BA63=0,"",IF(Z63=0,"3,4,5",VLOOKUP(Z63,{1,3;2,4;3,5},2,0))&amp;",")</f>
        <v>4,</v>
      </c>
      <c r="BH63" s="36" t="str">
        <f t="shared" si="33"/>
        <v>6,</v>
      </c>
      <c r="BI63" s="34" t="str">
        <f t="shared" si="34"/>
        <v>4,6</v>
      </c>
      <c r="BJ63" s="34" t="str">
        <f t="shared" si="37"/>
        <v>8,1</v>
      </c>
      <c r="BK63" s="34" t="str">
        <f t="shared" si="35"/>
        <v>0,4,7,10,21,42</v>
      </c>
      <c r="BL63" s="4">
        <f t="shared" si="4"/>
        <v>0</v>
      </c>
      <c r="BM63" s="4">
        <f t="shared" si="5"/>
        <v>4</v>
      </c>
      <c r="BN63" s="4">
        <f t="shared" si="6"/>
        <v>7</v>
      </c>
      <c r="BO63" s="4">
        <f t="shared" si="7"/>
        <v>10</v>
      </c>
      <c r="BP63" s="4">
        <f t="shared" si="8"/>
        <v>21</v>
      </c>
      <c r="BQ63" s="4">
        <f t="shared" si="9"/>
        <v>42</v>
      </c>
      <c r="BR63" s="34" t="str">
        <f t="shared" si="10"/>
        <v>2001,2002,2003,2004,2005,2006</v>
      </c>
      <c r="BS63" s="34" t="str">
        <f t="shared" si="36"/>
        <v>51001,51002,51003,51004,51005,51006</v>
      </c>
      <c r="BT63" s="4">
        <f>VLOOKUP(LOOKUP($Y63,$K$48:$K$55,$L$48:$L$55)&amp;BT$1&amp;$W63,装备额外附加!$M:$O,3,0)</f>
        <v>51001</v>
      </c>
      <c r="BU63" s="4">
        <f>VLOOKUP(LOOKUP($Y63,$K$48:$K$55,$L$48:$L$55)&amp;BU$1&amp;$W63,装备额外附加!$M:$O,3,0)</f>
        <v>51002</v>
      </c>
      <c r="BV63" s="4">
        <f>VLOOKUP(LOOKUP($Y63,$K$48:$K$55,$L$48:$L$55)&amp;BV$1&amp;$W63,装备额外附加!$M:$O,3,0)</f>
        <v>51003</v>
      </c>
      <c r="BW63" s="4">
        <f>VLOOKUP(LOOKUP($Y63,$K$48:$K$55,$L$48:$L$55)&amp;BW$1&amp;$W63,装备额外附加!$M:$O,3,0)</f>
        <v>51004</v>
      </c>
      <c r="BX63" s="4">
        <f>VLOOKUP(LOOKUP($Y63,$K$48:$K$55,$L$48:$L$55)&amp;BX$1&amp;$W63,装备额外附加!$M:$O,3,0)</f>
        <v>51005</v>
      </c>
      <c r="BY63" s="4">
        <f>VLOOKUP(LOOKUP($Y63,$K$48:$K$55,$L$48:$L$55)&amp;BY$1&amp;$W63,装备额外附加!$M:$O,3,0)</f>
        <v>51006</v>
      </c>
    </row>
    <row r="64" spans="2:77">
      <c r="B64" s="4" t="s">
        <v>121</v>
      </c>
      <c r="C64" s="4">
        <v>0</v>
      </c>
      <c r="D64" s="4">
        <v>0</v>
      </c>
      <c r="E64" s="4">
        <v>30</v>
      </c>
      <c r="F64" s="4">
        <v>70</v>
      </c>
      <c r="H64" s="4" t="str">
        <f t="shared" si="63"/>
        <v>0,0,30,70</v>
      </c>
      <c r="R64" s="4" t="s">
        <v>302</v>
      </c>
      <c r="S64" s="4" t="str">
        <f t="shared" si="11"/>
        <v>103026</v>
      </c>
      <c r="T64" s="4" t="s">
        <v>303</v>
      </c>
      <c r="U64" s="36">
        <v>20</v>
      </c>
      <c r="V64" s="36" t="str">
        <f t="shared" si="12"/>
        <v>手镯</v>
      </c>
      <c r="W64" s="36" t="str">
        <f t="shared" si="13"/>
        <v>手镯</v>
      </c>
      <c r="X64" s="4">
        <f t="shared" si="14"/>
        <v>6</v>
      </c>
      <c r="Y64" s="4">
        <f t="shared" si="15"/>
        <v>26</v>
      </c>
      <c r="Z64" s="4">
        <f t="shared" si="16"/>
        <v>2</v>
      </c>
      <c r="AA64" s="4" t="str">
        <f t="shared" si="17"/>
        <v>48,57,86,144,240,480</v>
      </c>
      <c r="AB64" s="36">
        <f t="shared" si="18"/>
        <v>60</v>
      </c>
      <c r="AC64" s="36">
        <f t="shared" si="52"/>
        <v>48</v>
      </c>
      <c r="AD64" s="36">
        <f t="shared" si="62"/>
        <v>57</v>
      </c>
      <c r="AE64" s="36">
        <f t="shared" si="62"/>
        <v>86</v>
      </c>
      <c r="AF64" s="36">
        <f t="shared" si="62"/>
        <v>144</v>
      </c>
      <c r="AG64" s="36">
        <f t="shared" si="62"/>
        <v>240</v>
      </c>
      <c r="AH64" s="36">
        <f t="shared" si="42"/>
        <v>480</v>
      </c>
      <c r="AJ64" s="4" t="str">
        <f t="shared" si="21"/>
        <v>240,288,432,720,1200,</v>
      </c>
      <c r="AK64" s="36">
        <f t="shared" si="22"/>
        <v>300</v>
      </c>
      <c r="AL64" s="36">
        <f t="shared" si="23"/>
        <v>240</v>
      </c>
      <c r="AM64" s="36">
        <f t="shared" si="23"/>
        <v>288</v>
      </c>
      <c r="AN64" s="36">
        <f t="shared" si="23"/>
        <v>432</v>
      </c>
      <c r="AO64" s="36">
        <f t="shared" si="23"/>
        <v>720</v>
      </c>
      <c r="AP64" s="36">
        <f t="shared" si="23"/>
        <v>1200</v>
      </c>
      <c r="AR64" s="4" t="str">
        <f t="shared" si="24"/>
        <v>19200,23040,34560,57600,96000,</v>
      </c>
      <c r="AS64" s="36">
        <f t="shared" si="25"/>
        <v>24000</v>
      </c>
      <c r="AT64" s="36">
        <f t="shared" si="26"/>
        <v>19200</v>
      </c>
      <c r="AU64" s="36">
        <f t="shared" si="26"/>
        <v>23040</v>
      </c>
      <c r="AV64" s="36">
        <f t="shared" si="26"/>
        <v>34560</v>
      </c>
      <c r="AW64" s="36">
        <f t="shared" si="26"/>
        <v>57600</v>
      </c>
      <c r="AX64" s="36">
        <f t="shared" si="26"/>
        <v>96000</v>
      </c>
      <c r="AZ64" s="4">
        <f t="shared" si="27"/>
        <v>35</v>
      </c>
      <c r="BA64" s="4">
        <f t="shared" si="28"/>
        <v>3</v>
      </c>
      <c r="BB64" s="4">
        <f t="shared" si="29"/>
        <v>0</v>
      </c>
      <c r="BC64" s="35" t="str">
        <f t="shared" si="30"/>
        <v>35,</v>
      </c>
      <c r="BD64" s="35" t="str">
        <f t="shared" si="3"/>
        <v>6,</v>
      </c>
      <c r="BE64" s="35" t="str">
        <f t="shared" si="31"/>
        <v/>
      </c>
      <c r="BF64" s="36" t="str">
        <f t="shared" si="32"/>
        <v>1,</v>
      </c>
      <c r="BG64" s="36" t="str">
        <f>IF(BA64=0,"",IF(Z64=0,"3,4,5",VLOOKUP(Z64,{1,3;2,4;3,5},2,0))&amp;",")</f>
        <v>4,</v>
      </c>
      <c r="BH64" s="36" t="str">
        <f t="shared" si="33"/>
        <v/>
      </c>
      <c r="BI64" s="34" t="str">
        <f t="shared" si="34"/>
        <v>1,4</v>
      </c>
      <c r="BJ64" s="34" t="str">
        <f t="shared" si="37"/>
        <v>35,6</v>
      </c>
      <c r="BK64" s="34" t="str">
        <f t="shared" si="35"/>
        <v>0,4,7,10,21,42</v>
      </c>
      <c r="BL64" s="4">
        <f t="shared" si="4"/>
        <v>0</v>
      </c>
      <c r="BM64" s="4">
        <f t="shared" si="5"/>
        <v>4</v>
      </c>
      <c r="BN64" s="4">
        <f t="shared" si="6"/>
        <v>7</v>
      </c>
      <c r="BO64" s="4">
        <f t="shared" si="7"/>
        <v>10</v>
      </c>
      <c r="BP64" s="4">
        <f t="shared" si="8"/>
        <v>21</v>
      </c>
      <c r="BQ64" s="4">
        <f t="shared" si="9"/>
        <v>42</v>
      </c>
      <c r="BR64" s="34" t="str">
        <f t="shared" si="10"/>
        <v>3001,3002,3003,3004,3005,3006</v>
      </c>
      <c r="BS64" s="34" t="str">
        <f t="shared" si="36"/>
        <v>41001,41002,41003,41004,41005,41006</v>
      </c>
      <c r="BT64" s="4">
        <f>VLOOKUP(LOOKUP($Y64,$K$48:$K$55,$L$48:$L$55)&amp;BT$1&amp;$W64,装备额外附加!$M:$O,3,0)</f>
        <v>41001</v>
      </c>
      <c r="BU64" s="4">
        <f>VLOOKUP(LOOKUP($Y64,$K$48:$K$55,$L$48:$L$55)&amp;BU$1&amp;$W64,装备额外附加!$M:$O,3,0)</f>
        <v>41002</v>
      </c>
      <c r="BV64" s="4">
        <f>VLOOKUP(LOOKUP($Y64,$K$48:$K$55,$L$48:$L$55)&amp;BV$1&amp;$W64,装备额外附加!$M:$O,3,0)</f>
        <v>41003</v>
      </c>
      <c r="BW64" s="4">
        <f>VLOOKUP(LOOKUP($Y64,$K$48:$K$55,$L$48:$L$55)&amp;BW$1&amp;$W64,装备额外附加!$M:$O,3,0)</f>
        <v>41004</v>
      </c>
      <c r="BX64" s="4">
        <f>VLOOKUP(LOOKUP($Y64,$K$48:$K$55,$L$48:$L$55)&amp;BX$1&amp;$W64,装备额外附加!$M:$O,3,0)</f>
        <v>41005</v>
      </c>
      <c r="BY64" s="4">
        <f>VLOOKUP(LOOKUP($Y64,$K$48:$K$55,$L$48:$L$55)&amp;BY$1&amp;$W64,装备额外附加!$M:$O,3,0)</f>
        <v>41006</v>
      </c>
    </row>
    <row r="65" spans="18:77">
      <c r="R65" s="4" t="s">
        <v>304</v>
      </c>
      <c r="S65" s="4" t="str">
        <f t="shared" si="11"/>
        <v>103027</v>
      </c>
      <c r="T65" s="4" t="s">
        <v>305</v>
      </c>
      <c r="U65" s="36">
        <v>20</v>
      </c>
      <c r="V65" s="36" t="str">
        <f t="shared" si="12"/>
        <v>戒指</v>
      </c>
      <c r="W65" s="36" t="str">
        <f t="shared" si="13"/>
        <v>戒指</v>
      </c>
      <c r="X65" s="4">
        <f t="shared" si="14"/>
        <v>7</v>
      </c>
      <c r="Y65" s="4">
        <f t="shared" si="15"/>
        <v>23</v>
      </c>
      <c r="Z65" s="4">
        <f t="shared" si="16"/>
        <v>2</v>
      </c>
      <c r="AA65" s="4" t="str">
        <f t="shared" si="17"/>
        <v>48,57,86,144,240,480</v>
      </c>
      <c r="AB65" s="36">
        <f t="shared" si="18"/>
        <v>60</v>
      </c>
      <c r="AC65" s="36">
        <f t="shared" si="52"/>
        <v>48</v>
      </c>
      <c r="AD65" s="36">
        <f t="shared" si="62"/>
        <v>57</v>
      </c>
      <c r="AE65" s="36">
        <f t="shared" si="62"/>
        <v>86</v>
      </c>
      <c r="AF65" s="36">
        <f t="shared" si="62"/>
        <v>144</v>
      </c>
      <c r="AG65" s="36">
        <f t="shared" si="62"/>
        <v>240</v>
      </c>
      <c r="AH65" s="36">
        <f t="shared" si="42"/>
        <v>480</v>
      </c>
      <c r="AJ65" s="4" t="str">
        <f t="shared" si="21"/>
        <v>240,288,432,720,1200,</v>
      </c>
      <c r="AK65" s="36">
        <f t="shared" si="22"/>
        <v>300</v>
      </c>
      <c r="AL65" s="36">
        <f t="shared" si="23"/>
        <v>240</v>
      </c>
      <c r="AM65" s="36">
        <f t="shared" si="23"/>
        <v>288</v>
      </c>
      <c r="AN65" s="36">
        <f t="shared" si="23"/>
        <v>432</v>
      </c>
      <c r="AO65" s="36">
        <f t="shared" si="23"/>
        <v>720</v>
      </c>
      <c r="AP65" s="36">
        <f t="shared" si="23"/>
        <v>1200</v>
      </c>
      <c r="AR65" s="4" t="str">
        <f t="shared" si="24"/>
        <v>19200,23040,34560,57600,96000,</v>
      </c>
      <c r="AS65" s="36">
        <f t="shared" si="25"/>
        <v>24000</v>
      </c>
      <c r="AT65" s="36">
        <f t="shared" si="26"/>
        <v>19200</v>
      </c>
      <c r="AU65" s="36">
        <f t="shared" si="26"/>
        <v>23040</v>
      </c>
      <c r="AV65" s="36">
        <f t="shared" si="26"/>
        <v>34560</v>
      </c>
      <c r="AW65" s="36">
        <f t="shared" si="26"/>
        <v>57600</v>
      </c>
      <c r="AX65" s="36">
        <f t="shared" si="26"/>
        <v>96000</v>
      </c>
      <c r="AZ65" s="4">
        <f t="shared" si="27"/>
        <v>35</v>
      </c>
      <c r="BA65" s="4">
        <f t="shared" si="28"/>
        <v>3</v>
      </c>
      <c r="BB65" s="4">
        <f t="shared" si="29"/>
        <v>0</v>
      </c>
      <c r="BC65" s="35" t="str">
        <f t="shared" si="30"/>
        <v>35,</v>
      </c>
      <c r="BD65" s="35" t="str">
        <f t="shared" si="3"/>
        <v>6,</v>
      </c>
      <c r="BE65" s="35" t="str">
        <f t="shared" si="31"/>
        <v/>
      </c>
      <c r="BF65" s="36" t="str">
        <f t="shared" si="32"/>
        <v>1,</v>
      </c>
      <c r="BG65" s="36" t="str">
        <f>IF(BA65=0,"",IF(Z65=0,"3,4,5",VLOOKUP(Z65,{1,3;2,4;3,5},2,0))&amp;",")</f>
        <v>4,</v>
      </c>
      <c r="BH65" s="36" t="str">
        <f t="shared" si="33"/>
        <v/>
      </c>
      <c r="BI65" s="34" t="str">
        <f t="shared" si="34"/>
        <v>1,4</v>
      </c>
      <c r="BJ65" s="34" t="str">
        <f t="shared" si="37"/>
        <v>35,6</v>
      </c>
      <c r="BK65" s="34" t="str">
        <f t="shared" si="35"/>
        <v>0,4,7,10,21,42</v>
      </c>
      <c r="BL65" s="4">
        <f t="shared" si="4"/>
        <v>0</v>
      </c>
      <c r="BM65" s="4">
        <f t="shared" si="5"/>
        <v>4</v>
      </c>
      <c r="BN65" s="4">
        <f t="shared" si="6"/>
        <v>7</v>
      </c>
      <c r="BO65" s="4">
        <f t="shared" si="7"/>
        <v>10</v>
      </c>
      <c r="BP65" s="4">
        <f t="shared" si="8"/>
        <v>21</v>
      </c>
      <c r="BQ65" s="4">
        <f t="shared" si="9"/>
        <v>42</v>
      </c>
      <c r="BR65" s="34" t="str">
        <f t="shared" si="10"/>
        <v>4001,4002,4003,4004,4005,4006</v>
      </c>
      <c r="BS65" s="34" t="str">
        <f t="shared" si="36"/>
        <v>31001,31002,31003,31004,31005,31006</v>
      </c>
      <c r="BT65" s="4">
        <f>VLOOKUP(LOOKUP($Y65,$K$48:$K$55,$L$48:$L$55)&amp;BT$1&amp;$W65,装备额外附加!$M:$O,3,0)</f>
        <v>31001</v>
      </c>
      <c r="BU65" s="4">
        <f>VLOOKUP(LOOKUP($Y65,$K$48:$K$55,$L$48:$L$55)&amp;BU$1&amp;$W65,装备额外附加!$M:$O,3,0)</f>
        <v>31002</v>
      </c>
      <c r="BV65" s="4">
        <f>VLOOKUP(LOOKUP($Y65,$K$48:$K$55,$L$48:$L$55)&amp;BV$1&amp;$W65,装备额外附加!$M:$O,3,0)</f>
        <v>31003</v>
      </c>
      <c r="BW65" s="4">
        <f>VLOOKUP(LOOKUP($Y65,$K$48:$K$55,$L$48:$L$55)&amp;BW$1&amp;$W65,装备额外附加!$M:$O,3,0)</f>
        <v>31004</v>
      </c>
      <c r="BX65" s="4">
        <f>VLOOKUP(LOOKUP($Y65,$K$48:$K$55,$L$48:$L$55)&amp;BX$1&amp;$W65,装备额外附加!$M:$O,3,0)</f>
        <v>31005</v>
      </c>
      <c r="BY65" s="4">
        <f>VLOOKUP(LOOKUP($Y65,$K$48:$K$55,$L$48:$L$55)&amp;BY$1&amp;$W65,装备额外附加!$M:$O,3,0)</f>
        <v>31006</v>
      </c>
    </row>
    <row r="66" spans="18:77">
      <c r="R66" s="4" t="s">
        <v>306</v>
      </c>
      <c r="S66" s="4" t="str">
        <f t="shared" si="11"/>
        <v>103038</v>
      </c>
      <c r="T66" s="4" t="s">
        <v>307</v>
      </c>
      <c r="U66" s="36">
        <v>20</v>
      </c>
      <c r="V66" s="36" t="str">
        <f t="shared" si="12"/>
        <v>项链</v>
      </c>
      <c r="W66" s="36" t="str">
        <f t="shared" si="13"/>
        <v>项链</v>
      </c>
      <c r="X66" s="4">
        <f t="shared" si="14"/>
        <v>8</v>
      </c>
      <c r="Y66" s="4">
        <f t="shared" si="15"/>
        <v>24</v>
      </c>
      <c r="Z66" s="4">
        <f t="shared" si="16"/>
        <v>3</v>
      </c>
      <c r="AA66" s="4" t="str">
        <f t="shared" si="17"/>
        <v>54,64,97,162,270,540</v>
      </c>
      <c r="AB66" s="36">
        <f t="shared" si="18"/>
        <v>60</v>
      </c>
      <c r="AC66" s="36">
        <f t="shared" si="52"/>
        <v>54</v>
      </c>
      <c r="AD66" s="36">
        <f t="shared" si="62"/>
        <v>64</v>
      </c>
      <c r="AE66" s="36">
        <f t="shared" si="62"/>
        <v>97</v>
      </c>
      <c r="AF66" s="36">
        <f t="shared" si="62"/>
        <v>162</v>
      </c>
      <c r="AG66" s="36">
        <f t="shared" si="62"/>
        <v>270</v>
      </c>
      <c r="AH66" s="36">
        <f t="shared" si="42"/>
        <v>540</v>
      </c>
      <c r="AJ66" s="4" t="str">
        <f t="shared" si="21"/>
        <v>270,324,486,810,1350,</v>
      </c>
      <c r="AK66" s="36">
        <f t="shared" si="22"/>
        <v>300</v>
      </c>
      <c r="AL66" s="36">
        <f t="shared" ref="AL66:AP97" si="64">INT($AK66*VLOOKUP(AL$1,$B$11:$L$16,11,0)*VLOOKUP($V66,$C$22:$M$29,11,0))</f>
        <v>270</v>
      </c>
      <c r="AM66" s="36">
        <f t="shared" si="64"/>
        <v>324</v>
      </c>
      <c r="AN66" s="36">
        <f t="shared" si="64"/>
        <v>486</v>
      </c>
      <c r="AO66" s="36">
        <f t="shared" si="64"/>
        <v>810</v>
      </c>
      <c r="AP66" s="36">
        <f t="shared" si="64"/>
        <v>1350</v>
      </c>
      <c r="AR66" s="4" t="str">
        <f t="shared" si="24"/>
        <v>21600,25920,38880,64800,108000,</v>
      </c>
      <c r="AS66" s="36">
        <f t="shared" si="25"/>
        <v>24000</v>
      </c>
      <c r="AT66" s="36">
        <f t="shared" ref="AT66:AX97" si="65">INT($AS66*VLOOKUP(AT$1,$B$11:$L$16,11,0)*VLOOKUP($V66,$C$22:$M$29,11,0))</f>
        <v>21600</v>
      </c>
      <c r="AU66" s="36">
        <f t="shared" si="65"/>
        <v>25920</v>
      </c>
      <c r="AV66" s="36">
        <f t="shared" si="65"/>
        <v>38880</v>
      </c>
      <c r="AW66" s="36">
        <f t="shared" si="65"/>
        <v>64800</v>
      </c>
      <c r="AX66" s="36">
        <f t="shared" si="65"/>
        <v>108000</v>
      </c>
      <c r="AZ66" s="4">
        <f t="shared" si="27"/>
        <v>0</v>
      </c>
      <c r="BA66" s="4">
        <f t="shared" si="28"/>
        <v>4</v>
      </c>
      <c r="BB66" s="4">
        <f t="shared" si="29"/>
        <v>1</v>
      </c>
      <c r="BC66" s="35" t="str">
        <f t="shared" si="30"/>
        <v/>
      </c>
      <c r="BD66" s="35" t="str">
        <f t="shared" ref="BD66:BD129" si="66">IF(BA66=0,"",IF(Z66=0,BA66&amp;","&amp;BA66&amp;","&amp;BA66&amp;",",INT(BA66*2.2)&amp;","))</f>
        <v>8,</v>
      </c>
      <c r="BE66" s="35" t="str">
        <f t="shared" si="31"/>
        <v>1,</v>
      </c>
      <c r="BF66" s="36" t="str">
        <f t="shared" si="32"/>
        <v/>
      </c>
      <c r="BG66" s="36" t="str">
        <f>IF(BA66=0,"",IF(Z66=0,"3,4,5",VLOOKUP(Z66,{1,3;2,4;3,5},2,0))&amp;",")</f>
        <v>5,</v>
      </c>
      <c r="BH66" s="36" t="str">
        <f t="shared" si="33"/>
        <v>6,</v>
      </c>
      <c r="BI66" s="34" t="str">
        <f t="shared" si="34"/>
        <v>5,6</v>
      </c>
      <c r="BJ66" s="34" t="str">
        <f t="shared" si="37"/>
        <v>8,1</v>
      </c>
      <c r="BK66" s="34" t="str">
        <f t="shared" si="35"/>
        <v>0,4,7,10,21,42</v>
      </c>
      <c r="BL66" s="4">
        <f t="shared" ref="BL66:BL129" si="67">INT(LOOKUP($Y66,$B$48:$B$55,C$48:C$55)*VLOOKUP($V66,$C$22:$N$29,12,0))</f>
        <v>0</v>
      </c>
      <c r="BM66" s="4">
        <f t="shared" ref="BM66:BM129" si="68">INT(LOOKUP($Y66,$B$48:$B$55,D$48:D$55)*VLOOKUP($V66,$C$22:$N$29,12,0))</f>
        <v>4</v>
      </c>
      <c r="BN66" s="4">
        <f t="shared" ref="BN66:BN129" si="69">INT(LOOKUP($Y66,$B$48:$B$55,E$48:E$55)*VLOOKUP($V66,$C$22:$N$29,12,0))</f>
        <v>7</v>
      </c>
      <c r="BO66" s="4">
        <f t="shared" ref="BO66:BO129" si="70">INT(LOOKUP($Y66,$B$48:$B$55,F$48:F$55)*VLOOKUP($V66,$C$22:$N$29,12,0))</f>
        <v>10</v>
      </c>
      <c r="BP66" s="4">
        <f t="shared" ref="BP66:BP129" si="71">INT(LOOKUP($Y66,$B$48:$B$55,G$48:G$55)*VLOOKUP($V66,$C$22:$N$29,12,0))</f>
        <v>21</v>
      </c>
      <c r="BQ66" s="4">
        <f t="shared" ref="BQ66:BQ129" si="72">INT(LOOKUP($Y66,$B$48:$B$55,H$48:H$55)*VLOOKUP($V66,$C$22:$N$29,12,0))</f>
        <v>42</v>
      </c>
      <c r="BR66" s="34" t="str">
        <f t="shared" ref="BR66:BR129" si="73">IF(V66="武器",$H$68,IF(V66="手镯",$H$70,IF(V66="戒指",$H$71,$H$69)))</f>
        <v>2001,2002,2003,2004,2005,2006</v>
      </c>
      <c r="BS66" s="34" t="str">
        <f t="shared" si="36"/>
        <v>51001,51002,51003,51004,51005,51006</v>
      </c>
      <c r="BT66" s="4">
        <f>VLOOKUP(LOOKUP($Y66,$K$48:$K$55,$L$48:$L$55)&amp;BT$1&amp;$W66,装备额外附加!$M:$O,3,0)</f>
        <v>51001</v>
      </c>
      <c r="BU66" s="4">
        <f>VLOOKUP(LOOKUP($Y66,$K$48:$K$55,$L$48:$L$55)&amp;BU$1&amp;$W66,装备额外附加!$M:$O,3,0)</f>
        <v>51002</v>
      </c>
      <c r="BV66" s="4">
        <f>VLOOKUP(LOOKUP($Y66,$K$48:$K$55,$L$48:$L$55)&amp;BV$1&amp;$W66,装备额外附加!$M:$O,3,0)</f>
        <v>51003</v>
      </c>
      <c r="BW66" s="4">
        <f>VLOOKUP(LOOKUP($Y66,$K$48:$K$55,$L$48:$L$55)&amp;BW$1&amp;$W66,装备额外附加!$M:$O,3,0)</f>
        <v>51004</v>
      </c>
      <c r="BX66" s="4">
        <f>VLOOKUP(LOOKUP($Y66,$K$48:$K$55,$L$48:$L$55)&amp;BX$1&amp;$W66,装备额外附加!$M:$O,3,0)</f>
        <v>51005</v>
      </c>
      <c r="BY66" s="4">
        <f>VLOOKUP(LOOKUP($Y66,$K$48:$K$55,$L$48:$L$55)&amp;BY$1&amp;$W66,装备额外附加!$M:$O,3,0)</f>
        <v>51006</v>
      </c>
    </row>
    <row r="67" spans="1:77">
      <c r="A67" s="47" t="s">
        <v>308</v>
      </c>
      <c r="R67" s="4" t="s">
        <v>309</v>
      </c>
      <c r="S67" s="4" t="str">
        <f t="shared" ref="S67:S130" si="74">10&amp;(U67+10)&amp;TEXT(Z67,"0")&amp;X67</f>
        <v>103036</v>
      </c>
      <c r="T67" s="4" t="s">
        <v>310</v>
      </c>
      <c r="U67" s="36">
        <v>20</v>
      </c>
      <c r="V67" s="36" t="str">
        <f t="shared" ref="V67:V130" si="75">RIGHT(T67,2)</f>
        <v>手镯</v>
      </c>
      <c r="W67" s="36" t="str">
        <f t="shared" ref="W67:W130" si="76">VLOOKUP(V67,$C$22:$I$29,7,0)</f>
        <v>手镯</v>
      </c>
      <c r="X67" s="4">
        <f t="shared" ref="X67:X130" si="77">VLOOKUP(V67,$C$22:$L$29,9,)</f>
        <v>6</v>
      </c>
      <c r="Y67" s="4">
        <f t="shared" ref="Y67:Y130" si="78">U67+VLOOKUP(RIGHT(T67,2),$C$22:$L$29,10,0)</f>
        <v>26</v>
      </c>
      <c r="Z67" s="4">
        <f t="shared" ref="Z67:Z130" si="79">VLOOKUP(MID(T67,4,2),$O$22:$P$25,2,0)</f>
        <v>3</v>
      </c>
      <c r="AA67" s="4" t="str">
        <f t="shared" ref="AA67:AA130" si="80">AC67&amp;","&amp;AD67&amp;","&amp;AE67&amp;","&amp;AF67&amp;","&amp;AG67&amp;","&amp;AH67</f>
        <v>48,57,86,144,240,480</v>
      </c>
      <c r="AB67" s="36">
        <f t="shared" ref="AB67:AB130" si="81">LEFT(T67,2)*2</f>
        <v>60</v>
      </c>
      <c r="AC67" s="36">
        <f t="shared" si="52"/>
        <v>48</v>
      </c>
      <c r="AD67" s="36">
        <f t="shared" si="62"/>
        <v>57</v>
      </c>
      <c r="AE67" s="36">
        <f t="shared" si="62"/>
        <v>86</v>
      </c>
      <c r="AF67" s="36">
        <f t="shared" si="62"/>
        <v>144</v>
      </c>
      <c r="AG67" s="36">
        <f t="shared" si="62"/>
        <v>240</v>
      </c>
      <c r="AH67" s="36">
        <f t="shared" si="42"/>
        <v>480</v>
      </c>
      <c r="AJ67" s="4" t="str">
        <f t="shared" ref="AJ67:AJ130" si="82">AL67&amp;","&amp;AM67&amp;","&amp;AN67&amp;","&amp;AO67&amp;","&amp;AP67&amp;","&amp;AQ67</f>
        <v>240,288,432,720,1200,</v>
      </c>
      <c r="AK67" s="36">
        <f t="shared" ref="AK67:AK130" si="83">LEFT(T67,2)*10</f>
        <v>300</v>
      </c>
      <c r="AL67" s="36">
        <f t="shared" si="64"/>
        <v>240</v>
      </c>
      <c r="AM67" s="36">
        <f t="shared" si="64"/>
        <v>288</v>
      </c>
      <c r="AN67" s="36">
        <f t="shared" si="64"/>
        <v>432</v>
      </c>
      <c r="AO67" s="36">
        <f t="shared" si="64"/>
        <v>720</v>
      </c>
      <c r="AP67" s="36">
        <f t="shared" si="64"/>
        <v>1200</v>
      </c>
      <c r="AR67" s="4" t="str">
        <f t="shared" ref="AR67:AR130" si="84">AT67&amp;","&amp;AU67&amp;","&amp;AV67&amp;","&amp;AW67&amp;","&amp;AX67&amp;","&amp;AY67</f>
        <v>19200,23040,34560,57600,96000,</v>
      </c>
      <c r="AS67" s="36">
        <f t="shared" ref="AS67:AS130" si="85">AK67*80</f>
        <v>24000</v>
      </c>
      <c r="AT67" s="36">
        <f t="shared" si="65"/>
        <v>19200</v>
      </c>
      <c r="AU67" s="36">
        <f t="shared" si="65"/>
        <v>23040</v>
      </c>
      <c r="AV67" s="36">
        <f t="shared" si="65"/>
        <v>34560</v>
      </c>
      <c r="AW67" s="36">
        <f t="shared" si="65"/>
        <v>57600</v>
      </c>
      <c r="AX67" s="36">
        <f t="shared" si="65"/>
        <v>96000</v>
      </c>
      <c r="AZ67" s="4">
        <f t="shared" ref="AZ67:AZ130" si="86">INT(LOOKUP($Y67,$B$34:$B$41,$D$34:$D$41)*VLOOKUP($V67,$C$22:$F$29,2,0))</f>
        <v>35</v>
      </c>
      <c r="BA67" s="4">
        <f t="shared" ref="BA67:BA130" si="87">INT(LOOKUP($Y67,$B$34:$B$41,$F$34:$F$41)*VLOOKUP($V67,$C$22:$F$29,3,0))</f>
        <v>3</v>
      </c>
      <c r="BB67" s="4">
        <f t="shared" ref="BB67:BB130" si="88">INT(LOOKUP($Y67,$B$34:$B$41,$I$34:$I$41)*VLOOKUP($V67,$C$22:$F$29,4,0))</f>
        <v>0</v>
      </c>
      <c r="BC67" s="35" t="str">
        <f t="shared" ref="BC67:BC130" si="89">IF(AZ67=0,"",AZ67&amp;",")</f>
        <v>35,</v>
      </c>
      <c r="BD67" s="35" t="str">
        <f t="shared" si="66"/>
        <v>6,</v>
      </c>
      <c r="BE67" s="35" t="str">
        <f t="shared" ref="BE67:BE130" si="90">IF(BB67=0,"",BB67&amp;",")</f>
        <v/>
      </c>
      <c r="BF67" s="36" t="str">
        <f t="shared" ref="BF67:BF130" si="91">IF(AZ67=0,"","1,")</f>
        <v>1,</v>
      </c>
      <c r="BG67" s="36" t="str">
        <f>IF(BA67=0,"",IF(Z67=0,"3,4,5",VLOOKUP(Z67,{1,3;2,4;3,5},2,0))&amp;",")</f>
        <v>5,</v>
      </c>
      <c r="BH67" s="36" t="str">
        <f t="shared" ref="BH67:BH130" si="92">IF(BB67=0,"","6,")</f>
        <v/>
      </c>
      <c r="BI67" s="34" t="str">
        <f t="shared" ref="BI67:BI130" si="93">LEFT(BF67&amp;BG67&amp;BH67,LEN(BF67&amp;BG67&amp;BH67)-1)</f>
        <v>1,5</v>
      </c>
      <c r="BJ67" s="34" t="str">
        <f t="shared" si="37"/>
        <v>35,6</v>
      </c>
      <c r="BK67" s="34" t="str">
        <f t="shared" ref="BK67:BK130" si="94">BL67&amp;","&amp;BM67&amp;","&amp;BN67&amp;","&amp;BO67&amp;","&amp;BP67&amp;","&amp;BQ67</f>
        <v>0,4,7,10,21,42</v>
      </c>
      <c r="BL67" s="4">
        <f t="shared" si="67"/>
        <v>0</v>
      </c>
      <c r="BM67" s="4">
        <f t="shared" si="68"/>
        <v>4</v>
      </c>
      <c r="BN67" s="4">
        <f t="shared" si="69"/>
        <v>7</v>
      </c>
      <c r="BO67" s="4">
        <f t="shared" si="70"/>
        <v>10</v>
      </c>
      <c r="BP67" s="4">
        <f t="shared" si="71"/>
        <v>21</v>
      </c>
      <c r="BQ67" s="4">
        <f t="shared" si="72"/>
        <v>42</v>
      </c>
      <c r="BR67" s="34" t="str">
        <f t="shared" si="73"/>
        <v>3001,3002,3003,3004,3005,3006</v>
      </c>
      <c r="BS67" s="34" t="str">
        <f t="shared" ref="BS67:BS130" si="95">BT67&amp;","&amp;BU67&amp;","&amp;BV67&amp;","&amp;BW67&amp;","&amp;BX67&amp;","&amp;BY67</f>
        <v>41001,41002,41003,41004,41005,41006</v>
      </c>
      <c r="BT67" s="4">
        <f>VLOOKUP(LOOKUP($Y67,$K$48:$K$55,$L$48:$L$55)&amp;BT$1&amp;$W67,装备额外附加!$M:$O,3,0)</f>
        <v>41001</v>
      </c>
      <c r="BU67" s="4">
        <f>VLOOKUP(LOOKUP($Y67,$K$48:$K$55,$L$48:$L$55)&amp;BU$1&amp;$W67,装备额外附加!$M:$O,3,0)</f>
        <v>41002</v>
      </c>
      <c r="BV67" s="4">
        <f>VLOOKUP(LOOKUP($Y67,$K$48:$K$55,$L$48:$L$55)&amp;BV$1&amp;$W67,装备额外附加!$M:$O,3,0)</f>
        <v>41003</v>
      </c>
      <c r="BW67" s="4">
        <f>VLOOKUP(LOOKUP($Y67,$K$48:$K$55,$L$48:$L$55)&amp;BW$1&amp;$W67,装备额外附加!$M:$O,3,0)</f>
        <v>41004</v>
      </c>
      <c r="BX67" s="4">
        <f>VLOOKUP(LOOKUP($Y67,$K$48:$K$55,$L$48:$L$55)&amp;BX$1&amp;$W67,装备额外附加!$M:$O,3,0)</f>
        <v>41005</v>
      </c>
      <c r="BY67" s="4">
        <f>VLOOKUP(LOOKUP($Y67,$K$48:$K$55,$L$48:$L$55)&amp;BY$1&amp;$W67,装备额外附加!$M:$O,3,0)</f>
        <v>41006</v>
      </c>
    </row>
    <row r="68" spans="2:77">
      <c r="B68" s="4" t="s">
        <v>198</v>
      </c>
      <c r="C68" s="4" t="s">
        <v>74</v>
      </c>
      <c r="D68" s="4" t="s">
        <v>13</v>
      </c>
      <c r="E68" s="4" t="s">
        <v>14</v>
      </c>
      <c r="F68" s="4" t="s">
        <v>15</v>
      </c>
      <c r="H68" s="81" t="s">
        <v>311</v>
      </c>
      <c r="R68" s="4" t="s">
        <v>312</v>
      </c>
      <c r="S68" s="4" t="str">
        <f t="shared" si="74"/>
        <v>103037</v>
      </c>
      <c r="T68" s="4" t="s">
        <v>313</v>
      </c>
      <c r="U68" s="36">
        <v>20</v>
      </c>
      <c r="V68" s="36" t="str">
        <f t="shared" si="75"/>
        <v>戒指</v>
      </c>
      <c r="W68" s="36" t="str">
        <f t="shared" si="76"/>
        <v>戒指</v>
      </c>
      <c r="X68" s="4">
        <f t="shared" si="77"/>
        <v>7</v>
      </c>
      <c r="Y68" s="4">
        <f t="shared" si="78"/>
        <v>23</v>
      </c>
      <c r="Z68" s="4">
        <f t="shared" si="79"/>
        <v>3</v>
      </c>
      <c r="AA68" s="4" t="str">
        <f t="shared" si="80"/>
        <v>48,57,86,144,240,480</v>
      </c>
      <c r="AB68" s="36">
        <f t="shared" si="81"/>
        <v>60</v>
      </c>
      <c r="AC68" s="36">
        <f t="shared" si="52"/>
        <v>48</v>
      </c>
      <c r="AD68" s="36">
        <f t="shared" si="62"/>
        <v>57</v>
      </c>
      <c r="AE68" s="36">
        <f t="shared" si="62"/>
        <v>86</v>
      </c>
      <c r="AF68" s="36">
        <f t="shared" si="62"/>
        <v>144</v>
      </c>
      <c r="AG68" s="36">
        <f t="shared" si="62"/>
        <v>240</v>
      </c>
      <c r="AH68" s="36">
        <f t="shared" si="42"/>
        <v>480</v>
      </c>
      <c r="AJ68" s="4" t="str">
        <f t="shared" si="82"/>
        <v>240,288,432,720,1200,</v>
      </c>
      <c r="AK68" s="36">
        <f t="shared" si="83"/>
        <v>300</v>
      </c>
      <c r="AL68" s="36">
        <f t="shared" si="64"/>
        <v>240</v>
      </c>
      <c r="AM68" s="36">
        <f t="shared" si="64"/>
        <v>288</v>
      </c>
      <c r="AN68" s="36">
        <f t="shared" si="64"/>
        <v>432</v>
      </c>
      <c r="AO68" s="36">
        <f t="shared" si="64"/>
        <v>720</v>
      </c>
      <c r="AP68" s="36">
        <f t="shared" si="64"/>
        <v>1200</v>
      </c>
      <c r="AR68" s="4" t="str">
        <f t="shared" si="84"/>
        <v>19200,23040,34560,57600,96000,</v>
      </c>
      <c r="AS68" s="36">
        <f t="shared" si="85"/>
        <v>24000</v>
      </c>
      <c r="AT68" s="36">
        <f t="shared" si="65"/>
        <v>19200</v>
      </c>
      <c r="AU68" s="36">
        <f t="shared" si="65"/>
        <v>23040</v>
      </c>
      <c r="AV68" s="36">
        <f t="shared" si="65"/>
        <v>34560</v>
      </c>
      <c r="AW68" s="36">
        <f t="shared" si="65"/>
        <v>57600</v>
      </c>
      <c r="AX68" s="36">
        <f t="shared" si="65"/>
        <v>96000</v>
      </c>
      <c r="AZ68" s="4">
        <f t="shared" si="86"/>
        <v>35</v>
      </c>
      <c r="BA68" s="4">
        <f t="shared" si="87"/>
        <v>3</v>
      </c>
      <c r="BB68" s="4">
        <f t="shared" si="88"/>
        <v>0</v>
      </c>
      <c r="BC68" s="35" t="str">
        <f t="shared" si="89"/>
        <v>35,</v>
      </c>
      <c r="BD68" s="35" t="str">
        <f t="shared" si="66"/>
        <v>6,</v>
      </c>
      <c r="BE68" s="35" t="str">
        <f t="shared" si="90"/>
        <v/>
      </c>
      <c r="BF68" s="36" t="str">
        <f t="shared" si="91"/>
        <v>1,</v>
      </c>
      <c r="BG68" s="36" t="str">
        <f>IF(BA68=0,"",IF(Z68=0,"3,4,5",VLOOKUP(Z68,{1,3;2,4;3,5},2,0))&amp;",")</f>
        <v>5,</v>
      </c>
      <c r="BH68" s="36" t="str">
        <f t="shared" si="92"/>
        <v/>
      </c>
      <c r="BI68" s="34" t="str">
        <f t="shared" si="93"/>
        <v>1,5</v>
      </c>
      <c r="BJ68" s="34" t="str">
        <f t="shared" ref="BJ68:BJ131" si="96">LEFT(BC68&amp;BD68&amp;BE68,LEN(BC68&amp;BD68&amp;BE68)-1)</f>
        <v>35,6</v>
      </c>
      <c r="BK68" s="34" t="str">
        <f t="shared" si="94"/>
        <v>0,4,7,10,21,42</v>
      </c>
      <c r="BL68" s="4">
        <f t="shared" si="67"/>
        <v>0</v>
      </c>
      <c r="BM68" s="4">
        <f t="shared" si="68"/>
        <v>4</v>
      </c>
      <c r="BN68" s="4">
        <f t="shared" si="69"/>
        <v>7</v>
      </c>
      <c r="BO68" s="4">
        <f t="shared" si="70"/>
        <v>10</v>
      </c>
      <c r="BP68" s="4">
        <f t="shared" si="71"/>
        <v>21</v>
      </c>
      <c r="BQ68" s="4">
        <f t="shared" si="72"/>
        <v>42</v>
      </c>
      <c r="BR68" s="34" t="str">
        <f t="shared" si="73"/>
        <v>4001,4002,4003,4004,4005,4006</v>
      </c>
      <c r="BS68" s="34" t="str">
        <f t="shared" si="95"/>
        <v>31001,31002,31003,31004,31005,31006</v>
      </c>
      <c r="BT68" s="4">
        <f>VLOOKUP(LOOKUP($Y68,$K$48:$K$55,$L$48:$L$55)&amp;BT$1&amp;$W68,装备额外附加!$M:$O,3,0)</f>
        <v>31001</v>
      </c>
      <c r="BU68" s="4">
        <f>VLOOKUP(LOOKUP($Y68,$K$48:$K$55,$L$48:$L$55)&amp;BU$1&amp;$W68,装备额外附加!$M:$O,3,0)</f>
        <v>31002</v>
      </c>
      <c r="BV68" s="4">
        <f>VLOOKUP(LOOKUP($Y68,$K$48:$K$55,$L$48:$L$55)&amp;BV$1&amp;$W68,装备额外附加!$M:$O,3,0)</f>
        <v>31003</v>
      </c>
      <c r="BW68" s="4">
        <f>VLOOKUP(LOOKUP($Y68,$K$48:$K$55,$L$48:$L$55)&amp;BW$1&amp;$W68,装备额外附加!$M:$O,3,0)</f>
        <v>31004</v>
      </c>
      <c r="BX68" s="4">
        <f>VLOOKUP(LOOKUP($Y68,$K$48:$K$55,$L$48:$L$55)&amp;BX$1&amp;$W68,装备额外附加!$M:$O,3,0)</f>
        <v>31005</v>
      </c>
      <c r="BY68" s="4">
        <f>VLOOKUP(LOOKUP($Y68,$K$48:$K$55,$L$48:$L$55)&amp;BY$1&amp;$W68,装备额外附加!$M:$O,3,0)</f>
        <v>31006</v>
      </c>
    </row>
    <row r="69" spans="2:77">
      <c r="B69" s="4" t="s">
        <v>203</v>
      </c>
      <c r="C69" s="4" t="s">
        <v>74</v>
      </c>
      <c r="D69" s="4" t="s">
        <v>13</v>
      </c>
      <c r="E69" s="4" t="s">
        <v>14</v>
      </c>
      <c r="F69" s="4" t="s">
        <v>15</v>
      </c>
      <c r="G69" s="4" t="s">
        <v>17</v>
      </c>
      <c r="H69" s="82" t="s">
        <v>314</v>
      </c>
      <c r="R69" s="4" t="s">
        <v>315</v>
      </c>
      <c r="S69" s="4" t="str">
        <f t="shared" si="74"/>
        <v>104018</v>
      </c>
      <c r="T69" s="4" t="s">
        <v>316</v>
      </c>
      <c r="U69" s="36">
        <v>30</v>
      </c>
      <c r="V69" s="36" t="str">
        <f t="shared" si="75"/>
        <v>项链</v>
      </c>
      <c r="W69" s="36" t="str">
        <f t="shared" si="76"/>
        <v>项链</v>
      </c>
      <c r="X69" s="4">
        <f t="shared" si="77"/>
        <v>8</v>
      </c>
      <c r="Y69" s="4">
        <f t="shared" si="78"/>
        <v>34</v>
      </c>
      <c r="Z69" s="4">
        <f t="shared" si="79"/>
        <v>1</v>
      </c>
      <c r="AA69" s="4" t="str">
        <f t="shared" si="80"/>
        <v>72,86,129,216,360,720</v>
      </c>
      <c r="AB69" s="36">
        <f t="shared" si="81"/>
        <v>80</v>
      </c>
      <c r="AC69" s="36">
        <f t="shared" si="52"/>
        <v>72</v>
      </c>
      <c r="AD69" s="36">
        <f t="shared" si="62"/>
        <v>86</v>
      </c>
      <c r="AE69" s="36">
        <f t="shared" si="62"/>
        <v>129</v>
      </c>
      <c r="AF69" s="36">
        <f t="shared" si="62"/>
        <v>216</v>
      </c>
      <c r="AG69" s="36">
        <f t="shared" si="62"/>
        <v>360</v>
      </c>
      <c r="AH69" s="36">
        <f t="shared" si="42"/>
        <v>720</v>
      </c>
      <c r="AJ69" s="4" t="str">
        <f t="shared" si="82"/>
        <v>360,432,648,1080,1800,</v>
      </c>
      <c r="AK69" s="36">
        <f t="shared" si="83"/>
        <v>400</v>
      </c>
      <c r="AL69" s="36">
        <f t="shared" si="64"/>
        <v>360</v>
      </c>
      <c r="AM69" s="36">
        <f t="shared" si="64"/>
        <v>432</v>
      </c>
      <c r="AN69" s="36">
        <f t="shared" si="64"/>
        <v>648</v>
      </c>
      <c r="AO69" s="36">
        <f t="shared" si="64"/>
        <v>1080</v>
      </c>
      <c r="AP69" s="36">
        <f t="shared" si="64"/>
        <v>1800</v>
      </c>
      <c r="AR69" s="4" t="str">
        <f t="shared" si="84"/>
        <v>28800,34560,51840,86400,144000,</v>
      </c>
      <c r="AS69" s="36">
        <f t="shared" si="85"/>
        <v>32000</v>
      </c>
      <c r="AT69" s="36">
        <f t="shared" si="65"/>
        <v>28800</v>
      </c>
      <c r="AU69" s="36">
        <f t="shared" si="65"/>
        <v>34560</v>
      </c>
      <c r="AV69" s="36">
        <f t="shared" si="65"/>
        <v>51840</v>
      </c>
      <c r="AW69" s="36">
        <f t="shared" si="65"/>
        <v>86400</v>
      </c>
      <c r="AX69" s="36">
        <f t="shared" si="65"/>
        <v>144000</v>
      </c>
      <c r="AZ69" s="4">
        <f t="shared" si="86"/>
        <v>0</v>
      </c>
      <c r="BA69" s="4">
        <f t="shared" si="87"/>
        <v>6</v>
      </c>
      <c r="BB69" s="4">
        <f t="shared" si="88"/>
        <v>2</v>
      </c>
      <c r="BC69" s="35" t="str">
        <f t="shared" si="89"/>
        <v/>
      </c>
      <c r="BD69" s="35" t="str">
        <f t="shared" si="66"/>
        <v>13,</v>
      </c>
      <c r="BE69" s="35" t="str">
        <f t="shared" si="90"/>
        <v>2,</v>
      </c>
      <c r="BF69" s="36" t="str">
        <f t="shared" si="91"/>
        <v/>
      </c>
      <c r="BG69" s="36" t="str">
        <f>IF(BA69=0,"",IF(Z69=0,"3,4,5",VLOOKUP(Z69,{1,3;2,4;3,5},2,0))&amp;",")</f>
        <v>3,</v>
      </c>
      <c r="BH69" s="36" t="str">
        <f t="shared" si="92"/>
        <v>6,</v>
      </c>
      <c r="BI69" s="34" t="str">
        <f t="shared" si="93"/>
        <v>3,6</v>
      </c>
      <c r="BJ69" s="34" t="str">
        <f t="shared" si="96"/>
        <v>13,2</v>
      </c>
      <c r="BK69" s="34" t="str">
        <f t="shared" si="94"/>
        <v>0,6,9,14,28,56</v>
      </c>
      <c r="BL69" s="4">
        <f t="shared" si="67"/>
        <v>0</v>
      </c>
      <c r="BM69" s="4">
        <f t="shared" si="68"/>
        <v>6</v>
      </c>
      <c r="BN69" s="4">
        <f t="shared" si="69"/>
        <v>9</v>
      </c>
      <c r="BO69" s="4">
        <f t="shared" si="70"/>
        <v>14</v>
      </c>
      <c r="BP69" s="4">
        <f t="shared" si="71"/>
        <v>28</v>
      </c>
      <c r="BQ69" s="4">
        <f t="shared" si="72"/>
        <v>56</v>
      </c>
      <c r="BR69" s="34" t="str">
        <f t="shared" si="73"/>
        <v>2001,2002,2003,2004,2005,2006</v>
      </c>
      <c r="BS69" s="34" t="str">
        <f t="shared" si="95"/>
        <v>51001,51002,51003,51004,51005,51006</v>
      </c>
      <c r="BT69" s="4">
        <f>VLOOKUP(LOOKUP($Y69,$K$48:$K$55,$L$48:$L$55)&amp;BT$1&amp;$W69,装备额外附加!$M:$O,3,0)</f>
        <v>51001</v>
      </c>
      <c r="BU69" s="4">
        <f>VLOOKUP(LOOKUP($Y69,$K$48:$K$55,$L$48:$L$55)&amp;BU$1&amp;$W69,装备额外附加!$M:$O,3,0)</f>
        <v>51002</v>
      </c>
      <c r="BV69" s="4">
        <f>VLOOKUP(LOOKUP($Y69,$K$48:$K$55,$L$48:$L$55)&amp;BV$1&amp;$W69,装备额外附加!$M:$O,3,0)</f>
        <v>51003</v>
      </c>
      <c r="BW69" s="4">
        <f>VLOOKUP(LOOKUP($Y69,$K$48:$K$55,$L$48:$L$55)&amp;BW$1&amp;$W69,装备额外附加!$M:$O,3,0)</f>
        <v>51004</v>
      </c>
      <c r="BX69" s="4">
        <f>VLOOKUP(LOOKUP($Y69,$K$48:$K$55,$L$48:$L$55)&amp;BX$1&amp;$W69,装备额外附加!$M:$O,3,0)</f>
        <v>51005</v>
      </c>
      <c r="BY69" s="4">
        <f>VLOOKUP(LOOKUP($Y69,$K$48:$K$55,$L$48:$L$55)&amp;BY$1&amp;$W69,装备额外附加!$M:$O,3,0)</f>
        <v>51006</v>
      </c>
    </row>
    <row r="70" spans="2:77">
      <c r="B70" s="4" t="s">
        <v>218</v>
      </c>
      <c r="C70" s="4" t="s">
        <v>74</v>
      </c>
      <c r="D70" s="4" t="s">
        <v>13</v>
      </c>
      <c r="E70" s="4" t="s">
        <v>14</v>
      </c>
      <c r="F70" s="4" t="s">
        <v>15</v>
      </c>
      <c r="G70" s="4" t="s">
        <v>17</v>
      </c>
      <c r="H70" s="82" t="s">
        <v>317</v>
      </c>
      <c r="R70" s="4" t="s">
        <v>318</v>
      </c>
      <c r="S70" s="4" t="str">
        <f t="shared" si="74"/>
        <v>104016</v>
      </c>
      <c r="T70" s="4" t="s">
        <v>319</v>
      </c>
      <c r="U70" s="36">
        <v>30</v>
      </c>
      <c r="V70" s="36" t="str">
        <f t="shared" si="75"/>
        <v>手镯</v>
      </c>
      <c r="W70" s="36" t="str">
        <f t="shared" si="76"/>
        <v>手镯</v>
      </c>
      <c r="X70" s="4">
        <f t="shared" si="77"/>
        <v>6</v>
      </c>
      <c r="Y70" s="4">
        <f t="shared" si="78"/>
        <v>36</v>
      </c>
      <c r="Z70" s="4">
        <f t="shared" si="79"/>
        <v>1</v>
      </c>
      <c r="AA70" s="4" t="str">
        <f t="shared" si="80"/>
        <v>64,76,115,192,320,640</v>
      </c>
      <c r="AB70" s="36">
        <f t="shared" si="81"/>
        <v>80</v>
      </c>
      <c r="AC70" s="36">
        <f t="shared" si="52"/>
        <v>64</v>
      </c>
      <c r="AD70" s="36">
        <f t="shared" si="62"/>
        <v>76</v>
      </c>
      <c r="AE70" s="36">
        <f t="shared" si="62"/>
        <v>115</v>
      </c>
      <c r="AF70" s="36">
        <f t="shared" si="62"/>
        <v>192</v>
      </c>
      <c r="AG70" s="36">
        <f t="shared" si="62"/>
        <v>320</v>
      </c>
      <c r="AH70" s="36">
        <f t="shared" si="42"/>
        <v>640</v>
      </c>
      <c r="AJ70" s="4" t="str">
        <f t="shared" si="82"/>
        <v>320,384,576,960,1600,</v>
      </c>
      <c r="AK70" s="36">
        <f t="shared" si="83"/>
        <v>400</v>
      </c>
      <c r="AL70" s="36">
        <f t="shared" si="64"/>
        <v>320</v>
      </c>
      <c r="AM70" s="36">
        <f t="shared" si="64"/>
        <v>384</v>
      </c>
      <c r="AN70" s="36">
        <f t="shared" si="64"/>
        <v>576</v>
      </c>
      <c r="AO70" s="36">
        <f t="shared" si="64"/>
        <v>960</v>
      </c>
      <c r="AP70" s="36">
        <f t="shared" si="64"/>
        <v>1600</v>
      </c>
      <c r="AR70" s="4" t="str">
        <f t="shared" si="84"/>
        <v>25600,30720,46080,76800,128000,</v>
      </c>
      <c r="AS70" s="36">
        <f t="shared" si="85"/>
        <v>32000</v>
      </c>
      <c r="AT70" s="36">
        <f t="shared" si="65"/>
        <v>25600</v>
      </c>
      <c r="AU70" s="36">
        <f t="shared" si="65"/>
        <v>30720</v>
      </c>
      <c r="AV70" s="36">
        <f t="shared" si="65"/>
        <v>46080</v>
      </c>
      <c r="AW70" s="36">
        <f t="shared" si="65"/>
        <v>76800</v>
      </c>
      <c r="AX70" s="36">
        <f t="shared" si="65"/>
        <v>128000</v>
      </c>
      <c r="AZ70" s="4">
        <f t="shared" si="86"/>
        <v>47</v>
      </c>
      <c r="BA70" s="4">
        <f t="shared" si="87"/>
        <v>4</v>
      </c>
      <c r="BB70" s="4">
        <f t="shared" si="88"/>
        <v>0</v>
      </c>
      <c r="BC70" s="35" t="str">
        <f t="shared" si="89"/>
        <v>47,</v>
      </c>
      <c r="BD70" s="35" t="str">
        <f t="shared" si="66"/>
        <v>8,</v>
      </c>
      <c r="BE70" s="35" t="str">
        <f t="shared" si="90"/>
        <v/>
      </c>
      <c r="BF70" s="36" t="str">
        <f t="shared" si="91"/>
        <v>1,</v>
      </c>
      <c r="BG70" s="36" t="str">
        <f>IF(BA70=0,"",IF(Z70=0,"3,4,5",VLOOKUP(Z70,{1,3;2,4;3,5},2,0))&amp;",")</f>
        <v>3,</v>
      </c>
      <c r="BH70" s="36" t="str">
        <f t="shared" si="92"/>
        <v/>
      </c>
      <c r="BI70" s="34" t="str">
        <f t="shared" si="93"/>
        <v>1,3</v>
      </c>
      <c r="BJ70" s="34" t="str">
        <f t="shared" si="96"/>
        <v>47,8</v>
      </c>
      <c r="BK70" s="34" t="str">
        <f t="shared" si="94"/>
        <v>0,6,9,14,28,56</v>
      </c>
      <c r="BL70" s="4">
        <f t="shared" si="67"/>
        <v>0</v>
      </c>
      <c r="BM70" s="4">
        <f t="shared" si="68"/>
        <v>6</v>
      </c>
      <c r="BN70" s="4">
        <f t="shared" si="69"/>
        <v>9</v>
      </c>
      <c r="BO70" s="4">
        <f t="shared" si="70"/>
        <v>14</v>
      </c>
      <c r="BP70" s="4">
        <f t="shared" si="71"/>
        <v>28</v>
      </c>
      <c r="BQ70" s="4">
        <f t="shared" si="72"/>
        <v>56</v>
      </c>
      <c r="BR70" s="34" t="str">
        <f t="shared" si="73"/>
        <v>3001,3002,3003,3004,3005,3006</v>
      </c>
      <c r="BS70" s="34" t="str">
        <f t="shared" si="95"/>
        <v>41001,41002,41003,41004,41005,41006</v>
      </c>
      <c r="BT70" s="4">
        <f>VLOOKUP(LOOKUP($Y70,$K$48:$K$55,$L$48:$L$55)&amp;BT$1&amp;$W70,装备额外附加!$M:$O,3,0)</f>
        <v>41001</v>
      </c>
      <c r="BU70" s="4">
        <f>VLOOKUP(LOOKUP($Y70,$K$48:$K$55,$L$48:$L$55)&amp;BU$1&amp;$W70,装备额外附加!$M:$O,3,0)</f>
        <v>41002</v>
      </c>
      <c r="BV70" s="4">
        <f>VLOOKUP(LOOKUP($Y70,$K$48:$K$55,$L$48:$L$55)&amp;BV$1&amp;$W70,装备额外附加!$M:$O,3,0)</f>
        <v>41003</v>
      </c>
      <c r="BW70" s="4">
        <f>VLOOKUP(LOOKUP($Y70,$K$48:$K$55,$L$48:$L$55)&amp;BW$1&amp;$W70,装备额外附加!$M:$O,3,0)</f>
        <v>41004</v>
      </c>
      <c r="BX70" s="4">
        <f>VLOOKUP(LOOKUP($Y70,$K$48:$K$55,$L$48:$L$55)&amp;BX$1&amp;$W70,装备额外附加!$M:$O,3,0)</f>
        <v>41005</v>
      </c>
      <c r="BY70" s="4">
        <f>VLOOKUP(LOOKUP($Y70,$K$48:$K$55,$L$48:$L$55)&amp;BY$1&amp;$W70,装备额外附加!$M:$O,3,0)</f>
        <v>41006</v>
      </c>
    </row>
    <row r="71" spans="2:77">
      <c r="B71" s="4" t="s">
        <v>221</v>
      </c>
      <c r="C71" s="4" t="s">
        <v>74</v>
      </c>
      <c r="D71" s="4" t="s">
        <v>13</v>
      </c>
      <c r="E71" s="4" t="s">
        <v>14</v>
      </c>
      <c r="F71" s="4" t="s">
        <v>15</v>
      </c>
      <c r="G71" s="4" t="s">
        <v>17</v>
      </c>
      <c r="H71" s="82" t="s">
        <v>320</v>
      </c>
      <c r="R71" s="4" t="s">
        <v>321</v>
      </c>
      <c r="S71" s="4" t="str">
        <f t="shared" si="74"/>
        <v>104017</v>
      </c>
      <c r="T71" s="4" t="s">
        <v>322</v>
      </c>
      <c r="U71" s="36">
        <v>30</v>
      </c>
      <c r="V71" s="36" t="str">
        <f t="shared" si="75"/>
        <v>戒指</v>
      </c>
      <c r="W71" s="36" t="str">
        <f t="shared" si="76"/>
        <v>戒指</v>
      </c>
      <c r="X71" s="4">
        <f t="shared" si="77"/>
        <v>7</v>
      </c>
      <c r="Y71" s="4">
        <f t="shared" si="78"/>
        <v>33</v>
      </c>
      <c r="Z71" s="4">
        <f t="shared" si="79"/>
        <v>1</v>
      </c>
      <c r="AA71" s="4" t="str">
        <f t="shared" si="80"/>
        <v>64,76,115,192,320,640</v>
      </c>
      <c r="AB71" s="36">
        <f t="shared" si="81"/>
        <v>80</v>
      </c>
      <c r="AC71" s="36">
        <f t="shared" ref="AC71:AC102" si="97">INT($AB71*VLOOKUP(AC$1,$B$11:$L$16,11,0)*VLOOKUP($V71,$C$22:$M$29,11,0))</f>
        <v>64</v>
      </c>
      <c r="AD71" s="36">
        <f t="shared" si="62"/>
        <v>76</v>
      </c>
      <c r="AE71" s="36">
        <f t="shared" si="62"/>
        <v>115</v>
      </c>
      <c r="AF71" s="36">
        <f t="shared" si="62"/>
        <v>192</v>
      </c>
      <c r="AG71" s="36">
        <f t="shared" si="62"/>
        <v>320</v>
      </c>
      <c r="AH71" s="36">
        <f t="shared" si="42"/>
        <v>640</v>
      </c>
      <c r="AJ71" s="4" t="str">
        <f t="shared" si="82"/>
        <v>320,384,576,960,1600,</v>
      </c>
      <c r="AK71" s="36">
        <f t="shared" si="83"/>
        <v>400</v>
      </c>
      <c r="AL71" s="36">
        <f t="shared" si="64"/>
        <v>320</v>
      </c>
      <c r="AM71" s="36">
        <f t="shared" si="64"/>
        <v>384</v>
      </c>
      <c r="AN71" s="36">
        <f t="shared" si="64"/>
        <v>576</v>
      </c>
      <c r="AO71" s="36">
        <f t="shared" si="64"/>
        <v>960</v>
      </c>
      <c r="AP71" s="36">
        <f t="shared" si="64"/>
        <v>1600</v>
      </c>
      <c r="AR71" s="4" t="str">
        <f t="shared" si="84"/>
        <v>25600,30720,46080,76800,128000,</v>
      </c>
      <c r="AS71" s="36">
        <f t="shared" si="85"/>
        <v>32000</v>
      </c>
      <c r="AT71" s="36">
        <f t="shared" si="65"/>
        <v>25600</v>
      </c>
      <c r="AU71" s="36">
        <f t="shared" si="65"/>
        <v>30720</v>
      </c>
      <c r="AV71" s="36">
        <f t="shared" si="65"/>
        <v>46080</v>
      </c>
      <c r="AW71" s="36">
        <f t="shared" si="65"/>
        <v>76800</v>
      </c>
      <c r="AX71" s="36">
        <f t="shared" si="65"/>
        <v>128000</v>
      </c>
      <c r="AZ71" s="4">
        <f t="shared" si="86"/>
        <v>47</v>
      </c>
      <c r="BA71" s="4">
        <f t="shared" si="87"/>
        <v>4</v>
      </c>
      <c r="BB71" s="4">
        <f t="shared" si="88"/>
        <v>0</v>
      </c>
      <c r="BC71" s="35" t="str">
        <f t="shared" si="89"/>
        <v>47,</v>
      </c>
      <c r="BD71" s="35" t="str">
        <f t="shared" si="66"/>
        <v>8,</v>
      </c>
      <c r="BE71" s="35" t="str">
        <f t="shared" si="90"/>
        <v/>
      </c>
      <c r="BF71" s="36" t="str">
        <f t="shared" si="91"/>
        <v>1,</v>
      </c>
      <c r="BG71" s="36" t="str">
        <f>IF(BA71=0,"",IF(Z71=0,"3,4,5",VLOOKUP(Z71,{1,3;2,4;3,5},2,0))&amp;",")</f>
        <v>3,</v>
      </c>
      <c r="BH71" s="36" t="str">
        <f t="shared" si="92"/>
        <v/>
      </c>
      <c r="BI71" s="34" t="str">
        <f t="shared" si="93"/>
        <v>1,3</v>
      </c>
      <c r="BJ71" s="34" t="str">
        <f t="shared" si="96"/>
        <v>47,8</v>
      </c>
      <c r="BK71" s="34" t="str">
        <f t="shared" si="94"/>
        <v>0,6,9,14,28,56</v>
      </c>
      <c r="BL71" s="4">
        <f t="shared" si="67"/>
        <v>0</v>
      </c>
      <c r="BM71" s="4">
        <f t="shared" si="68"/>
        <v>6</v>
      </c>
      <c r="BN71" s="4">
        <f t="shared" si="69"/>
        <v>9</v>
      </c>
      <c r="BO71" s="4">
        <f t="shared" si="70"/>
        <v>14</v>
      </c>
      <c r="BP71" s="4">
        <f t="shared" si="71"/>
        <v>28</v>
      </c>
      <c r="BQ71" s="4">
        <f t="shared" si="72"/>
        <v>56</v>
      </c>
      <c r="BR71" s="34" t="str">
        <f t="shared" si="73"/>
        <v>4001,4002,4003,4004,4005,4006</v>
      </c>
      <c r="BS71" s="34" t="str">
        <f t="shared" si="95"/>
        <v>31001,31002,31003,31004,31005,31006</v>
      </c>
      <c r="BT71" s="4">
        <f>VLOOKUP(LOOKUP($Y71,$K$48:$K$55,$L$48:$L$55)&amp;BT$1&amp;$W71,装备额外附加!$M:$O,3,0)</f>
        <v>31001</v>
      </c>
      <c r="BU71" s="4">
        <f>VLOOKUP(LOOKUP($Y71,$K$48:$K$55,$L$48:$L$55)&amp;BU$1&amp;$W71,装备额外附加!$M:$O,3,0)</f>
        <v>31002</v>
      </c>
      <c r="BV71" s="4">
        <f>VLOOKUP(LOOKUP($Y71,$K$48:$K$55,$L$48:$L$55)&amp;BV$1&amp;$W71,装备额外附加!$M:$O,3,0)</f>
        <v>31003</v>
      </c>
      <c r="BW71" s="4">
        <f>VLOOKUP(LOOKUP($Y71,$K$48:$K$55,$L$48:$L$55)&amp;BW$1&amp;$W71,装备额外附加!$M:$O,3,0)</f>
        <v>31004</v>
      </c>
      <c r="BX71" s="4">
        <f>VLOOKUP(LOOKUP($Y71,$K$48:$K$55,$L$48:$L$55)&amp;BX$1&amp;$W71,装备额外附加!$M:$O,3,0)</f>
        <v>31005</v>
      </c>
      <c r="BY71" s="4">
        <f>VLOOKUP(LOOKUP($Y71,$K$48:$K$55,$L$48:$L$55)&amp;BY$1&amp;$W71,装备额外附加!$M:$O,3,0)</f>
        <v>31006</v>
      </c>
    </row>
    <row r="72" spans="18:77">
      <c r="R72" s="4" t="s">
        <v>323</v>
      </c>
      <c r="S72" s="4" t="str">
        <f t="shared" si="74"/>
        <v>104028</v>
      </c>
      <c r="T72" s="4" t="s">
        <v>324</v>
      </c>
      <c r="U72" s="36">
        <v>30</v>
      </c>
      <c r="V72" s="36" t="str">
        <f t="shared" si="75"/>
        <v>项链</v>
      </c>
      <c r="W72" s="36" t="str">
        <f t="shared" si="76"/>
        <v>项链</v>
      </c>
      <c r="X72" s="4">
        <f t="shared" si="77"/>
        <v>8</v>
      </c>
      <c r="Y72" s="4">
        <f t="shared" si="78"/>
        <v>34</v>
      </c>
      <c r="Z72" s="4">
        <f t="shared" si="79"/>
        <v>2</v>
      </c>
      <c r="AA72" s="4" t="str">
        <f t="shared" si="80"/>
        <v>72,86,129,216,360,720</v>
      </c>
      <c r="AB72" s="36">
        <f t="shared" si="81"/>
        <v>80</v>
      </c>
      <c r="AC72" s="36">
        <f t="shared" si="97"/>
        <v>72</v>
      </c>
      <c r="AD72" s="36">
        <f t="shared" si="62"/>
        <v>86</v>
      </c>
      <c r="AE72" s="36">
        <f t="shared" si="62"/>
        <v>129</v>
      </c>
      <c r="AF72" s="36">
        <f t="shared" si="62"/>
        <v>216</v>
      </c>
      <c r="AG72" s="36">
        <f t="shared" si="62"/>
        <v>360</v>
      </c>
      <c r="AH72" s="36">
        <f t="shared" si="42"/>
        <v>720</v>
      </c>
      <c r="AJ72" s="4" t="str">
        <f t="shared" si="82"/>
        <v>360,432,648,1080,1800,</v>
      </c>
      <c r="AK72" s="36">
        <f t="shared" si="83"/>
        <v>400</v>
      </c>
      <c r="AL72" s="36">
        <f t="shared" si="64"/>
        <v>360</v>
      </c>
      <c r="AM72" s="36">
        <f t="shared" si="64"/>
        <v>432</v>
      </c>
      <c r="AN72" s="36">
        <f t="shared" si="64"/>
        <v>648</v>
      </c>
      <c r="AO72" s="36">
        <f t="shared" si="64"/>
        <v>1080</v>
      </c>
      <c r="AP72" s="36">
        <f t="shared" si="64"/>
        <v>1800</v>
      </c>
      <c r="AR72" s="4" t="str">
        <f t="shared" si="84"/>
        <v>28800,34560,51840,86400,144000,</v>
      </c>
      <c r="AS72" s="36">
        <f t="shared" si="85"/>
        <v>32000</v>
      </c>
      <c r="AT72" s="36">
        <f t="shared" si="65"/>
        <v>28800</v>
      </c>
      <c r="AU72" s="36">
        <f t="shared" si="65"/>
        <v>34560</v>
      </c>
      <c r="AV72" s="36">
        <f t="shared" si="65"/>
        <v>51840</v>
      </c>
      <c r="AW72" s="36">
        <f t="shared" si="65"/>
        <v>86400</v>
      </c>
      <c r="AX72" s="36">
        <f t="shared" si="65"/>
        <v>144000</v>
      </c>
      <c r="AZ72" s="4">
        <f t="shared" si="86"/>
        <v>0</v>
      </c>
      <c r="BA72" s="4">
        <f t="shared" si="87"/>
        <v>6</v>
      </c>
      <c r="BB72" s="4">
        <f t="shared" si="88"/>
        <v>2</v>
      </c>
      <c r="BC72" s="35" t="str">
        <f t="shared" si="89"/>
        <v/>
      </c>
      <c r="BD72" s="35" t="str">
        <f t="shared" si="66"/>
        <v>13,</v>
      </c>
      <c r="BE72" s="35" t="str">
        <f t="shared" si="90"/>
        <v>2,</v>
      </c>
      <c r="BF72" s="36" t="str">
        <f t="shared" si="91"/>
        <v/>
      </c>
      <c r="BG72" s="36" t="str">
        <f>IF(BA72=0,"",IF(Z72=0,"3,4,5",VLOOKUP(Z72,{1,3;2,4;3,5},2,0))&amp;",")</f>
        <v>4,</v>
      </c>
      <c r="BH72" s="36" t="str">
        <f t="shared" si="92"/>
        <v>6,</v>
      </c>
      <c r="BI72" s="34" t="str">
        <f t="shared" si="93"/>
        <v>4,6</v>
      </c>
      <c r="BJ72" s="34" t="str">
        <f t="shared" si="96"/>
        <v>13,2</v>
      </c>
      <c r="BK72" s="34" t="str">
        <f t="shared" si="94"/>
        <v>0,6,9,14,28,56</v>
      </c>
      <c r="BL72" s="4">
        <f t="shared" si="67"/>
        <v>0</v>
      </c>
      <c r="BM72" s="4">
        <f t="shared" si="68"/>
        <v>6</v>
      </c>
      <c r="BN72" s="4">
        <f t="shared" si="69"/>
        <v>9</v>
      </c>
      <c r="BO72" s="4">
        <f t="shared" si="70"/>
        <v>14</v>
      </c>
      <c r="BP72" s="4">
        <f t="shared" si="71"/>
        <v>28</v>
      </c>
      <c r="BQ72" s="4">
        <f t="shared" si="72"/>
        <v>56</v>
      </c>
      <c r="BR72" s="34" t="str">
        <f t="shared" si="73"/>
        <v>2001,2002,2003,2004,2005,2006</v>
      </c>
      <c r="BS72" s="34" t="str">
        <f t="shared" si="95"/>
        <v>51001,51002,51003,51004,51005,51006</v>
      </c>
      <c r="BT72" s="4">
        <f>VLOOKUP(LOOKUP($Y72,$K$48:$K$55,$L$48:$L$55)&amp;BT$1&amp;$W72,装备额外附加!$M:$O,3,0)</f>
        <v>51001</v>
      </c>
      <c r="BU72" s="4">
        <f>VLOOKUP(LOOKUP($Y72,$K$48:$K$55,$L$48:$L$55)&amp;BU$1&amp;$W72,装备额外附加!$M:$O,3,0)</f>
        <v>51002</v>
      </c>
      <c r="BV72" s="4">
        <f>VLOOKUP(LOOKUP($Y72,$K$48:$K$55,$L$48:$L$55)&amp;BV$1&amp;$W72,装备额外附加!$M:$O,3,0)</f>
        <v>51003</v>
      </c>
      <c r="BW72" s="4">
        <f>VLOOKUP(LOOKUP($Y72,$K$48:$K$55,$L$48:$L$55)&amp;BW$1&amp;$W72,装备额外附加!$M:$O,3,0)</f>
        <v>51004</v>
      </c>
      <c r="BX72" s="4">
        <f>VLOOKUP(LOOKUP($Y72,$K$48:$K$55,$L$48:$L$55)&amp;BX$1&amp;$W72,装备额外附加!$M:$O,3,0)</f>
        <v>51005</v>
      </c>
      <c r="BY72" s="4">
        <f>VLOOKUP(LOOKUP($Y72,$K$48:$K$55,$L$48:$L$55)&amp;BY$1&amp;$W72,装备额外附加!$M:$O,3,0)</f>
        <v>51006</v>
      </c>
    </row>
    <row r="73" spans="18:77">
      <c r="R73" s="4" t="s">
        <v>325</v>
      </c>
      <c r="S73" s="4" t="str">
        <f t="shared" si="74"/>
        <v>104026</v>
      </c>
      <c r="T73" s="4" t="s">
        <v>326</v>
      </c>
      <c r="U73" s="36">
        <v>30</v>
      </c>
      <c r="V73" s="36" t="str">
        <f t="shared" si="75"/>
        <v>手镯</v>
      </c>
      <c r="W73" s="36" t="str">
        <f t="shared" si="76"/>
        <v>手镯</v>
      </c>
      <c r="X73" s="4">
        <f t="shared" si="77"/>
        <v>6</v>
      </c>
      <c r="Y73" s="4">
        <f t="shared" si="78"/>
        <v>36</v>
      </c>
      <c r="Z73" s="4">
        <f t="shared" si="79"/>
        <v>2</v>
      </c>
      <c r="AA73" s="4" t="str">
        <f t="shared" si="80"/>
        <v>64,76,115,192,320,640</v>
      </c>
      <c r="AB73" s="36">
        <f t="shared" si="81"/>
        <v>80</v>
      </c>
      <c r="AC73" s="36">
        <f t="shared" si="97"/>
        <v>64</v>
      </c>
      <c r="AD73" s="36">
        <f t="shared" si="62"/>
        <v>76</v>
      </c>
      <c r="AE73" s="36">
        <f t="shared" si="62"/>
        <v>115</v>
      </c>
      <c r="AF73" s="36">
        <f t="shared" si="62"/>
        <v>192</v>
      </c>
      <c r="AG73" s="36">
        <f t="shared" si="62"/>
        <v>320</v>
      </c>
      <c r="AH73" s="36">
        <f t="shared" si="42"/>
        <v>640</v>
      </c>
      <c r="AJ73" s="4" t="str">
        <f t="shared" si="82"/>
        <v>320,384,576,960,1600,</v>
      </c>
      <c r="AK73" s="36">
        <f t="shared" si="83"/>
        <v>400</v>
      </c>
      <c r="AL73" s="36">
        <f t="shared" si="64"/>
        <v>320</v>
      </c>
      <c r="AM73" s="36">
        <f t="shared" si="64"/>
        <v>384</v>
      </c>
      <c r="AN73" s="36">
        <f t="shared" si="64"/>
        <v>576</v>
      </c>
      <c r="AO73" s="36">
        <f t="shared" si="64"/>
        <v>960</v>
      </c>
      <c r="AP73" s="36">
        <f t="shared" si="64"/>
        <v>1600</v>
      </c>
      <c r="AR73" s="4" t="str">
        <f t="shared" si="84"/>
        <v>25600,30720,46080,76800,128000,</v>
      </c>
      <c r="AS73" s="36">
        <f t="shared" si="85"/>
        <v>32000</v>
      </c>
      <c r="AT73" s="36">
        <f t="shared" si="65"/>
        <v>25600</v>
      </c>
      <c r="AU73" s="36">
        <f t="shared" si="65"/>
        <v>30720</v>
      </c>
      <c r="AV73" s="36">
        <f t="shared" si="65"/>
        <v>46080</v>
      </c>
      <c r="AW73" s="36">
        <f t="shared" si="65"/>
        <v>76800</v>
      </c>
      <c r="AX73" s="36">
        <f t="shared" si="65"/>
        <v>128000</v>
      </c>
      <c r="AZ73" s="4">
        <f t="shared" si="86"/>
        <v>47</v>
      </c>
      <c r="BA73" s="4">
        <f t="shared" si="87"/>
        <v>4</v>
      </c>
      <c r="BB73" s="4">
        <f t="shared" si="88"/>
        <v>0</v>
      </c>
      <c r="BC73" s="35" t="str">
        <f t="shared" si="89"/>
        <v>47,</v>
      </c>
      <c r="BD73" s="35" t="str">
        <f t="shared" si="66"/>
        <v>8,</v>
      </c>
      <c r="BE73" s="35" t="str">
        <f t="shared" si="90"/>
        <v/>
      </c>
      <c r="BF73" s="36" t="str">
        <f t="shared" si="91"/>
        <v>1,</v>
      </c>
      <c r="BG73" s="36" t="str">
        <f>IF(BA73=0,"",IF(Z73=0,"3,4,5",VLOOKUP(Z73,{1,3;2,4;3,5},2,0))&amp;",")</f>
        <v>4,</v>
      </c>
      <c r="BH73" s="36" t="str">
        <f t="shared" si="92"/>
        <v/>
      </c>
      <c r="BI73" s="34" t="str">
        <f t="shared" si="93"/>
        <v>1,4</v>
      </c>
      <c r="BJ73" s="34" t="str">
        <f t="shared" si="96"/>
        <v>47,8</v>
      </c>
      <c r="BK73" s="34" t="str">
        <f t="shared" si="94"/>
        <v>0,6,9,14,28,56</v>
      </c>
      <c r="BL73" s="4">
        <f t="shared" si="67"/>
        <v>0</v>
      </c>
      <c r="BM73" s="4">
        <f t="shared" si="68"/>
        <v>6</v>
      </c>
      <c r="BN73" s="4">
        <f t="shared" si="69"/>
        <v>9</v>
      </c>
      <c r="BO73" s="4">
        <f t="shared" si="70"/>
        <v>14</v>
      </c>
      <c r="BP73" s="4">
        <f t="shared" si="71"/>
        <v>28</v>
      </c>
      <c r="BQ73" s="4">
        <f t="shared" si="72"/>
        <v>56</v>
      </c>
      <c r="BR73" s="34" t="str">
        <f t="shared" si="73"/>
        <v>3001,3002,3003,3004,3005,3006</v>
      </c>
      <c r="BS73" s="34" t="str">
        <f t="shared" si="95"/>
        <v>41001,41002,41003,41004,41005,41006</v>
      </c>
      <c r="BT73" s="4">
        <f>VLOOKUP(LOOKUP($Y73,$K$48:$K$55,$L$48:$L$55)&amp;BT$1&amp;$W73,装备额外附加!$M:$O,3,0)</f>
        <v>41001</v>
      </c>
      <c r="BU73" s="4">
        <f>VLOOKUP(LOOKUP($Y73,$K$48:$K$55,$L$48:$L$55)&amp;BU$1&amp;$W73,装备额外附加!$M:$O,3,0)</f>
        <v>41002</v>
      </c>
      <c r="BV73" s="4">
        <f>VLOOKUP(LOOKUP($Y73,$K$48:$K$55,$L$48:$L$55)&amp;BV$1&amp;$W73,装备额外附加!$M:$O,3,0)</f>
        <v>41003</v>
      </c>
      <c r="BW73" s="4">
        <f>VLOOKUP(LOOKUP($Y73,$K$48:$K$55,$L$48:$L$55)&amp;BW$1&amp;$W73,装备额外附加!$M:$O,3,0)</f>
        <v>41004</v>
      </c>
      <c r="BX73" s="4">
        <f>VLOOKUP(LOOKUP($Y73,$K$48:$K$55,$L$48:$L$55)&amp;BX$1&amp;$W73,装备额外附加!$M:$O,3,0)</f>
        <v>41005</v>
      </c>
      <c r="BY73" s="4">
        <f>VLOOKUP(LOOKUP($Y73,$K$48:$K$55,$L$48:$L$55)&amp;BY$1&amp;$W73,装备额外附加!$M:$O,3,0)</f>
        <v>41006</v>
      </c>
    </row>
    <row r="74" spans="1:77">
      <c r="A74" s="47" t="s">
        <v>327</v>
      </c>
      <c r="R74" s="4" t="s">
        <v>328</v>
      </c>
      <c r="S74" s="4" t="str">
        <f t="shared" si="74"/>
        <v>104027</v>
      </c>
      <c r="T74" s="4" t="s">
        <v>329</v>
      </c>
      <c r="U74" s="36">
        <v>30</v>
      </c>
      <c r="V74" s="36" t="str">
        <f t="shared" si="75"/>
        <v>戒指</v>
      </c>
      <c r="W74" s="36" t="str">
        <f t="shared" si="76"/>
        <v>戒指</v>
      </c>
      <c r="X74" s="4">
        <f t="shared" si="77"/>
        <v>7</v>
      </c>
      <c r="Y74" s="4">
        <f t="shared" si="78"/>
        <v>33</v>
      </c>
      <c r="Z74" s="4">
        <f t="shared" si="79"/>
        <v>2</v>
      </c>
      <c r="AA74" s="4" t="str">
        <f t="shared" si="80"/>
        <v>64,76,115,192,320,640</v>
      </c>
      <c r="AB74" s="36">
        <f t="shared" si="81"/>
        <v>80</v>
      </c>
      <c r="AC74" s="36">
        <f t="shared" si="97"/>
        <v>64</v>
      </c>
      <c r="AD74" s="36">
        <f t="shared" si="62"/>
        <v>76</v>
      </c>
      <c r="AE74" s="36">
        <f t="shared" si="62"/>
        <v>115</v>
      </c>
      <c r="AF74" s="36">
        <f t="shared" si="62"/>
        <v>192</v>
      </c>
      <c r="AG74" s="36">
        <f t="shared" si="62"/>
        <v>320</v>
      </c>
      <c r="AH74" s="36">
        <f t="shared" si="42"/>
        <v>640</v>
      </c>
      <c r="AJ74" s="4" t="str">
        <f t="shared" si="82"/>
        <v>320,384,576,960,1600,</v>
      </c>
      <c r="AK74" s="36">
        <f t="shared" si="83"/>
        <v>400</v>
      </c>
      <c r="AL74" s="36">
        <f t="shared" si="64"/>
        <v>320</v>
      </c>
      <c r="AM74" s="36">
        <f t="shared" si="64"/>
        <v>384</v>
      </c>
      <c r="AN74" s="36">
        <f t="shared" si="64"/>
        <v>576</v>
      </c>
      <c r="AO74" s="36">
        <f t="shared" si="64"/>
        <v>960</v>
      </c>
      <c r="AP74" s="36">
        <f t="shared" si="64"/>
        <v>1600</v>
      </c>
      <c r="AR74" s="4" t="str">
        <f t="shared" si="84"/>
        <v>25600,30720,46080,76800,128000,</v>
      </c>
      <c r="AS74" s="36">
        <f t="shared" si="85"/>
        <v>32000</v>
      </c>
      <c r="AT74" s="36">
        <f t="shared" si="65"/>
        <v>25600</v>
      </c>
      <c r="AU74" s="36">
        <f t="shared" si="65"/>
        <v>30720</v>
      </c>
      <c r="AV74" s="36">
        <f t="shared" si="65"/>
        <v>46080</v>
      </c>
      <c r="AW74" s="36">
        <f t="shared" si="65"/>
        <v>76800</v>
      </c>
      <c r="AX74" s="36">
        <f t="shared" si="65"/>
        <v>128000</v>
      </c>
      <c r="AZ74" s="4">
        <f t="shared" si="86"/>
        <v>47</v>
      </c>
      <c r="BA74" s="4">
        <f t="shared" si="87"/>
        <v>4</v>
      </c>
      <c r="BB74" s="4">
        <f t="shared" si="88"/>
        <v>0</v>
      </c>
      <c r="BC74" s="35" t="str">
        <f t="shared" si="89"/>
        <v>47,</v>
      </c>
      <c r="BD74" s="35" t="str">
        <f t="shared" si="66"/>
        <v>8,</v>
      </c>
      <c r="BE74" s="35" t="str">
        <f t="shared" si="90"/>
        <v/>
      </c>
      <c r="BF74" s="36" t="str">
        <f t="shared" si="91"/>
        <v>1,</v>
      </c>
      <c r="BG74" s="36" t="str">
        <f>IF(BA74=0,"",IF(Z74=0,"3,4,5",VLOOKUP(Z74,{1,3;2,4;3,5},2,0))&amp;",")</f>
        <v>4,</v>
      </c>
      <c r="BH74" s="36" t="str">
        <f t="shared" si="92"/>
        <v/>
      </c>
      <c r="BI74" s="34" t="str">
        <f t="shared" si="93"/>
        <v>1,4</v>
      </c>
      <c r="BJ74" s="34" t="str">
        <f t="shared" si="96"/>
        <v>47,8</v>
      </c>
      <c r="BK74" s="34" t="str">
        <f t="shared" si="94"/>
        <v>0,6,9,14,28,56</v>
      </c>
      <c r="BL74" s="4">
        <f t="shared" si="67"/>
        <v>0</v>
      </c>
      <c r="BM74" s="4">
        <f t="shared" si="68"/>
        <v>6</v>
      </c>
      <c r="BN74" s="4">
        <f t="shared" si="69"/>
        <v>9</v>
      </c>
      <c r="BO74" s="4">
        <f t="shared" si="70"/>
        <v>14</v>
      </c>
      <c r="BP74" s="4">
        <f t="shared" si="71"/>
        <v>28</v>
      </c>
      <c r="BQ74" s="4">
        <f t="shared" si="72"/>
        <v>56</v>
      </c>
      <c r="BR74" s="34" t="str">
        <f t="shared" si="73"/>
        <v>4001,4002,4003,4004,4005,4006</v>
      </c>
      <c r="BS74" s="34" t="str">
        <f t="shared" si="95"/>
        <v>31001,31002,31003,31004,31005,31006</v>
      </c>
      <c r="BT74" s="4">
        <f>VLOOKUP(LOOKUP($Y74,$K$48:$K$55,$L$48:$L$55)&amp;BT$1&amp;$W74,装备额外附加!$M:$O,3,0)</f>
        <v>31001</v>
      </c>
      <c r="BU74" s="4">
        <f>VLOOKUP(LOOKUP($Y74,$K$48:$K$55,$L$48:$L$55)&amp;BU$1&amp;$W74,装备额外附加!$M:$O,3,0)</f>
        <v>31002</v>
      </c>
      <c r="BV74" s="4">
        <f>VLOOKUP(LOOKUP($Y74,$K$48:$K$55,$L$48:$L$55)&amp;BV$1&amp;$W74,装备额外附加!$M:$O,3,0)</f>
        <v>31003</v>
      </c>
      <c r="BW74" s="4">
        <f>VLOOKUP(LOOKUP($Y74,$K$48:$K$55,$L$48:$L$55)&amp;BW$1&amp;$W74,装备额外附加!$M:$O,3,0)</f>
        <v>31004</v>
      </c>
      <c r="BX74" s="4">
        <f>VLOOKUP(LOOKUP($Y74,$K$48:$K$55,$L$48:$L$55)&amp;BX$1&amp;$W74,装备额外附加!$M:$O,3,0)</f>
        <v>31005</v>
      </c>
      <c r="BY74" s="4">
        <f>VLOOKUP(LOOKUP($Y74,$K$48:$K$55,$L$48:$L$55)&amp;BY$1&amp;$W74,装备额外附加!$M:$O,3,0)</f>
        <v>31006</v>
      </c>
    </row>
    <row r="75" spans="3:77">
      <c r="C75" s="4">
        <v>0</v>
      </c>
      <c r="D75" s="4">
        <v>1</v>
      </c>
      <c r="E75" s="4">
        <v>2</v>
      </c>
      <c r="F75" s="4">
        <v>3</v>
      </c>
      <c r="G75" s="4">
        <v>4</v>
      </c>
      <c r="R75" s="4" t="s">
        <v>330</v>
      </c>
      <c r="S75" s="4" t="str">
        <f t="shared" si="74"/>
        <v>104038</v>
      </c>
      <c r="T75" s="4" t="s">
        <v>331</v>
      </c>
      <c r="U75" s="36">
        <v>30</v>
      </c>
      <c r="V75" s="36" t="str">
        <f t="shared" si="75"/>
        <v>项链</v>
      </c>
      <c r="W75" s="36" t="str">
        <f t="shared" si="76"/>
        <v>项链</v>
      </c>
      <c r="X75" s="4">
        <f t="shared" si="77"/>
        <v>8</v>
      </c>
      <c r="Y75" s="4">
        <f t="shared" si="78"/>
        <v>34</v>
      </c>
      <c r="Z75" s="4">
        <f t="shared" si="79"/>
        <v>3</v>
      </c>
      <c r="AA75" s="4" t="str">
        <f t="shared" si="80"/>
        <v>72,86,129,216,360,720</v>
      </c>
      <c r="AB75" s="36">
        <f t="shared" si="81"/>
        <v>80</v>
      </c>
      <c r="AC75" s="36">
        <f t="shared" si="97"/>
        <v>72</v>
      </c>
      <c r="AD75" s="36">
        <f t="shared" si="62"/>
        <v>86</v>
      </c>
      <c r="AE75" s="36">
        <f t="shared" si="62"/>
        <v>129</v>
      </c>
      <c r="AF75" s="36">
        <f t="shared" si="62"/>
        <v>216</v>
      </c>
      <c r="AG75" s="36">
        <f t="shared" si="62"/>
        <v>360</v>
      </c>
      <c r="AH75" s="36">
        <f t="shared" si="42"/>
        <v>720</v>
      </c>
      <c r="AJ75" s="4" t="str">
        <f t="shared" si="82"/>
        <v>360,432,648,1080,1800,</v>
      </c>
      <c r="AK75" s="36">
        <f t="shared" si="83"/>
        <v>400</v>
      </c>
      <c r="AL75" s="36">
        <f t="shared" si="64"/>
        <v>360</v>
      </c>
      <c r="AM75" s="36">
        <f t="shared" si="64"/>
        <v>432</v>
      </c>
      <c r="AN75" s="36">
        <f t="shared" si="64"/>
        <v>648</v>
      </c>
      <c r="AO75" s="36">
        <f t="shared" si="64"/>
        <v>1080</v>
      </c>
      <c r="AP75" s="36">
        <f t="shared" si="64"/>
        <v>1800</v>
      </c>
      <c r="AR75" s="4" t="str">
        <f t="shared" si="84"/>
        <v>28800,34560,51840,86400,144000,</v>
      </c>
      <c r="AS75" s="36">
        <f t="shared" si="85"/>
        <v>32000</v>
      </c>
      <c r="AT75" s="36">
        <f t="shared" si="65"/>
        <v>28800</v>
      </c>
      <c r="AU75" s="36">
        <f t="shared" si="65"/>
        <v>34560</v>
      </c>
      <c r="AV75" s="36">
        <f t="shared" si="65"/>
        <v>51840</v>
      </c>
      <c r="AW75" s="36">
        <f t="shared" si="65"/>
        <v>86400</v>
      </c>
      <c r="AX75" s="36">
        <f t="shared" si="65"/>
        <v>144000</v>
      </c>
      <c r="AZ75" s="4">
        <f t="shared" si="86"/>
        <v>0</v>
      </c>
      <c r="BA75" s="4">
        <f t="shared" si="87"/>
        <v>6</v>
      </c>
      <c r="BB75" s="4">
        <f t="shared" si="88"/>
        <v>2</v>
      </c>
      <c r="BC75" s="35" t="str">
        <f t="shared" si="89"/>
        <v/>
      </c>
      <c r="BD75" s="35" t="str">
        <f t="shared" si="66"/>
        <v>13,</v>
      </c>
      <c r="BE75" s="35" t="str">
        <f t="shared" si="90"/>
        <v>2,</v>
      </c>
      <c r="BF75" s="36" t="str">
        <f t="shared" si="91"/>
        <v/>
      </c>
      <c r="BG75" s="36" t="str">
        <f>IF(BA75=0,"",IF(Z75=0,"3,4,5",VLOOKUP(Z75,{1,3;2,4;3,5},2,0))&amp;",")</f>
        <v>5,</v>
      </c>
      <c r="BH75" s="36" t="str">
        <f t="shared" si="92"/>
        <v>6,</v>
      </c>
      <c r="BI75" s="34" t="str">
        <f t="shared" si="93"/>
        <v>5,6</v>
      </c>
      <c r="BJ75" s="34" t="str">
        <f t="shared" si="96"/>
        <v>13,2</v>
      </c>
      <c r="BK75" s="34" t="str">
        <f t="shared" si="94"/>
        <v>0,6,9,14,28,56</v>
      </c>
      <c r="BL75" s="4">
        <f t="shared" si="67"/>
        <v>0</v>
      </c>
      <c r="BM75" s="4">
        <f t="shared" si="68"/>
        <v>6</v>
      </c>
      <c r="BN75" s="4">
        <f t="shared" si="69"/>
        <v>9</v>
      </c>
      <c r="BO75" s="4">
        <f t="shared" si="70"/>
        <v>14</v>
      </c>
      <c r="BP75" s="4">
        <f t="shared" si="71"/>
        <v>28</v>
      </c>
      <c r="BQ75" s="4">
        <f t="shared" si="72"/>
        <v>56</v>
      </c>
      <c r="BR75" s="34" t="str">
        <f t="shared" si="73"/>
        <v>2001,2002,2003,2004,2005,2006</v>
      </c>
      <c r="BS75" s="34" t="str">
        <f t="shared" si="95"/>
        <v>51001,51002,51003,51004,51005,51006</v>
      </c>
      <c r="BT75" s="4">
        <f>VLOOKUP(LOOKUP($Y75,$K$48:$K$55,$L$48:$L$55)&amp;BT$1&amp;$W75,装备额外附加!$M:$O,3,0)</f>
        <v>51001</v>
      </c>
      <c r="BU75" s="4">
        <f>VLOOKUP(LOOKUP($Y75,$K$48:$K$55,$L$48:$L$55)&amp;BU$1&amp;$W75,装备额外附加!$M:$O,3,0)</f>
        <v>51002</v>
      </c>
      <c r="BV75" s="4">
        <f>VLOOKUP(LOOKUP($Y75,$K$48:$K$55,$L$48:$L$55)&amp;BV$1&amp;$W75,装备额外附加!$M:$O,3,0)</f>
        <v>51003</v>
      </c>
      <c r="BW75" s="4">
        <f>VLOOKUP(LOOKUP($Y75,$K$48:$K$55,$L$48:$L$55)&amp;BW$1&amp;$W75,装备额外附加!$M:$O,3,0)</f>
        <v>51004</v>
      </c>
      <c r="BX75" s="4">
        <f>VLOOKUP(LOOKUP($Y75,$K$48:$K$55,$L$48:$L$55)&amp;BX$1&amp;$W75,装备额外附加!$M:$O,3,0)</f>
        <v>51005</v>
      </c>
      <c r="BY75" s="4">
        <f>VLOOKUP(LOOKUP($Y75,$K$48:$K$55,$L$48:$L$55)&amp;BY$1&amp;$W75,装备额外附加!$M:$O,3,0)</f>
        <v>51006</v>
      </c>
    </row>
    <row r="76" spans="2:77">
      <c r="B76" s="4" t="s">
        <v>116</v>
      </c>
      <c r="C76" s="4">
        <v>100</v>
      </c>
      <c r="I76" s="35">
        <f>SUM(C76:H76)</f>
        <v>100</v>
      </c>
      <c r="K76" s="4">
        <f>C76</f>
        <v>100</v>
      </c>
      <c r="R76" s="4" t="s">
        <v>332</v>
      </c>
      <c r="S76" s="4" t="str">
        <f t="shared" si="74"/>
        <v>104036</v>
      </c>
      <c r="T76" s="4" t="s">
        <v>333</v>
      </c>
      <c r="U76" s="36">
        <v>30</v>
      </c>
      <c r="V76" s="36" t="str">
        <f t="shared" si="75"/>
        <v>手镯</v>
      </c>
      <c r="W76" s="36" t="str">
        <f t="shared" si="76"/>
        <v>手镯</v>
      </c>
      <c r="X76" s="4">
        <f t="shared" si="77"/>
        <v>6</v>
      </c>
      <c r="Y76" s="4">
        <f t="shared" si="78"/>
        <v>36</v>
      </c>
      <c r="Z76" s="4">
        <f t="shared" si="79"/>
        <v>3</v>
      </c>
      <c r="AA76" s="4" t="str">
        <f t="shared" si="80"/>
        <v>64,76,115,192,320,640</v>
      </c>
      <c r="AB76" s="36">
        <f t="shared" si="81"/>
        <v>80</v>
      </c>
      <c r="AC76" s="36">
        <f t="shared" si="97"/>
        <v>64</v>
      </c>
      <c r="AD76" s="36">
        <f t="shared" si="62"/>
        <v>76</v>
      </c>
      <c r="AE76" s="36">
        <f t="shared" si="62"/>
        <v>115</v>
      </c>
      <c r="AF76" s="36">
        <f t="shared" si="62"/>
        <v>192</v>
      </c>
      <c r="AG76" s="36">
        <f t="shared" si="62"/>
        <v>320</v>
      </c>
      <c r="AH76" s="36">
        <f t="shared" si="42"/>
        <v>640</v>
      </c>
      <c r="AJ76" s="4" t="str">
        <f t="shared" si="82"/>
        <v>320,384,576,960,1600,</v>
      </c>
      <c r="AK76" s="36">
        <f t="shared" si="83"/>
        <v>400</v>
      </c>
      <c r="AL76" s="36">
        <f t="shared" si="64"/>
        <v>320</v>
      </c>
      <c r="AM76" s="36">
        <f t="shared" si="64"/>
        <v>384</v>
      </c>
      <c r="AN76" s="36">
        <f t="shared" si="64"/>
        <v>576</v>
      </c>
      <c r="AO76" s="36">
        <f t="shared" si="64"/>
        <v>960</v>
      </c>
      <c r="AP76" s="36">
        <f t="shared" si="64"/>
        <v>1600</v>
      </c>
      <c r="AR76" s="4" t="str">
        <f t="shared" si="84"/>
        <v>25600,30720,46080,76800,128000,</v>
      </c>
      <c r="AS76" s="36">
        <f t="shared" si="85"/>
        <v>32000</v>
      </c>
      <c r="AT76" s="36">
        <f t="shared" si="65"/>
        <v>25600</v>
      </c>
      <c r="AU76" s="36">
        <f t="shared" si="65"/>
        <v>30720</v>
      </c>
      <c r="AV76" s="36">
        <f t="shared" si="65"/>
        <v>46080</v>
      </c>
      <c r="AW76" s="36">
        <f t="shared" si="65"/>
        <v>76800</v>
      </c>
      <c r="AX76" s="36">
        <f t="shared" si="65"/>
        <v>128000</v>
      </c>
      <c r="AZ76" s="4">
        <f t="shared" si="86"/>
        <v>47</v>
      </c>
      <c r="BA76" s="4">
        <f t="shared" si="87"/>
        <v>4</v>
      </c>
      <c r="BB76" s="4">
        <f t="shared" si="88"/>
        <v>0</v>
      </c>
      <c r="BC76" s="35" t="str">
        <f t="shared" si="89"/>
        <v>47,</v>
      </c>
      <c r="BD76" s="35" t="str">
        <f t="shared" si="66"/>
        <v>8,</v>
      </c>
      <c r="BE76" s="35" t="str">
        <f t="shared" si="90"/>
        <v/>
      </c>
      <c r="BF76" s="36" t="str">
        <f t="shared" si="91"/>
        <v>1,</v>
      </c>
      <c r="BG76" s="36" t="str">
        <f>IF(BA76=0,"",IF(Z76=0,"3,4,5",VLOOKUP(Z76,{1,3;2,4;3,5},2,0))&amp;",")</f>
        <v>5,</v>
      </c>
      <c r="BH76" s="36" t="str">
        <f t="shared" si="92"/>
        <v/>
      </c>
      <c r="BI76" s="34" t="str">
        <f t="shared" si="93"/>
        <v>1,5</v>
      </c>
      <c r="BJ76" s="34" t="str">
        <f t="shared" si="96"/>
        <v>47,8</v>
      </c>
      <c r="BK76" s="34" t="str">
        <f t="shared" si="94"/>
        <v>0,6,9,14,28,56</v>
      </c>
      <c r="BL76" s="4">
        <f t="shared" si="67"/>
        <v>0</v>
      </c>
      <c r="BM76" s="4">
        <f t="shared" si="68"/>
        <v>6</v>
      </c>
      <c r="BN76" s="4">
        <f t="shared" si="69"/>
        <v>9</v>
      </c>
      <c r="BO76" s="4">
        <f t="shared" si="70"/>
        <v>14</v>
      </c>
      <c r="BP76" s="4">
        <f t="shared" si="71"/>
        <v>28</v>
      </c>
      <c r="BQ76" s="4">
        <f t="shared" si="72"/>
        <v>56</v>
      </c>
      <c r="BR76" s="34" t="str">
        <f t="shared" si="73"/>
        <v>3001,3002,3003,3004,3005,3006</v>
      </c>
      <c r="BS76" s="34" t="str">
        <f t="shared" si="95"/>
        <v>41001,41002,41003,41004,41005,41006</v>
      </c>
      <c r="BT76" s="4">
        <f>VLOOKUP(LOOKUP($Y76,$K$48:$K$55,$L$48:$L$55)&amp;BT$1&amp;$W76,装备额外附加!$M:$O,3,0)</f>
        <v>41001</v>
      </c>
      <c r="BU76" s="4">
        <f>VLOOKUP(LOOKUP($Y76,$K$48:$K$55,$L$48:$L$55)&amp;BU$1&amp;$W76,装备额外附加!$M:$O,3,0)</f>
        <v>41002</v>
      </c>
      <c r="BV76" s="4">
        <f>VLOOKUP(LOOKUP($Y76,$K$48:$K$55,$L$48:$L$55)&amp;BV$1&amp;$W76,装备额外附加!$M:$O,3,0)</f>
        <v>41003</v>
      </c>
      <c r="BW76" s="4">
        <f>VLOOKUP(LOOKUP($Y76,$K$48:$K$55,$L$48:$L$55)&amp;BW$1&amp;$W76,装备额外附加!$M:$O,3,0)</f>
        <v>41004</v>
      </c>
      <c r="BX76" s="4">
        <f>VLOOKUP(LOOKUP($Y76,$K$48:$K$55,$L$48:$L$55)&amp;BX$1&amp;$W76,装备额外附加!$M:$O,3,0)</f>
        <v>41005</v>
      </c>
      <c r="BY76" s="4">
        <f>VLOOKUP(LOOKUP($Y76,$K$48:$K$55,$L$48:$L$55)&amp;BY$1&amp;$W76,装备额外附加!$M:$O,3,0)</f>
        <v>41006</v>
      </c>
    </row>
    <row r="77" spans="2:77">
      <c r="B77" s="4" t="s">
        <v>117</v>
      </c>
      <c r="C77" s="4">
        <v>80</v>
      </c>
      <c r="D77" s="4">
        <v>20</v>
      </c>
      <c r="I77" s="35">
        <f t="shared" ref="I77:I81" si="98">SUM(C77:H77)</f>
        <v>100</v>
      </c>
      <c r="K77" s="4" t="str">
        <f>C77&amp;","&amp;D77</f>
        <v>80,20</v>
      </c>
      <c r="R77" s="4" t="s">
        <v>334</v>
      </c>
      <c r="S77" s="4" t="str">
        <f t="shared" si="74"/>
        <v>104037</v>
      </c>
      <c r="T77" s="4" t="s">
        <v>335</v>
      </c>
      <c r="U77" s="36">
        <v>30</v>
      </c>
      <c r="V77" s="36" t="str">
        <f t="shared" si="75"/>
        <v>戒指</v>
      </c>
      <c r="W77" s="36" t="str">
        <f t="shared" si="76"/>
        <v>戒指</v>
      </c>
      <c r="X77" s="4">
        <f t="shared" si="77"/>
        <v>7</v>
      </c>
      <c r="Y77" s="4">
        <f t="shared" si="78"/>
        <v>33</v>
      </c>
      <c r="Z77" s="4">
        <f t="shared" si="79"/>
        <v>3</v>
      </c>
      <c r="AA77" s="4" t="str">
        <f t="shared" si="80"/>
        <v>64,76,115,192,320,640</v>
      </c>
      <c r="AB77" s="36">
        <f t="shared" si="81"/>
        <v>80</v>
      </c>
      <c r="AC77" s="36">
        <f t="shared" si="97"/>
        <v>64</v>
      </c>
      <c r="AD77" s="36">
        <f t="shared" si="62"/>
        <v>76</v>
      </c>
      <c r="AE77" s="36">
        <f t="shared" si="62"/>
        <v>115</v>
      </c>
      <c r="AF77" s="36">
        <f t="shared" si="62"/>
        <v>192</v>
      </c>
      <c r="AG77" s="36">
        <f t="shared" si="62"/>
        <v>320</v>
      </c>
      <c r="AH77" s="36">
        <f t="shared" si="42"/>
        <v>640</v>
      </c>
      <c r="AJ77" s="4" t="str">
        <f t="shared" si="82"/>
        <v>320,384,576,960,1600,</v>
      </c>
      <c r="AK77" s="36">
        <f t="shared" si="83"/>
        <v>400</v>
      </c>
      <c r="AL77" s="36">
        <f t="shared" si="64"/>
        <v>320</v>
      </c>
      <c r="AM77" s="36">
        <f t="shared" si="64"/>
        <v>384</v>
      </c>
      <c r="AN77" s="36">
        <f t="shared" si="64"/>
        <v>576</v>
      </c>
      <c r="AO77" s="36">
        <f t="shared" si="64"/>
        <v>960</v>
      </c>
      <c r="AP77" s="36">
        <f t="shared" si="64"/>
        <v>1600</v>
      </c>
      <c r="AR77" s="4" t="str">
        <f t="shared" si="84"/>
        <v>25600,30720,46080,76800,128000,</v>
      </c>
      <c r="AS77" s="36">
        <f t="shared" si="85"/>
        <v>32000</v>
      </c>
      <c r="AT77" s="36">
        <f t="shared" si="65"/>
        <v>25600</v>
      </c>
      <c r="AU77" s="36">
        <f t="shared" si="65"/>
        <v>30720</v>
      </c>
      <c r="AV77" s="36">
        <f t="shared" si="65"/>
        <v>46080</v>
      </c>
      <c r="AW77" s="36">
        <f t="shared" si="65"/>
        <v>76800</v>
      </c>
      <c r="AX77" s="36">
        <f t="shared" si="65"/>
        <v>128000</v>
      </c>
      <c r="AZ77" s="4">
        <f t="shared" si="86"/>
        <v>47</v>
      </c>
      <c r="BA77" s="4">
        <f t="shared" si="87"/>
        <v>4</v>
      </c>
      <c r="BB77" s="4">
        <f t="shared" si="88"/>
        <v>0</v>
      </c>
      <c r="BC77" s="35" t="str">
        <f t="shared" si="89"/>
        <v>47,</v>
      </c>
      <c r="BD77" s="35" t="str">
        <f t="shared" si="66"/>
        <v>8,</v>
      </c>
      <c r="BE77" s="35" t="str">
        <f t="shared" si="90"/>
        <v/>
      </c>
      <c r="BF77" s="36" t="str">
        <f t="shared" si="91"/>
        <v>1,</v>
      </c>
      <c r="BG77" s="36" t="str">
        <f>IF(BA77=0,"",IF(Z77=0,"3,4,5",VLOOKUP(Z77,{1,3;2,4;3,5},2,0))&amp;",")</f>
        <v>5,</v>
      </c>
      <c r="BH77" s="36" t="str">
        <f t="shared" si="92"/>
        <v/>
      </c>
      <c r="BI77" s="34" t="str">
        <f t="shared" si="93"/>
        <v>1,5</v>
      </c>
      <c r="BJ77" s="34" t="str">
        <f t="shared" si="96"/>
        <v>47,8</v>
      </c>
      <c r="BK77" s="34" t="str">
        <f t="shared" si="94"/>
        <v>0,6,9,14,28,56</v>
      </c>
      <c r="BL77" s="4">
        <f t="shared" si="67"/>
        <v>0</v>
      </c>
      <c r="BM77" s="4">
        <f t="shared" si="68"/>
        <v>6</v>
      </c>
      <c r="BN77" s="4">
        <f t="shared" si="69"/>
        <v>9</v>
      </c>
      <c r="BO77" s="4">
        <f t="shared" si="70"/>
        <v>14</v>
      </c>
      <c r="BP77" s="4">
        <f t="shared" si="71"/>
        <v>28</v>
      </c>
      <c r="BQ77" s="4">
        <f t="shared" si="72"/>
        <v>56</v>
      </c>
      <c r="BR77" s="34" t="str">
        <f t="shared" si="73"/>
        <v>4001,4002,4003,4004,4005,4006</v>
      </c>
      <c r="BS77" s="34" t="str">
        <f t="shared" si="95"/>
        <v>31001,31002,31003,31004,31005,31006</v>
      </c>
      <c r="BT77" s="4">
        <f>VLOOKUP(LOOKUP($Y77,$K$48:$K$55,$L$48:$L$55)&amp;BT$1&amp;$W77,装备额外附加!$M:$O,3,0)</f>
        <v>31001</v>
      </c>
      <c r="BU77" s="4">
        <f>VLOOKUP(LOOKUP($Y77,$K$48:$K$55,$L$48:$L$55)&amp;BU$1&amp;$W77,装备额外附加!$M:$O,3,0)</f>
        <v>31002</v>
      </c>
      <c r="BV77" s="4">
        <f>VLOOKUP(LOOKUP($Y77,$K$48:$K$55,$L$48:$L$55)&amp;BV$1&amp;$W77,装备额外附加!$M:$O,3,0)</f>
        <v>31003</v>
      </c>
      <c r="BW77" s="4">
        <f>VLOOKUP(LOOKUP($Y77,$K$48:$K$55,$L$48:$L$55)&amp;BW$1&amp;$W77,装备额外附加!$M:$O,3,0)</f>
        <v>31004</v>
      </c>
      <c r="BX77" s="4">
        <f>VLOOKUP(LOOKUP($Y77,$K$48:$K$55,$L$48:$L$55)&amp;BX$1&amp;$W77,装备额外附加!$M:$O,3,0)</f>
        <v>31005</v>
      </c>
      <c r="BY77" s="4">
        <f>VLOOKUP(LOOKUP($Y77,$K$48:$K$55,$L$48:$L$55)&amp;BY$1&amp;$W77,装备额外附加!$M:$O,3,0)</f>
        <v>31006</v>
      </c>
    </row>
    <row r="78" spans="2:77">
      <c r="B78" s="4" t="s">
        <v>118</v>
      </c>
      <c r="C78" s="4">
        <v>0</v>
      </c>
      <c r="D78" s="4">
        <v>80</v>
      </c>
      <c r="E78" s="4">
        <v>20</v>
      </c>
      <c r="I78" s="35">
        <f t="shared" si="98"/>
        <v>100</v>
      </c>
      <c r="K78" s="4" t="str">
        <f>C78&amp;","&amp;D78&amp;","&amp;E78</f>
        <v>0,80,20</v>
      </c>
      <c r="R78" s="4" t="s">
        <v>336</v>
      </c>
      <c r="S78" s="4" t="str">
        <f t="shared" si="74"/>
        <v>105018</v>
      </c>
      <c r="T78" s="4" t="s">
        <v>337</v>
      </c>
      <c r="U78" s="36">
        <v>40</v>
      </c>
      <c r="V78" s="36" t="str">
        <f t="shared" si="75"/>
        <v>项链</v>
      </c>
      <c r="W78" s="36" t="str">
        <f t="shared" si="76"/>
        <v>项链</v>
      </c>
      <c r="X78" s="4">
        <f t="shared" si="77"/>
        <v>8</v>
      </c>
      <c r="Y78" s="4">
        <f t="shared" si="78"/>
        <v>44</v>
      </c>
      <c r="Z78" s="4">
        <f t="shared" si="79"/>
        <v>1</v>
      </c>
      <c r="AA78" s="4" t="str">
        <f t="shared" si="80"/>
        <v>90,108,162,270,450,900</v>
      </c>
      <c r="AB78" s="36">
        <f t="shared" si="81"/>
        <v>100</v>
      </c>
      <c r="AC78" s="36">
        <f t="shared" si="97"/>
        <v>90</v>
      </c>
      <c r="AD78" s="36">
        <f t="shared" ref="AD78:AG97" si="99">INT($AB78*VLOOKUP(AD$1,$B$11:$L$16,11,0)*VLOOKUP($V78,$C$22:$M$29,11,0))</f>
        <v>108</v>
      </c>
      <c r="AE78" s="36">
        <f t="shared" si="99"/>
        <v>162</v>
      </c>
      <c r="AF78" s="36">
        <f t="shared" si="99"/>
        <v>270</v>
      </c>
      <c r="AG78" s="36">
        <f t="shared" si="99"/>
        <v>450</v>
      </c>
      <c r="AH78" s="36">
        <f t="shared" si="42"/>
        <v>900</v>
      </c>
      <c r="AJ78" s="4" t="str">
        <f t="shared" si="82"/>
        <v>450,540,810,1350,2250,</v>
      </c>
      <c r="AK78" s="36">
        <f t="shared" si="83"/>
        <v>500</v>
      </c>
      <c r="AL78" s="36">
        <f t="shared" si="64"/>
        <v>450</v>
      </c>
      <c r="AM78" s="36">
        <f t="shared" si="64"/>
        <v>540</v>
      </c>
      <c r="AN78" s="36">
        <f t="shared" si="64"/>
        <v>810</v>
      </c>
      <c r="AO78" s="36">
        <f t="shared" si="64"/>
        <v>1350</v>
      </c>
      <c r="AP78" s="36">
        <f t="shared" si="64"/>
        <v>2250</v>
      </c>
      <c r="AR78" s="4" t="str">
        <f t="shared" si="84"/>
        <v>36000,43200,64800,108000,180000,</v>
      </c>
      <c r="AS78" s="36">
        <f t="shared" si="85"/>
        <v>40000</v>
      </c>
      <c r="AT78" s="36">
        <f t="shared" si="65"/>
        <v>36000</v>
      </c>
      <c r="AU78" s="36">
        <f t="shared" si="65"/>
        <v>43200</v>
      </c>
      <c r="AV78" s="36">
        <f t="shared" si="65"/>
        <v>64800</v>
      </c>
      <c r="AW78" s="36">
        <f t="shared" si="65"/>
        <v>108000</v>
      </c>
      <c r="AX78" s="36">
        <f t="shared" si="65"/>
        <v>180000</v>
      </c>
      <c r="AZ78" s="4">
        <f t="shared" si="86"/>
        <v>0</v>
      </c>
      <c r="BA78" s="4">
        <f t="shared" si="87"/>
        <v>8</v>
      </c>
      <c r="BB78" s="4">
        <f t="shared" si="88"/>
        <v>2</v>
      </c>
      <c r="BC78" s="35" t="str">
        <f t="shared" si="89"/>
        <v/>
      </c>
      <c r="BD78" s="35" t="str">
        <f t="shared" si="66"/>
        <v>17,</v>
      </c>
      <c r="BE78" s="35" t="str">
        <f t="shared" si="90"/>
        <v>2,</v>
      </c>
      <c r="BF78" s="36" t="str">
        <f t="shared" si="91"/>
        <v/>
      </c>
      <c r="BG78" s="36" t="str">
        <f>IF(BA78=0,"",IF(Z78=0,"3,4,5",VLOOKUP(Z78,{1,3;2,4;3,5},2,0))&amp;",")</f>
        <v>3,</v>
      </c>
      <c r="BH78" s="36" t="str">
        <f t="shared" si="92"/>
        <v>6,</v>
      </c>
      <c r="BI78" s="34" t="str">
        <f t="shared" si="93"/>
        <v>3,6</v>
      </c>
      <c r="BJ78" s="34" t="str">
        <f t="shared" si="96"/>
        <v>17,2</v>
      </c>
      <c r="BK78" s="34" t="str">
        <f t="shared" si="94"/>
        <v>0,8,12,19,38,77</v>
      </c>
      <c r="BL78" s="4">
        <f t="shared" si="67"/>
        <v>0</v>
      </c>
      <c r="BM78" s="4">
        <f t="shared" si="68"/>
        <v>8</v>
      </c>
      <c r="BN78" s="4">
        <f t="shared" si="69"/>
        <v>12</v>
      </c>
      <c r="BO78" s="4">
        <f t="shared" si="70"/>
        <v>19</v>
      </c>
      <c r="BP78" s="4">
        <f t="shared" si="71"/>
        <v>38</v>
      </c>
      <c r="BQ78" s="4">
        <f t="shared" si="72"/>
        <v>77</v>
      </c>
      <c r="BR78" s="34" t="str">
        <f t="shared" si="73"/>
        <v>2001,2002,2003,2004,2005,2006</v>
      </c>
      <c r="BS78" s="34" t="str">
        <f t="shared" si="95"/>
        <v>52001,52002,52003,52004,52005,52006</v>
      </c>
      <c r="BT78" s="4">
        <f>VLOOKUP(LOOKUP($Y78,$K$48:$K$55,$L$48:$L$55)&amp;BT$1&amp;$W78,装备额外附加!$M:$O,3,0)</f>
        <v>52001</v>
      </c>
      <c r="BU78" s="4">
        <f>VLOOKUP(LOOKUP($Y78,$K$48:$K$55,$L$48:$L$55)&amp;BU$1&amp;$W78,装备额外附加!$M:$O,3,0)</f>
        <v>52002</v>
      </c>
      <c r="BV78" s="4">
        <f>VLOOKUP(LOOKUP($Y78,$K$48:$K$55,$L$48:$L$55)&amp;BV$1&amp;$W78,装备额外附加!$M:$O,3,0)</f>
        <v>52003</v>
      </c>
      <c r="BW78" s="4">
        <f>VLOOKUP(LOOKUP($Y78,$K$48:$K$55,$L$48:$L$55)&amp;BW$1&amp;$W78,装备额外附加!$M:$O,3,0)</f>
        <v>52004</v>
      </c>
      <c r="BX78" s="4">
        <f>VLOOKUP(LOOKUP($Y78,$K$48:$K$55,$L$48:$L$55)&amp;BX$1&amp;$W78,装备额外附加!$M:$O,3,0)</f>
        <v>52005</v>
      </c>
      <c r="BY78" s="4">
        <f>VLOOKUP(LOOKUP($Y78,$K$48:$K$55,$L$48:$L$55)&amp;BY$1&amp;$W78,装备额外附加!$M:$O,3,0)</f>
        <v>52006</v>
      </c>
    </row>
    <row r="79" spans="2:77">
      <c r="B79" s="4" t="s">
        <v>119</v>
      </c>
      <c r="C79" s="4">
        <v>0</v>
      </c>
      <c r="D79" s="4">
        <v>30</v>
      </c>
      <c r="E79" s="4">
        <v>50</v>
      </c>
      <c r="F79" s="4">
        <v>20</v>
      </c>
      <c r="I79" s="35">
        <f t="shared" si="98"/>
        <v>100</v>
      </c>
      <c r="K79" s="4" t="str">
        <f>C79&amp;","&amp;D79&amp;","&amp;E79&amp;","&amp;F79</f>
        <v>0,30,50,20</v>
      </c>
      <c r="R79" s="4" t="s">
        <v>338</v>
      </c>
      <c r="S79" s="4" t="str">
        <f t="shared" si="74"/>
        <v>105016</v>
      </c>
      <c r="T79" s="4" t="s">
        <v>339</v>
      </c>
      <c r="U79" s="36">
        <v>40</v>
      </c>
      <c r="V79" s="36" t="str">
        <f t="shared" si="75"/>
        <v>手镯</v>
      </c>
      <c r="W79" s="36" t="str">
        <f t="shared" si="76"/>
        <v>手镯</v>
      </c>
      <c r="X79" s="4">
        <f t="shared" si="77"/>
        <v>6</v>
      </c>
      <c r="Y79" s="4">
        <f t="shared" si="78"/>
        <v>46</v>
      </c>
      <c r="Z79" s="4">
        <f t="shared" si="79"/>
        <v>1</v>
      </c>
      <c r="AA79" s="4" t="str">
        <f t="shared" si="80"/>
        <v>80,96,144,240,400,800</v>
      </c>
      <c r="AB79" s="36">
        <f t="shared" si="81"/>
        <v>100</v>
      </c>
      <c r="AC79" s="36">
        <f t="shared" si="97"/>
        <v>80</v>
      </c>
      <c r="AD79" s="36">
        <f t="shared" si="99"/>
        <v>96</v>
      </c>
      <c r="AE79" s="36">
        <f t="shared" si="99"/>
        <v>144</v>
      </c>
      <c r="AF79" s="36">
        <f t="shared" si="99"/>
        <v>240</v>
      </c>
      <c r="AG79" s="36">
        <f t="shared" si="99"/>
        <v>400</v>
      </c>
      <c r="AH79" s="36">
        <f t="shared" si="42"/>
        <v>800</v>
      </c>
      <c r="AJ79" s="4" t="str">
        <f t="shared" si="82"/>
        <v>400,480,720,1200,2000,</v>
      </c>
      <c r="AK79" s="36">
        <f t="shared" si="83"/>
        <v>500</v>
      </c>
      <c r="AL79" s="36">
        <f t="shared" si="64"/>
        <v>400</v>
      </c>
      <c r="AM79" s="36">
        <f t="shared" si="64"/>
        <v>480</v>
      </c>
      <c r="AN79" s="36">
        <f t="shared" si="64"/>
        <v>720</v>
      </c>
      <c r="AO79" s="36">
        <f t="shared" si="64"/>
        <v>1200</v>
      </c>
      <c r="AP79" s="36">
        <f t="shared" si="64"/>
        <v>2000</v>
      </c>
      <c r="AR79" s="4" t="str">
        <f t="shared" si="84"/>
        <v>32000,38400,57600,96000,160000,</v>
      </c>
      <c r="AS79" s="36">
        <f t="shared" si="85"/>
        <v>40000</v>
      </c>
      <c r="AT79" s="36">
        <f t="shared" si="65"/>
        <v>32000</v>
      </c>
      <c r="AU79" s="36">
        <f t="shared" si="65"/>
        <v>38400</v>
      </c>
      <c r="AV79" s="36">
        <f t="shared" si="65"/>
        <v>57600</v>
      </c>
      <c r="AW79" s="36">
        <f t="shared" si="65"/>
        <v>96000</v>
      </c>
      <c r="AX79" s="36">
        <f t="shared" si="65"/>
        <v>160000</v>
      </c>
      <c r="AZ79" s="4">
        <f t="shared" si="86"/>
        <v>64</v>
      </c>
      <c r="BA79" s="4">
        <f t="shared" si="87"/>
        <v>5</v>
      </c>
      <c r="BB79" s="4">
        <f t="shared" si="88"/>
        <v>0</v>
      </c>
      <c r="BC79" s="35" t="str">
        <f t="shared" si="89"/>
        <v>64,</v>
      </c>
      <c r="BD79" s="35" t="str">
        <f t="shared" si="66"/>
        <v>11,</v>
      </c>
      <c r="BE79" s="35" t="str">
        <f t="shared" si="90"/>
        <v/>
      </c>
      <c r="BF79" s="36" t="str">
        <f t="shared" si="91"/>
        <v>1,</v>
      </c>
      <c r="BG79" s="36" t="str">
        <f>IF(BA79=0,"",IF(Z79=0,"3,4,5",VLOOKUP(Z79,{1,3;2,4;3,5},2,0))&amp;",")</f>
        <v>3,</v>
      </c>
      <c r="BH79" s="36" t="str">
        <f t="shared" si="92"/>
        <v/>
      </c>
      <c r="BI79" s="34" t="str">
        <f t="shared" si="93"/>
        <v>1,3</v>
      </c>
      <c r="BJ79" s="34" t="str">
        <f t="shared" si="96"/>
        <v>64,11</v>
      </c>
      <c r="BK79" s="34" t="str">
        <f t="shared" si="94"/>
        <v>0,8,12,19,38,77</v>
      </c>
      <c r="BL79" s="4">
        <f t="shared" si="67"/>
        <v>0</v>
      </c>
      <c r="BM79" s="4">
        <f t="shared" si="68"/>
        <v>8</v>
      </c>
      <c r="BN79" s="4">
        <f t="shared" si="69"/>
        <v>12</v>
      </c>
      <c r="BO79" s="4">
        <f t="shared" si="70"/>
        <v>19</v>
      </c>
      <c r="BP79" s="4">
        <f t="shared" si="71"/>
        <v>38</v>
      </c>
      <c r="BQ79" s="4">
        <f t="shared" si="72"/>
        <v>77</v>
      </c>
      <c r="BR79" s="34" t="str">
        <f t="shared" si="73"/>
        <v>3001,3002,3003,3004,3005,3006</v>
      </c>
      <c r="BS79" s="34" t="str">
        <f t="shared" si="95"/>
        <v>42001,42002,42003,42004,42005,42006</v>
      </c>
      <c r="BT79" s="4">
        <f>VLOOKUP(LOOKUP($Y79,$K$48:$K$55,$L$48:$L$55)&amp;BT$1&amp;$W79,装备额外附加!$M:$O,3,0)</f>
        <v>42001</v>
      </c>
      <c r="BU79" s="4">
        <f>VLOOKUP(LOOKUP($Y79,$K$48:$K$55,$L$48:$L$55)&amp;BU$1&amp;$W79,装备额外附加!$M:$O,3,0)</f>
        <v>42002</v>
      </c>
      <c r="BV79" s="4">
        <f>VLOOKUP(LOOKUP($Y79,$K$48:$K$55,$L$48:$L$55)&amp;BV$1&amp;$W79,装备额外附加!$M:$O,3,0)</f>
        <v>42003</v>
      </c>
      <c r="BW79" s="4">
        <f>VLOOKUP(LOOKUP($Y79,$K$48:$K$55,$L$48:$L$55)&amp;BW$1&amp;$W79,装备额外附加!$M:$O,3,0)</f>
        <v>42004</v>
      </c>
      <c r="BX79" s="4">
        <f>VLOOKUP(LOOKUP($Y79,$K$48:$K$55,$L$48:$L$55)&amp;BX$1&amp;$W79,装备额外附加!$M:$O,3,0)</f>
        <v>42005</v>
      </c>
      <c r="BY79" s="4">
        <f>VLOOKUP(LOOKUP($Y79,$K$48:$K$55,$L$48:$L$55)&amp;BY$1&amp;$W79,装备额外附加!$M:$O,3,0)</f>
        <v>42006</v>
      </c>
    </row>
    <row r="80" spans="2:77">
      <c r="B80" s="4" t="s">
        <v>120</v>
      </c>
      <c r="C80" s="4">
        <v>0</v>
      </c>
      <c r="D80" s="4">
        <v>10</v>
      </c>
      <c r="E80" s="4">
        <v>30</v>
      </c>
      <c r="F80" s="4">
        <v>60</v>
      </c>
      <c r="I80" s="35">
        <f t="shared" si="98"/>
        <v>100</v>
      </c>
      <c r="K80" s="4" t="str">
        <f t="shared" ref="K80" si="100">C80&amp;","&amp;D80&amp;","&amp;E80&amp;","&amp;F80</f>
        <v>0,10,30,60</v>
      </c>
      <c r="R80" s="4" t="s">
        <v>340</v>
      </c>
      <c r="S80" s="4" t="str">
        <f t="shared" si="74"/>
        <v>105017</v>
      </c>
      <c r="T80" s="4" t="s">
        <v>341</v>
      </c>
      <c r="U80" s="36">
        <v>40</v>
      </c>
      <c r="V80" s="36" t="str">
        <f t="shared" si="75"/>
        <v>戒指</v>
      </c>
      <c r="W80" s="36" t="str">
        <f t="shared" si="76"/>
        <v>戒指</v>
      </c>
      <c r="X80" s="4">
        <f t="shared" si="77"/>
        <v>7</v>
      </c>
      <c r="Y80" s="4">
        <f t="shared" si="78"/>
        <v>43</v>
      </c>
      <c r="Z80" s="4">
        <f t="shared" si="79"/>
        <v>1</v>
      </c>
      <c r="AA80" s="4" t="str">
        <f t="shared" si="80"/>
        <v>80,96,144,240,400,800</v>
      </c>
      <c r="AB80" s="36">
        <f t="shared" si="81"/>
        <v>100</v>
      </c>
      <c r="AC80" s="36">
        <f t="shared" si="97"/>
        <v>80</v>
      </c>
      <c r="AD80" s="36">
        <f t="shared" si="99"/>
        <v>96</v>
      </c>
      <c r="AE80" s="36">
        <f t="shared" si="99"/>
        <v>144</v>
      </c>
      <c r="AF80" s="36">
        <f t="shared" si="99"/>
        <v>240</v>
      </c>
      <c r="AG80" s="36">
        <f t="shared" si="99"/>
        <v>400</v>
      </c>
      <c r="AH80" s="36">
        <f t="shared" si="42"/>
        <v>800</v>
      </c>
      <c r="AJ80" s="4" t="str">
        <f t="shared" si="82"/>
        <v>400,480,720,1200,2000,</v>
      </c>
      <c r="AK80" s="36">
        <f t="shared" si="83"/>
        <v>500</v>
      </c>
      <c r="AL80" s="36">
        <f t="shared" si="64"/>
        <v>400</v>
      </c>
      <c r="AM80" s="36">
        <f t="shared" si="64"/>
        <v>480</v>
      </c>
      <c r="AN80" s="36">
        <f t="shared" si="64"/>
        <v>720</v>
      </c>
      <c r="AO80" s="36">
        <f t="shared" si="64"/>
        <v>1200</v>
      </c>
      <c r="AP80" s="36">
        <f t="shared" si="64"/>
        <v>2000</v>
      </c>
      <c r="AR80" s="4" t="str">
        <f t="shared" si="84"/>
        <v>32000,38400,57600,96000,160000,</v>
      </c>
      <c r="AS80" s="36">
        <f t="shared" si="85"/>
        <v>40000</v>
      </c>
      <c r="AT80" s="36">
        <f t="shared" si="65"/>
        <v>32000</v>
      </c>
      <c r="AU80" s="36">
        <f t="shared" si="65"/>
        <v>38400</v>
      </c>
      <c r="AV80" s="36">
        <f t="shared" si="65"/>
        <v>57600</v>
      </c>
      <c r="AW80" s="36">
        <f t="shared" si="65"/>
        <v>96000</v>
      </c>
      <c r="AX80" s="36">
        <f t="shared" si="65"/>
        <v>160000</v>
      </c>
      <c r="AZ80" s="4">
        <f t="shared" si="86"/>
        <v>64</v>
      </c>
      <c r="BA80" s="4">
        <f t="shared" si="87"/>
        <v>5</v>
      </c>
      <c r="BB80" s="4">
        <f t="shared" si="88"/>
        <v>0</v>
      </c>
      <c r="BC80" s="35" t="str">
        <f t="shared" si="89"/>
        <v>64,</v>
      </c>
      <c r="BD80" s="35" t="str">
        <f t="shared" si="66"/>
        <v>11,</v>
      </c>
      <c r="BE80" s="35" t="str">
        <f t="shared" si="90"/>
        <v/>
      </c>
      <c r="BF80" s="36" t="str">
        <f t="shared" si="91"/>
        <v>1,</v>
      </c>
      <c r="BG80" s="36" t="str">
        <f>IF(BA80=0,"",IF(Z80=0,"3,4,5",VLOOKUP(Z80,{1,3;2,4;3,5},2,0))&amp;",")</f>
        <v>3,</v>
      </c>
      <c r="BH80" s="36" t="str">
        <f t="shared" si="92"/>
        <v/>
      </c>
      <c r="BI80" s="34" t="str">
        <f t="shared" si="93"/>
        <v>1,3</v>
      </c>
      <c r="BJ80" s="34" t="str">
        <f t="shared" si="96"/>
        <v>64,11</v>
      </c>
      <c r="BK80" s="34" t="str">
        <f t="shared" si="94"/>
        <v>0,8,12,19,38,77</v>
      </c>
      <c r="BL80" s="4">
        <f t="shared" si="67"/>
        <v>0</v>
      </c>
      <c r="BM80" s="4">
        <f t="shared" si="68"/>
        <v>8</v>
      </c>
      <c r="BN80" s="4">
        <f t="shared" si="69"/>
        <v>12</v>
      </c>
      <c r="BO80" s="4">
        <f t="shared" si="70"/>
        <v>19</v>
      </c>
      <c r="BP80" s="4">
        <f t="shared" si="71"/>
        <v>38</v>
      </c>
      <c r="BQ80" s="4">
        <f t="shared" si="72"/>
        <v>77</v>
      </c>
      <c r="BR80" s="34" t="str">
        <f t="shared" si="73"/>
        <v>4001,4002,4003,4004,4005,4006</v>
      </c>
      <c r="BS80" s="34" t="str">
        <f t="shared" si="95"/>
        <v>32001,32002,32003,32004,32005,32006</v>
      </c>
      <c r="BT80" s="4">
        <f>VLOOKUP(LOOKUP($Y80,$K$48:$K$55,$L$48:$L$55)&amp;BT$1&amp;$W80,装备额外附加!$M:$O,3,0)</f>
        <v>32001</v>
      </c>
      <c r="BU80" s="4">
        <f>VLOOKUP(LOOKUP($Y80,$K$48:$K$55,$L$48:$L$55)&amp;BU$1&amp;$W80,装备额外附加!$M:$O,3,0)</f>
        <v>32002</v>
      </c>
      <c r="BV80" s="4">
        <f>VLOOKUP(LOOKUP($Y80,$K$48:$K$55,$L$48:$L$55)&amp;BV$1&amp;$W80,装备额外附加!$M:$O,3,0)</f>
        <v>32003</v>
      </c>
      <c r="BW80" s="4">
        <f>VLOOKUP(LOOKUP($Y80,$K$48:$K$55,$L$48:$L$55)&amp;BW$1&amp;$W80,装备额外附加!$M:$O,3,0)</f>
        <v>32004</v>
      </c>
      <c r="BX80" s="4">
        <f>VLOOKUP(LOOKUP($Y80,$K$48:$K$55,$L$48:$L$55)&amp;BX$1&amp;$W80,装备额外附加!$M:$O,3,0)</f>
        <v>32005</v>
      </c>
      <c r="BY80" s="4">
        <f>VLOOKUP(LOOKUP($Y80,$K$48:$K$55,$L$48:$L$55)&amp;BY$1&amp;$W80,装备额外附加!$M:$O,3,0)</f>
        <v>32006</v>
      </c>
    </row>
    <row r="81" spans="2:77">
      <c r="B81" s="4" t="s">
        <v>121</v>
      </c>
      <c r="C81" s="4">
        <v>0</v>
      </c>
      <c r="D81" s="4">
        <v>0</v>
      </c>
      <c r="E81" s="4">
        <v>30</v>
      </c>
      <c r="F81" s="4">
        <v>60</v>
      </c>
      <c r="G81" s="4">
        <v>10</v>
      </c>
      <c r="I81" s="35">
        <f t="shared" si="98"/>
        <v>100</v>
      </c>
      <c r="K81" s="4" t="str">
        <f>C81&amp;","&amp;D81&amp;","&amp;E81&amp;","&amp;F81&amp;","&amp;G81</f>
        <v>0,0,30,60,10</v>
      </c>
      <c r="R81" s="4" t="s">
        <v>342</v>
      </c>
      <c r="S81" s="4" t="str">
        <f t="shared" si="74"/>
        <v>105028</v>
      </c>
      <c r="T81" s="4" t="s">
        <v>343</v>
      </c>
      <c r="U81" s="36">
        <v>40</v>
      </c>
      <c r="V81" s="36" t="str">
        <f t="shared" si="75"/>
        <v>项链</v>
      </c>
      <c r="W81" s="36" t="str">
        <f t="shared" si="76"/>
        <v>项链</v>
      </c>
      <c r="X81" s="4">
        <f t="shared" si="77"/>
        <v>8</v>
      </c>
      <c r="Y81" s="4">
        <f t="shared" si="78"/>
        <v>44</v>
      </c>
      <c r="Z81" s="4">
        <f t="shared" si="79"/>
        <v>2</v>
      </c>
      <c r="AA81" s="4" t="str">
        <f t="shared" si="80"/>
        <v>90,108,162,270,450,900</v>
      </c>
      <c r="AB81" s="36">
        <f t="shared" si="81"/>
        <v>100</v>
      </c>
      <c r="AC81" s="36">
        <f t="shared" si="97"/>
        <v>90</v>
      </c>
      <c r="AD81" s="36">
        <f t="shared" si="99"/>
        <v>108</v>
      </c>
      <c r="AE81" s="36">
        <f t="shared" si="99"/>
        <v>162</v>
      </c>
      <c r="AF81" s="36">
        <f t="shared" si="99"/>
        <v>270</v>
      </c>
      <c r="AG81" s="36">
        <f t="shared" si="99"/>
        <v>450</v>
      </c>
      <c r="AH81" s="36">
        <f t="shared" si="42"/>
        <v>900</v>
      </c>
      <c r="AJ81" s="4" t="str">
        <f t="shared" si="82"/>
        <v>450,540,810,1350,2250,</v>
      </c>
      <c r="AK81" s="36">
        <f t="shared" si="83"/>
        <v>500</v>
      </c>
      <c r="AL81" s="36">
        <f t="shared" si="64"/>
        <v>450</v>
      </c>
      <c r="AM81" s="36">
        <f t="shared" si="64"/>
        <v>540</v>
      </c>
      <c r="AN81" s="36">
        <f t="shared" si="64"/>
        <v>810</v>
      </c>
      <c r="AO81" s="36">
        <f t="shared" si="64"/>
        <v>1350</v>
      </c>
      <c r="AP81" s="36">
        <f t="shared" si="64"/>
        <v>2250</v>
      </c>
      <c r="AR81" s="4" t="str">
        <f t="shared" si="84"/>
        <v>36000,43200,64800,108000,180000,</v>
      </c>
      <c r="AS81" s="36">
        <f t="shared" si="85"/>
        <v>40000</v>
      </c>
      <c r="AT81" s="36">
        <f t="shared" si="65"/>
        <v>36000</v>
      </c>
      <c r="AU81" s="36">
        <f t="shared" si="65"/>
        <v>43200</v>
      </c>
      <c r="AV81" s="36">
        <f t="shared" si="65"/>
        <v>64800</v>
      </c>
      <c r="AW81" s="36">
        <f t="shared" si="65"/>
        <v>108000</v>
      </c>
      <c r="AX81" s="36">
        <f t="shared" si="65"/>
        <v>180000</v>
      </c>
      <c r="AZ81" s="4">
        <f t="shared" si="86"/>
        <v>0</v>
      </c>
      <c r="BA81" s="4">
        <f t="shared" si="87"/>
        <v>8</v>
      </c>
      <c r="BB81" s="4">
        <f t="shared" si="88"/>
        <v>2</v>
      </c>
      <c r="BC81" s="35" t="str">
        <f t="shared" si="89"/>
        <v/>
      </c>
      <c r="BD81" s="35" t="str">
        <f t="shared" si="66"/>
        <v>17,</v>
      </c>
      <c r="BE81" s="35" t="str">
        <f t="shared" si="90"/>
        <v>2,</v>
      </c>
      <c r="BF81" s="36" t="str">
        <f t="shared" si="91"/>
        <v/>
      </c>
      <c r="BG81" s="36" t="str">
        <f>IF(BA81=0,"",IF(Z81=0,"3,4,5",VLOOKUP(Z81,{1,3;2,4;3,5},2,0))&amp;",")</f>
        <v>4,</v>
      </c>
      <c r="BH81" s="36" t="str">
        <f t="shared" si="92"/>
        <v>6,</v>
      </c>
      <c r="BI81" s="34" t="str">
        <f t="shared" si="93"/>
        <v>4,6</v>
      </c>
      <c r="BJ81" s="34" t="str">
        <f t="shared" si="96"/>
        <v>17,2</v>
      </c>
      <c r="BK81" s="34" t="str">
        <f t="shared" si="94"/>
        <v>0,8,12,19,38,77</v>
      </c>
      <c r="BL81" s="4">
        <f t="shared" si="67"/>
        <v>0</v>
      </c>
      <c r="BM81" s="4">
        <f t="shared" si="68"/>
        <v>8</v>
      </c>
      <c r="BN81" s="4">
        <f t="shared" si="69"/>
        <v>12</v>
      </c>
      <c r="BO81" s="4">
        <f t="shared" si="70"/>
        <v>19</v>
      </c>
      <c r="BP81" s="4">
        <f t="shared" si="71"/>
        <v>38</v>
      </c>
      <c r="BQ81" s="4">
        <f t="shared" si="72"/>
        <v>77</v>
      </c>
      <c r="BR81" s="34" t="str">
        <f t="shared" si="73"/>
        <v>2001,2002,2003,2004,2005,2006</v>
      </c>
      <c r="BS81" s="34" t="str">
        <f t="shared" si="95"/>
        <v>52001,52002,52003,52004,52005,52006</v>
      </c>
      <c r="BT81" s="4">
        <f>VLOOKUP(LOOKUP($Y81,$K$48:$K$55,$L$48:$L$55)&amp;BT$1&amp;$W81,装备额外附加!$M:$O,3,0)</f>
        <v>52001</v>
      </c>
      <c r="BU81" s="4">
        <f>VLOOKUP(LOOKUP($Y81,$K$48:$K$55,$L$48:$L$55)&amp;BU$1&amp;$W81,装备额外附加!$M:$O,3,0)</f>
        <v>52002</v>
      </c>
      <c r="BV81" s="4">
        <f>VLOOKUP(LOOKUP($Y81,$K$48:$K$55,$L$48:$L$55)&amp;BV$1&amp;$W81,装备额外附加!$M:$O,3,0)</f>
        <v>52003</v>
      </c>
      <c r="BW81" s="4">
        <f>VLOOKUP(LOOKUP($Y81,$K$48:$K$55,$L$48:$L$55)&amp;BW$1&amp;$W81,装备额外附加!$M:$O,3,0)</f>
        <v>52004</v>
      </c>
      <c r="BX81" s="4">
        <f>VLOOKUP(LOOKUP($Y81,$K$48:$K$55,$L$48:$L$55)&amp;BX$1&amp;$W81,装备额外附加!$M:$O,3,0)</f>
        <v>52005</v>
      </c>
      <c r="BY81" s="4">
        <f>VLOOKUP(LOOKUP($Y81,$K$48:$K$55,$L$48:$L$55)&amp;BY$1&amp;$W81,装备额外附加!$M:$O,3,0)</f>
        <v>52006</v>
      </c>
    </row>
    <row r="82" spans="18:77">
      <c r="R82" s="4" t="s">
        <v>344</v>
      </c>
      <c r="S82" s="4" t="str">
        <f t="shared" si="74"/>
        <v>105026</v>
      </c>
      <c r="T82" s="4" t="s">
        <v>345</v>
      </c>
      <c r="U82" s="36">
        <v>40</v>
      </c>
      <c r="V82" s="36" t="str">
        <f t="shared" si="75"/>
        <v>手镯</v>
      </c>
      <c r="W82" s="36" t="str">
        <f t="shared" si="76"/>
        <v>手镯</v>
      </c>
      <c r="X82" s="4">
        <f t="shared" si="77"/>
        <v>6</v>
      </c>
      <c r="Y82" s="4">
        <f t="shared" si="78"/>
        <v>46</v>
      </c>
      <c r="Z82" s="4">
        <f t="shared" si="79"/>
        <v>2</v>
      </c>
      <c r="AA82" s="4" t="str">
        <f t="shared" si="80"/>
        <v>80,96,144,240,400,800</v>
      </c>
      <c r="AB82" s="36">
        <f t="shared" si="81"/>
        <v>100</v>
      </c>
      <c r="AC82" s="36">
        <f t="shared" si="97"/>
        <v>80</v>
      </c>
      <c r="AD82" s="36">
        <f t="shared" si="99"/>
        <v>96</v>
      </c>
      <c r="AE82" s="36">
        <f t="shared" si="99"/>
        <v>144</v>
      </c>
      <c r="AF82" s="36">
        <f t="shared" si="99"/>
        <v>240</v>
      </c>
      <c r="AG82" s="36">
        <f t="shared" si="99"/>
        <v>400</v>
      </c>
      <c r="AH82" s="36">
        <f t="shared" ref="AH82:AH113" si="101">INT($AB82*VLOOKUP(AH$1,$B$11:$L$16,11,0)*VLOOKUP($V82,$C$22:$M$29,11,0))</f>
        <v>800</v>
      </c>
      <c r="AJ82" s="4" t="str">
        <f t="shared" si="82"/>
        <v>400,480,720,1200,2000,</v>
      </c>
      <c r="AK82" s="36">
        <f t="shared" si="83"/>
        <v>500</v>
      </c>
      <c r="AL82" s="36">
        <f t="shared" si="64"/>
        <v>400</v>
      </c>
      <c r="AM82" s="36">
        <f t="shared" si="64"/>
        <v>480</v>
      </c>
      <c r="AN82" s="36">
        <f t="shared" si="64"/>
        <v>720</v>
      </c>
      <c r="AO82" s="36">
        <f t="shared" si="64"/>
        <v>1200</v>
      </c>
      <c r="AP82" s="36">
        <f t="shared" si="64"/>
        <v>2000</v>
      </c>
      <c r="AR82" s="4" t="str">
        <f t="shared" si="84"/>
        <v>32000,38400,57600,96000,160000,</v>
      </c>
      <c r="AS82" s="36">
        <f t="shared" si="85"/>
        <v>40000</v>
      </c>
      <c r="AT82" s="36">
        <f t="shared" si="65"/>
        <v>32000</v>
      </c>
      <c r="AU82" s="36">
        <f t="shared" si="65"/>
        <v>38400</v>
      </c>
      <c r="AV82" s="36">
        <f t="shared" si="65"/>
        <v>57600</v>
      </c>
      <c r="AW82" s="36">
        <f t="shared" si="65"/>
        <v>96000</v>
      </c>
      <c r="AX82" s="36">
        <f t="shared" si="65"/>
        <v>160000</v>
      </c>
      <c r="AZ82" s="4">
        <f t="shared" si="86"/>
        <v>64</v>
      </c>
      <c r="BA82" s="4">
        <f t="shared" si="87"/>
        <v>5</v>
      </c>
      <c r="BB82" s="4">
        <f t="shared" si="88"/>
        <v>0</v>
      </c>
      <c r="BC82" s="35" t="str">
        <f t="shared" si="89"/>
        <v>64,</v>
      </c>
      <c r="BD82" s="35" t="str">
        <f t="shared" si="66"/>
        <v>11,</v>
      </c>
      <c r="BE82" s="35" t="str">
        <f t="shared" si="90"/>
        <v/>
      </c>
      <c r="BF82" s="36" t="str">
        <f t="shared" si="91"/>
        <v>1,</v>
      </c>
      <c r="BG82" s="36" t="str">
        <f>IF(BA82=0,"",IF(Z82=0,"3,4,5",VLOOKUP(Z82,{1,3;2,4;3,5},2,0))&amp;",")</f>
        <v>4,</v>
      </c>
      <c r="BH82" s="36" t="str">
        <f t="shared" si="92"/>
        <v/>
      </c>
      <c r="BI82" s="34" t="str">
        <f t="shared" si="93"/>
        <v>1,4</v>
      </c>
      <c r="BJ82" s="34" t="str">
        <f t="shared" si="96"/>
        <v>64,11</v>
      </c>
      <c r="BK82" s="34" t="str">
        <f t="shared" si="94"/>
        <v>0,8,12,19,38,77</v>
      </c>
      <c r="BL82" s="4">
        <f t="shared" si="67"/>
        <v>0</v>
      </c>
      <c r="BM82" s="4">
        <f t="shared" si="68"/>
        <v>8</v>
      </c>
      <c r="BN82" s="4">
        <f t="shared" si="69"/>
        <v>12</v>
      </c>
      <c r="BO82" s="4">
        <f t="shared" si="70"/>
        <v>19</v>
      </c>
      <c r="BP82" s="4">
        <f t="shared" si="71"/>
        <v>38</v>
      </c>
      <c r="BQ82" s="4">
        <f t="shared" si="72"/>
        <v>77</v>
      </c>
      <c r="BR82" s="34" t="str">
        <f t="shared" si="73"/>
        <v>3001,3002,3003,3004,3005,3006</v>
      </c>
      <c r="BS82" s="34" t="str">
        <f t="shared" si="95"/>
        <v>42001,42002,42003,42004,42005,42006</v>
      </c>
      <c r="BT82" s="4">
        <f>VLOOKUP(LOOKUP($Y82,$K$48:$K$55,$L$48:$L$55)&amp;BT$1&amp;$W82,装备额外附加!$M:$O,3,0)</f>
        <v>42001</v>
      </c>
      <c r="BU82" s="4">
        <f>VLOOKUP(LOOKUP($Y82,$K$48:$K$55,$L$48:$L$55)&amp;BU$1&amp;$W82,装备额外附加!$M:$O,3,0)</f>
        <v>42002</v>
      </c>
      <c r="BV82" s="4">
        <f>VLOOKUP(LOOKUP($Y82,$K$48:$K$55,$L$48:$L$55)&amp;BV$1&amp;$W82,装备额外附加!$M:$O,3,0)</f>
        <v>42003</v>
      </c>
      <c r="BW82" s="4">
        <f>VLOOKUP(LOOKUP($Y82,$K$48:$K$55,$L$48:$L$55)&amp;BW$1&amp;$W82,装备额外附加!$M:$O,3,0)</f>
        <v>42004</v>
      </c>
      <c r="BX82" s="4">
        <f>VLOOKUP(LOOKUP($Y82,$K$48:$K$55,$L$48:$L$55)&amp;BX$1&amp;$W82,装备额外附加!$M:$O,3,0)</f>
        <v>42005</v>
      </c>
      <c r="BY82" s="4">
        <f>VLOOKUP(LOOKUP($Y82,$K$48:$K$55,$L$48:$L$55)&amp;BY$1&amp;$W82,装备额外附加!$M:$O,3,0)</f>
        <v>42006</v>
      </c>
    </row>
    <row r="83" spans="18:77">
      <c r="R83" s="4" t="s">
        <v>346</v>
      </c>
      <c r="S83" s="4" t="str">
        <f t="shared" si="74"/>
        <v>105027</v>
      </c>
      <c r="T83" s="4" t="s">
        <v>347</v>
      </c>
      <c r="U83" s="36">
        <v>40</v>
      </c>
      <c r="V83" s="36" t="str">
        <f t="shared" si="75"/>
        <v>戒指</v>
      </c>
      <c r="W83" s="36" t="str">
        <f t="shared" si="76"/>
        <v>戒指</v>
      </c>
      <c r="X83" s="4">
        <f t="shared" si="77"/>
        <v>7</v>
      </c>
      <c r="Y83" s="4">
        <f t="shared" si="78"/>
        <v>43</v>
      </c>
      <c r="Z83" s="4">
        <f t="shared" si="79"/>
        <v>2</v>
      </c>
      <c r="AA83" s="4" t="str">
        <f t="shared" si="80"/>
        <v>80,96,144,240,400,800</v>
      </c>
      <c r="AB83" s="36">
        <f t="shared" si="81"/>
        <v>100</v>
      </c>
      <c r="AC83" s="36">
        <f t="shared" si="97"/>
        <v>80</v>
      </c>
      <c r="AD83" s="36">
        <f t="shared" si="99"/>
        <v>96</v>
      </c>
      <c r="AE83" s="36">
        <f t="shared" si="99"/>
        <v>144</v>
      </c>
      <c r="AF83" s="36">
        <f t="shared" si="99"/>
        <v>240</v>
      </c>
      <c r="AG83" s="36">
        <f t="shared" si="99"/>
        <v>400</v>
      </c>
      <c r="AH83" s="36">
        <f t="shared" si="101"/>
        <v>800</v>
      </c>
      <c r="AJ83" s="4" t="str">
        <f t="shared" si="82"/>
        <v>400,480,720,1200,2000,</v>
      </c>
      <c r="AK83" s="36">
        <f t="shared" si="83"/>
        <v>500</v>
      </c>
      <c r="AL83" s="36">
        <f t="shared" si="64"/>
        <v>400</v>
      </c>
      <c r="AM83" s="36">
        <f t="shared" si="64"/>
        <v>480</v>
      </c>
      <c r="AN83" s="36">
        <f t="shared" si="64"/>
        <v>720</v>
      </c>
      <c r="AO83" s="36">
        <f t="shared" si="64"/>
        <v>1200</v>
      </c>
      <c r="AP83" s="36">
        <f t="shared" si="64"/>
        <v>2000</v>
      </c>
      <c r="AR83" s="4" t="str">
        <f t="shared" si="84"/>
        <v>32000,38400,57600,96000,160000,</v>
      </c>
      <c r="AS83" s="36">
        <f t="shared" si="85"/>
        <v>40000</v>
      </c>
      <c r="AT83" s="36">
        <f t="shared" si="65"/>
        <v>32000</v>
      </c>
      <c r="AU83" s="36">
        <f t="shared" si="65"/>
        <v>38400</v>
      </c>
      <c r="AV83" s="36">
        <f t="shared" si="65"/>
        <v>57600</v>
      </c>
      <c r="AW83" s="36">
        <f t="shared" si="65"/>
        <v>96000</v>
      </c>
      <c r="AX83" s="36">
        <f t="shared" si="65"/>
        <v>160000</v>
      </c>
      <c r="AZ83" s="4">
        <f t="shared" si="86"/>
        <v>64</v>
      </c>
      <c r="BA83" s="4">
        <f t="shared" si="87"/>
        <v>5</v>
      </c>
      <c r="BB83" s="4">
        <f t="shared" si="88"/>
        <v>0</v>
      </c>
      <c r="BC83" s="35" t="str">
        <f t="shared" si="89"/>
        <v>64,</v>
      </c>
      <c r="BD83" s="35" t="str">
        <f t="shared" si="66"/>
        <v>11,</v>
      </c>
      <c r="BE83" s="35" t="str">
        <f t="shared" si="90"/>
        <v/>
      </c>
      <c r="BF83" s="36" t="str">
        <f t="shared" si="91"/>
        <v>1,</v>
      </c>
      <c r="BG83" s="36" t="str">
        <f>IF(BA83=0,"",IF(Z83=0,"3,4,5",VLOOKUP(Z83,{1,3;2,4;3,5},2,0))&amp;",")</f>
        <v>4,</v>
      </c>
      <c r="BH83" s="36" t="str">
        <f t="shared" si="92"/>
        <v/>
      </c>
      <c r="BI83" s="34" t="str">
        <f t="shared" si="93"/>
        <v>1,4</v>
      </c>
      <c r="BJ83" s="34" t="str">
        <f t="shared" si="96"/>
        <v>64,11</v>
      </c>
      <c r="BK83" s="34" t="str">
        <f t="shared" si="94"/>
        <v>0,8,12,19,38,77</v>
      </c>
      <c r="BL83" s="4">
        <f t="shared" si="67"/>
        <v>0</v>
      </c>
      <c r="BM83" s="4">
        <f t="shared" si="68"/>
        <v>8</v>
      </c>
      <c r="BN83" s="4">
        <f t="shared" si="69"/>
        <v>12</v>
      </c>
      <c r="BO83" s="4">
        <f t="shared" si="70"/>
        <v>19</v>
      </c>
      <c r="BP83" s="4">
        <f t="shared" si="71"/>
        <v>38</v>
      </c>
      <c r="BQ83" s="4">
        <f t="shared" si="72"/>
        <v>77</v>
      </c>
      <c r="BR83" s="34" t="str">
        <f t="shared" si="73"/>
        <v>4001,4002,4003,4004,4005,4006</v>
      </c>
      <c r="BS83" s="34" t="str">
        <f t="shared" si="95"/>
        <v>32001,32002,32003,32004,32005,32006</v>
      </c>
      <c r="BT83" s="4">
        <f>VLOOKUP(LOOKUP($Y83,$K$48:$K$55,$L$48:$L$55)&amp;BT$1&amp;$W83,装备额外附加!$M:$O,3,0)</f>
        <v>32001</v>
      </c>
      <c r="BU83" s="4">
        <f>VLOOKUP(LOOKUP($Y83,$K$48:$K$55,$L$48:$L$55)&amp;BU$1&amp;$W83,装备额外附加!$M:$O,3,0)</f>
        <v>32002</v>
      </c>
      <c r="BV83" s="4">
        <f>VLOOKUP(LOOKUP($Y83,$K$48:$K$55,$L$48:$L$55)&amp;BV$1&amp;$W83,装备额外附加!$M:$O,3,0)</f>
        <v>32003</v>
      </c>
      <c r="BW83" s="4">
        <f>VLOOKUP(LOOKUP($Y83,$K$48:$K$55,$L$48:$L$55)&amp;BW$1&amp;$W83,装备额外附加!$M:$O,3,0)</f>
        <v>32004</v>
      </c>
      <c r="BX83" s="4">
        <f>VLOOKUP(LOOKUP($Y83,$K$48:$K$55,$L$48:$L$55)&amp;BX$1&amp;$W83,装备额外附加!$M:$O,3,0)</f>
        <v>32005</v>
      </c>
      <c r="BY83" s="4">
        <f>VLOOKUP(LOOKUP($Y83,$K$48:$K$55,$L$48:$L$55)&amp;BY$1&amp;$W83,装备额外附加!$M:$O,3,0)</f>
        <v>32006</v>
      </c>
    </row>
    <row r="84" spans="18:77">
      <c r="R84" s="4" t="s">
        <v>348</v>
      </c>
      <c r="S84" s="4" t="str">
        <f t="shared" si="74"/>
        <v>105038</v>
      </c>
      <c r="T84" s="4" t="s">
        <v>349</v>
      </c>
      <c r="U84" s="36">
        <v>40</v>
      </c>
      <c r="V84" s="36" t="str">
        <f t="shared" si="75"/>
        <v>项链</v>
      </c>
      <c r="W84" s="36" t="str">
        <f t="shared" si="76"/>
        <v>项链</v>
      </c>
      <c r="X84" s="4">
        <f t="shared" si="77"/>
        <v>8</v>
      </c>
      <c r="Y84" s="4">
        <f t="shared" si="78"/>
        <v>44</v>
      </c>
      <c r="Z84" s="4">
        <f t="shared" si="79"/>
        <v>3</v>
      </c>
      <c r="AA84" s="4" t="str">
        <f t="shared" si="80"/>
        <v>90,108,162,270,450,900</v>
      </c>
      <c r="AB84" s="36">
        <f t="shared" si="81"/>
        <v>100</v>
      </c>
      <c r="AC84" s="36">
        <f t="shared" si="97"/>
        <v>90</v>
      </c>
      <c r="AD84" s="36">
        <f t="shared" si="99"/>
        <v>108</v>
      </c>
      <c r="AE84" s="36">
        <f t="shared" si="99"/>
        <v>162</v>
      </c>
      <c r="AF84" s="36">
        <f t="shared" si="99"/>
        <v>270</v>
      </c>
      <c r="AG84" s="36">
        <f t="shared" si="99"/>
        <v>450</v>
      </c>
      <c r="AH84" s="36">
        <f t="shared" si="101"/>
        <v>900</v>
      </c>
      <c r="AJ84" s="4" t="str">
        <f t="shared" si="82"/>
        <v>450,540,810,1350,2250,</v>
      </c>
      <c r="AK84" s="36">
        <f t="shared" si="83"/>
        <v>500</v>
      </c>
      <c r="AL84" s="36">
        <f t="shared" si="64"/>
        <v>450</v>
      </c>
      <c r="AM84" s="36">
        <f t="shared" si="64"/>
        <v>540</v>
      </c>
      <c r="AN84" s="36">
        <f t="shared" si="64"/>
        <v>810</v>
      </c>
      <c r="AO84" s="36">
        <f t="shared" si="64"/>
        <v>1350</v>
      </c>
      <c r="AP84" s="36">
        <f t="shared" si="64"/>
        <v>2250</v>
      </c>
      <c r="AR84" s="4" t="str">
        <f t="shared" si="84"/>
        <v>36000,43200,64800,108000,180000,</v>
      </c>
      <c r="AS84" s="36">
        <f t="shared" si="85"/>
        <v>40000</v>
      </c>
      <c r="AT84" s="36">
        <f t="shared" si="65"/>
        <v>36000</v>
      </c>
      <c r="AU84" s="36">
        <f t="shared" si="65"/>
        <v>43200</v>
      </c>
      <c r="AV84" s="36">
        <f t="shared" si="65"/>
        <v>64800</v>
      </c>
      <c r="AW84" s="36">
        <f t="shared" si="65"/>
        <v>108000</v>
      </c>
      <c r="AX84" s="36">
        <f t="shared" si="65"/>
        <v>180000</v>
      </c>
      <c r="AZ84" s="4">
        <f t="shared" si="86"/>
        <v>0</v>
      </c>
      <c r="BA84" s="4">
        <f t="shared" si="87"/>
        <v>8</v>
      </c>
      <c r="BB84" s="4">
        <f t="shared" si="88"/>
        <v>2</v>
      </c>
      <c r="BC84" s="35" t="str">
        <f t="shared" si="89"/>
        <v/>
      </c>
      <c r="BD84" s="35" t="str">
        <f t="shared" si="66"/>
        <v>17,</v>
      </c>
      <c r="BE84" s="35" t="str">
        <f t="shared" si="90"/>
        <v>2,</v>
      </c>
      <c r="BF84" s="36" t="str">
        <f t="shared" si="91"/>
        <v/>
      </c>
      <c r="BG84" s="36" t="str">
        <f>IF(BA84=0,"",IF(Z84=0,"3,4,5",VLOOKUP(Z84,{1,3;2,4;3,5},2,0))&amp;",")</f>
        <v>5,</v>
      </c>
      <c r="BH84" s="36" t="str">
        <f t="shared" si="92"/>
        <v>6,</v>
      </c>
      <c r="BI84" s="34" t="str">
        <f t="shared" si="93"/>
        <v>5,6</v>
      </c>
      <c r="BJ84" s="34" t="str">
        <f t="shared" si="96"/>
        <v>17,2</v>
      </c>
      <c r="BK84" s="34" t="str">
        <f t="shared" si="94"/>
        <v>0,8,12,19,38,77</v>
      </c>
      <c r="BL84" s="4">
        <f t="shared" si="67"/>
        <v>0</v>
      </c>
      <c r="BM84" s="4">
        <f t="shared" si="68"/>
        <v>8</v>
      </c>
      <c r="BN84" s="4">
        <f t="shared" si="69"/>
        <v>12</v>
      </c>
      <c r="BO84" s="4">
        <f t="shared" si="70"/>
        <v>19</v>
      </c>
      <c r="BP84" s="4">
        <f t="shared" si="71"/>
        <v>38</v>
      </c>
      <c r="BQ84" s="4">
        <f t="shared" si="72"/>
        <v>77</v>
      </c>
      <c r="BR84" s="34" t="str">
        <f t="shared" si="73"/>
        <v>2001,2002,2003,2004,2005,2006</v>
      </c>
      <c r="BS84" s="34" t="str">
        <f t="shared" si="95"/>
        <v>52001,52002,52003,52004,52005,52006</v>
      </c>
      <c r="BT84" s="4">
        <f>VLOOKUP(LOOKUP($Y84,$K$48:$K$55,$L$48:$L$55)&amp;BT$1&amp;$W84,装备额外附加!$M:$O,3,0)</f>
        <v>52001</v>
      </c>
      <c r="BU84" s="4">
        <f>VLOOKUP(LOOKUP($Y84,$K$48:$K$55,$L$48:$L$55)&amp;BU$1&amp;$W84,装备额外附加!$M:$O,3,0)</f>
        <v>52002</v>
      </c>
      <c r="BV84" s="4">
        <f>VLOOKUP(LOOKUP($Y84,$K$48:$K$55,$L$48:$L$55)&amp;BV$1&amp;$W84,装备额外附加!$M:$O,3,0)</f>
        <v>52003</v>
      </c>
      <c r="BW84" s="4">
        <f>VLOOKUP(LOOKUP($Y84,$K$48:$K$55,$L$48:$L$55)&amp;BW$1&amp;$W84,装备额外附加!$M:$O,3,0)</f>
        <v>52004</v>
      </c>
      <c r="BX84" s="4">
        <f>VLOOKUP(LOOKUP($Y84,$K$48:$K$55,$L$48:$L$55)&amp;BX$1&amp;$W84,装备额外附加!$M:$O,3,0)</f>
        <v>52005</v>
      </c>
      <c r="BY84" s="4">
        <f>VLOOKUP(LOOKUP($Y84,$K$48:$K$55,$L$48:$L$55)&amp;BY$1&amp;$W84,装备额外附加!$M:$O,3,0)</f>
        <v>52006</v>
      </c>
    </row>
    <row r="85" spans="18:77">
      <c r="R85" s="4" t="s">
        <v>350</v>
      </c>
      <c r="S85" s="4" t="str">
        <f t="shared" si="74"/>
        <v>105036</v>
      </c>
      <c r="T85" s="4" t="s">
        <v>351</v>
      </c>
      <c r="U85" s="36">
        <v>40</v>
      </c>
      <c r="V85" s="36" t="str">
        <f t="shared" si="75"/>
        <v>手镯</v>
      </c>
      <c r="W85" s="36" t="str">
        <f t="shared" si="76"/>
        <v>手镯</v>
      </c>
      <c r="X85" s="4">
        <f t="shared" si="77"/>
        <v>6</v>
      </c>
      <c r="Y85" s="4">
        <f t="shared" si="78"/>
        <v>46</v>
      </c>
      <c r="Z85" s="4">
        <f t="shared" si="79"/>
        <v>3</v>
      </c>
      <c r="AA85" s="4" t="str">
        <f t="shared" si="80"/>
        <v>80,96,144,240,400,800</v>
      </c>
      <c r="AB85" s="36">
        <f t="shared" si="81"/>
        <v>100</v>
      </c>
      <c r="AC85" s="36">
        <f t="shared" si="97"/>
        <v>80</v>
      </c>
      <c r="AD85" s="36">
        <f t="shared" si="99"/>
        <v>96</v>
      </c>
      <c r="AE85" s="36">
        <f t="shared" si="99"/>
        <v>144</v>
      </c>
      <c r="AF85" s="36">
        <f t="shared" si="99"/>
        <v>240</v>
      </c>
      <c r="AG85" s="36">
        <f t="shared" si="99"/>
        <v>400</v>
      </c>
      <c r="AH85" s="36">
        <f t="shared" si="101"/>
        <v>800</v>
      </c>
      <c r="AJ85" s="4" t="str">
        <f t="shared" si="82"/>
        <v>400,480,720,1200,2000,</v>
      </c>
      <c r="AK85" s="36">
        <f t="shared" si="83"/>
        <v>500</v>
      </c>
      <c r="AL85" s="36">
        <f t="shared" si="64"/>
        <v>400</v>
      </c>
      <c r="AM85" s="36">
        <f t="shared" si="64"/>
        <v>480</v>
      </c>
      <c r="AN85" s="36">
        <f t="shared" si="64"/>
        <v>720</v>
      </c>
      <c r="AO85" s="36">
        <f t="shared" si="64"/>
        <v>1200</v>
      </c>
      <c r="AP85" s="36">
        <f t="shared" si="64"/>
        <v>2000</v>
      </c>
      <c r="AR85" s="4" t="str">
        <f t="shared" si="84"/>
        <v>32000,38400,57600,96000,160000,</v>
      </c>
      <c r="AS85" s="36">
        <f t="shared" si="85"/>
        <v>40000</v>
      </c>
      <c r="AT85" s="36">
        <f t="shared" si="65"/>
        <v>32000</v>
      </c>
      <c r="AU85" s="36">
        <f t="shared" si="65"/>
        <v>38400</v>
      </c>
      <c r="AV85" s="36">
        <f t="shared" si="65"/>
        <v>57600</v>
      </c>
      <c r="AW85" s="36">
        <f t="shared" si="65"/>
        <v>96000</v>
      </c>
      <c r="AX85" s="36">
        <f t="shared" si="65"/>
        <v>160000</v>
      </c>
      <c r="AZ85" s="4">
        <f t="shared" si="86"/>
        <v>64</v>
      </c>
      <c r="BA85" s="4">
        <f t="shared" si="87"/>
        <v>5</v>
      </c>
      <c r="BB85" s="4">
        <f t="shared" si="88"/>
        <v>0</v>
      </c>
      <c r="BC85" s="35" t="str">
        <f t="shared" si="89"/>
        <v>64,</v>
      </c>
      <c r="BD85" s="35" t="str">
        <f t="shared" si="66"/>
        <v>11,</v>
      </c>
      <c r="BE85" s="35" t="str">
        <f t="shared" si="90"/>
        <v/>
      </c>
      <c r="BF85" s="36" t="str">
        <f t="shared" si="91"/>
        <v>1,</v>
      </c>
      <c r="BG85" s="36" t="str">
        <f>IF(BA85=0,"",IF(Z85=0,"3,4,5",VLOOKUP(Z85,{1,3;2,4;3,5},2,0))&amp;",")</f>
        <v>5,</v>
      </c>
      <c r="BH85" s="36" t="str">
        <f t="shared" si="92"/>
        <v/>
      </c>
      <c r="BI85" s="34" t="str">
        <f t="shared" si="93"/>
        <v>1,5</v>
      </c>
      <c r="BJ85" s="34" t="str">
        <f t="shared" si="96"/>
        <v>64,11</v>
      </c>
      <c r="BK85" s="34" t="str">
        <f t="shared" si="94"/>
        <v>0,8,12,19,38,77</v>
      </c>
      <c r="BL85" s="4">
        <f t="shared" si="67"/>
        <v>0</v>
      </c>
      <c r="BM85" s="4">
        <f t="shared" si="68"/>
        <v>8</v>
      </c>
      <c r="BN85" s="4">
        <f t="shared" si="69"/>
        <v>12</v>
      </c>
      <c r="BO85" s="4">
        <f t="shared" si="70"/>
        <v>19</v>
      </c>
      <c r="BP85" s="4">
        <f t="shared" si="71"/>
        <v>38</v>
      </c>
      <c r="BQ85" s="4">
        <f t="shared" si="72"/>
        <v>77</v>
      </c>
      <c r="BR85" s="34" t="str">
        <f t="shared" si="73"/>
        <v>3001,3002,3003,3004,3005,3006</v>
      </c>
      <c r="BS85" s="34" t="str">
        <f t="shared" si="95"/>
        <v>42001,42002,42003,42004,42005,42006</v>
      </c>
      <c r="BT85" s="4">
        <f>VLOOKUP(LOOKUP($Y85,$K$48:$K$55,$L$48:$L$55)&amp;BT$1&amp;$W85,装备额外附加!$M:$O,3,0)</f>
        <v>42001</v>
      </c>
      <c r="BU85" s="4">
        <f>VLOOKUP(LOOKUP($Y85,$K$48:$K$55,$L$48:$L$55)&amp;BU$1&amp;$W85,装备额外附加!$M:$O,3,0)</f>
        <v>42002</v>
      </c>
      <c r="BV85" s="4">
        <f>VLOOKUP(LOOKUP($Y85,$K$48:$K$55,$L$48:$L$55)&amp;BV$1&amp;$W85,装备额外附加!$M:$O,3,0)</f>
        <v>42003</v>
      </c>
      <c r="BW85" s="4">
        <f>VLOOKUP(LOOKUP($Y85,$K$48:$K$55,$L$48:$L$55)&amp;BW$1&amp;$W85,装备额外附加!$M:$O,3,0)</f>
        <v>42004</v>
      </c>
      <c r="BX85" s="4">
        <f>VLOOKUP(LOOKUP($Y85,$K$48:$K$55,$L$48:$L$55)&amp;BX$1&amp;$W85,装备额外附加!$M:$O,3,0)</f>
        <v>42005</v>
      </c>
      <c r="BY85" s="4">
        <f>VLOOKUP(LOOKUP($Y85,$K$48:$K$55,$L$48:$L$55)&amp;BY$1&amp;$W85,装备额外附加!$M:$O,3,0)</f>
        <v>42006</v>
      </c>
    </row>
    <row r="86" spans="1:77">
      <c r="A86" s="4" t="s">
        <v>352</v>
      </c>
      <c r="C86" s="4" t="s">
        <v>353</v>
      </c>
      <c r="D86" s="4" t="s">
        <v>354</v>
      </c>
      <c r="E86" s="4" t="s">
        <v>355</v>
      </c>
      <c r="F86" s="4" t="s">
        <v>356</v>
      </c>
      <c r="G86" s="4" t="s">
        <v>357</v>
      </c>
      <c r="H86" s="4" t="s">
        <v>358</v>
      </c>
      <c r="R86" s="4" t="s">
        <v>359</v>
      </c>
      <c r="S86" s="4" t="str">
        <f t="shared" si="74"/>
        <v>105037</v>
      </c>
      <c r="T86" s="4" t="s">
        <v>360</v>
      </c>
      <c r="U86" s="36">
        <v>40</v>
      </c>
      <c r="V86" s="36" t="str">
        <f t="shared" si="75"/>
        <v>戒指</v>
      </c>
      <c r="W86" s="36" t="str">
        <f t="shared" si="76"/>
        <v>戒指</v>
      </c>
      <c r="X86" s="4">
        <f t="shared" si="77"/>
        <v>7</v>
      </c>
      <c r="Y86" s="4">
        <f t="shared" si="78"/>
        <v>43</v>
      </c>
      <c r="Z86" s="4">
        <f t="shared" si="79"/>
        <v>3</v>
      </c>
      <c r="AA86" s="4" t="str">
        <f t="shared" si="80"/>
        <v>80,96,144,240,400,800</v>
      </c>
      <c r="AB86" s="36">
        <f t="shared" si="81"/>
        <v>100</v>
      </c>
      <c r="AC86" s="36">
        <f t="shared" si="97"/>
        <v>80</v>
      </c>
      <c r="AD86" s="36">
        <f t="shared" si="99"/>
        <v>96</v>
      </c>
      <c r="AE86" s="36">
        <f t="shared" si="99"/>
        <v>144</v>
      </c>
      <c r="AF86" s="36">
        <f t="shared" si="99"/>
        <v>240</v>
      </c>
      <c r="AG86" s="36">
        <f t="shared" si="99"/>
        <v>400</v>
      </c>
      <c r="AH86" s="36">
        <f t="shared" si="101"/>
        <v>800</v>
      </c>
      <c r="AJ86" s="4" t="str">
        <f t="shared" si="82"/>
        <v>400,480,720,1200,2000,</v>
      </c>
      <c r="AK86" s="36">
        <f t="shared" si="83"/>
        <v>500</v>
      </c>
      <c r="AL86" s="36">
        <f t="shared" si="64"/>
        <v>400</v>
      </c>
      <c r="AM86" s="36">
        <f t="shared" si="64"/>
        <v>480</v>
      </c>
      <c r="AN86" s="36">
        <f t="shared" si="64"/>
        <v>720</v>
      </c>
      <c r="AO86" s="36">
        <f t="shared" si="64"/>
        <v>1200</v>
      </c>
      <c r="AP86" s="36">
        <f t="shared" si="64"/>
        <v>2000</v>
      </c>
      <c r="AR86" s="4" t="str">
        <f t="shared" si="84"/>
        <v>32000,38400,57600,96000,160000,</v>
      </c>
      <c r="AS86" s="36">
        <f t="shared" si="85"/>
        <v>40000</v>
      </c>
      <c r="AT86" s="36">
        <f t="shared" si="65"/>
        <v>32000</v>
      </c>
      <c r="AU86" s="36">
        <f t="shared" si="65"/>
        <v>38400</v>
      </c>
      <c r="AV86" s="36">
        <f t="shared" si="65"/>
        <v>57600</v>
      </c>
      <c r="AW86" s="36">
        <f t="shared" si="65"/>
        <v>96000</v>
      </c>
      <c r="AX86" s="36">
        <f t="shared" si="65"/>
        <v>160000</v>
      </c>
      <c r="AZ86" s="4">
        <f t="shared" si="86"/>
        <v>64</v>
      </c>
      <c r="BA86" s="4">
        <f t="shared" si="87"/>
        <v>5</v>
      </c>
      <c r="BB86" s="4">
        <f t="shared" si="88"/>
        <v>0</v>
      </c>
      <c r="BC86" s="35" t="str">
        <f t="shared" si="89"/>
        <v>64,</v>
      </c>
      <c r="BD86" s="35" t="str">
        <f t="shared" si="66"/>
        <v>11,</v>
      </c>
      <c r="BE86" s="35" t="str">
        <f t="shared" si="90"/>
        <v/>
      </c>
      <c r="BF86" s="36" t="str">
        <f t="shared" si="91"/>
        <v>1,</v>
      </c>
      <c r="BG86" s="36" t="str">
        <f>IF(BA86=0,"",IF(Z86=0,"3,4,5",VLOOKUP(Z86,{1,3;2,4;3,5},2,0))&amp;",")</f>
        <v>5,</v>
      </c>
      <c r="BH86" s="36" t="str">
        <f t="shared" si="92"/>
        <v/>
      </c>
      <c r="BI86" s="34" t="str">
        <f t="shared" si="93"/>
        <v>1,5</v>
      </c>
      <c r="BJ86" s="34" t="str">
        <f t="shared" si="96"/>
        <v>64,11</v>
      </c>
      <c r="BK86" s="34" t="str">
        <f t="shared" si="94"/>
        <v>0,8,12,19,38,77</v>
      </c>
      <c r="BL86" s="4">
        <f t="shared" si="67"/>
        <v>0</v>
      </c>
      <c r="BM86" s="4">
        <f t="shared" si="68"/>
        <v>8</v>
      </c>
      <c r="BN86" s="4">
        <f t="shared" si="69"/>
        <v>12</v>
      </c>
      <c r="BO86" s="4">
        <f t="shared" si="70"/>
        <v>19</v>
      </c>
      <c r="BP86" s="4">
        <f t="shared" si="71"/>
        <v>38</v>
      </c>
      <c r="BQ86" s="4">
        <f t="shared" si="72"/>
        <v>77</v>
      </c>
      <c r="BR86" s="34" t="str">
        <f t="shared" si="73"/>
        <v>4001,4002,4003,4004,4005,4006</v>
      </c>
      <c r="BS86" s="34" t="str">
        <f t="shared" si="95"/>
        <v>32001,32002,32003,32004,32005,32006</v>
      </c>
      <c r="BT86" s="4">
        <f>VLOOKUP(LOOKUP($Y86,$K$48:$K$55,$L$48:$L$55)&amp;BT$1&amp;$W86,装备额外附加!$M:$O,3,0)</f>
        <v>32001</v>
      </c>
      <c r="BU86" s="4">
        <f>VLOOKUP(LOOKUP($Y86,$K$48:$K$55,$L$48:$L$55)&amp;BU$1&amp;$W86,装备额外附加!$M:$O,3,0)</f>
        <v>32002</v>
      </c>
      <c r="BV86" s="4">
        <f>VLOOKUP(LOOKUP($Y86,$K$48:$K$55,$L$48:$L$55)&amp;BV$1&amp;$W86,装备额外附加!$M:$O,3,0)</f>
        <v>32003</v>
      </c>
      <c r="BW86" s="4">
        <f>VLOOKUP(LOOKUP($Y86,$K$48:$K$55,$L$48:$L$55)&amp;BW$1&amp;$W86,装备额外附加!$M:$O,3,0)</f>
        <v>32004</v>
      </c>
      <c r="BX86" s="4">
        <f>VLOOKUP(LOOKUP($Y86,$K$48:$K$55,$L$48:$L$55)&amp;BX$1&amp;$W86,装备额外附加!$M:$O,3,0)</f>
        <v>32005</v>
      </c>
      <c r="BY86" s="4">
        <f>VLOOKUP(LOOKUP($Y86,$K$48:$K$55,$L$48:$L$55)&amp;BY$1&amp;$W86,装备额外附加!$M:$O,3,0)</f>
        <v>32006</v>
      </c>
    </row>
    <row r="87" spans="2:77">
      <c r="B87" s="4" t="s">
        <v>116</v>
      </c>
      <c r="C87" s="4">
        <v>7500</v>
      </c>
      <c r="D87" s="4">
        <v>2000</v>
      </c>
      <c r="E87" s="4">
        <v>400</v>
      </c>
      <c r="F87" s="4">
        <v>100</v>
      </c>
      <c r="I87" s="4">
        <f>SUM(C87:H87)</f>
        <v>10000</v>
      </c>
      <c r="J87" s="4">
        <v>0.08</v>
      </c>
      <c r="K87" s="4" t="str">
        <f>C87&amp;","&amp;D87&amp;","&amp;E87&amp;","&amp;F87</f>
        <v>7500,2000,400,100</v>
      </c>
      <c r="R87" s="4" t="s">
        <v>361</v>
      </c>
      <c r="S87" s="4" t="str">
        <f t="shared" si="74"/>
        <v>106018</v>
      </c>
      <c r="T87" s="4" t="s">
        <v>362</v>
      </c>
      <c r="U87" s="36">
        <v>50</v>
      </c>
      <c r="V87" s="36" t="str">
        <f t="shared" si="75"/>
        <v>项链</v>
      </c>
      <c r="W87" s="36" t="str">
        <f t="shared" si="76"/>
        <v>项链</v>
      </c>
      <c r="X87" s="4">
        <f t="shared" si="77"/>
        <v>8</v>
      </c>
      <c r="Y87" s="4">
        <f t="shared" si="78"/>
        <v>54</v>
      </c>
      <c r="Z87" s="4">
        <f t="shared" si="79"/>
        <v>1</v>
      </c>
      <c r="AA87" s="4" t="str">
        <f t="shared" si="80"/>
        <v>108,129,194,324,540,1080</v>
      </c>
      <c r="AB87" s="36">
        <f t="shared" si="81"/>
        <v>120</v>
      </c>
      <c r="AC87" s="36">
        <f t="shared" si="97"/>
        <v>108</v>
      </c>
      <c r="AD87" s="36">
        <f t="shared" si="99"/>
        <v>129</v>
      </c>
      <c r="AE87" s="36">
        <f t="shared" si="99"/>
        <v>194</v>
      </c>
      <c r="AF87" s="36">
        <f t="shared" si="99"/>
        <v>324</v>
      </c>
      <c r="AG87" s="36">
        <f t="shared" si="99"/>
        <v>540</v>
      </c>
      <c r="AH87" s="36">
        <f t="shared" si="101"/>
        <v>1080</v>
      </c>
      <c r="AJ87" s="4" t="str">
        <f t="shared" si="82"/>
        <v>540,648,972,1620,2700,</v>
      </c>
      <c r="AK87" s="36">
        <f t="shared" si="83"/>
        <v>600</v>
      </c>
      <c r="AL87" s="36">
        <f t="shared" si="64"/>
        <v>540</v>
      </c>
      <c r="AM87" s="36">
        <f t="shared" si="64"/>
        <v>648</v>
      </c>
      <c r="AN87" s="36">
        <f t="shared" si="64"/>
        <v>972</v>
      </c>
      <c r="AO87" s="36">
        <f t="shared" si="64"/>
        <v>1620</v>
      </c>
      <c r="AP87" s="36">
        <f t="shared" si="64"/>
        <v>2700</v>
      </c>
      <c r="AR87" s="4" t="str">
        <f t="shared" si="84"/>
        <v>43200,51840,77760,129600,216000,</v>
      </c>
      <c r="AS87" s="36">
        <f t="shared" si="85"/>
        <v>48000</v>
      </c>
      <c r="AT87" s="36">
        <f t="shared" si="65"/>
        <v>43200</v>
      </c>
      <c r="AU87" s="36">
        <f t="shared" si="65"/>
        <v>51840</v>
      </c>
      <c r="AV87" s="36">
        <f t="shared" si="65"/>
        <v>77760</v>
      </c>
      <c r="AW87" s="36">
        <f t="shared" si="65"/>
        <v>129600</v>
      </c>
      <c r="AX87" s="36">
        <f t="shared" si="65"/>
        <v>216000</v>
      </c>
      <c r="AZ87" s="4">
        <f t="shared" si="86"/>
        <v>0</v>
      </c>
      <c r="BA87" s="4">
        <f t="shared" si="87"/>
        <v>11</v>
      </c>
      <c r="BB87" s="4">
        <f t="shared" si="88"/>
        <v>3</v>
      </c>
      <c r="BC87" s="35" t="str">
        <f t="shared" si="89"/>
        <v/>
      </c>
      <c r="BD87" s="35" t="str">
        <f t="shared" si="66"/>
        <v>24,</v>
      </c>
      <c r="BE87" s="35" t="str">
        <f t="shared" si="90"/>
        <v>3,</v>
      </c>
      <c r="BF87" s="36" t="str">
        <f t="shared" si="91"/>
        <v/>
      </c>
      <c r="BG87" s="36" t="str">
        <f>IF(BA87=0,"",IF(Z87=0,"3,4,5",VLOOKUP(Z87,{1,3;2,4;3,5},2,0))&amp;",")</f>
        <v>3,</v>
      </c>
      <c r="BH87" s="36" t="str">
        <f t="shared" si="92"/>
        <v>6,</v>
      </c>
      <c r="BI87" s="34" t="str">
        <f t="shared" si="93"/>
        <v>3,6</v>
      </c>
      <c r="BJ87" s="34" t="str">
        <f t="shared" si="96"/>
        <v>24,3</v>
      </c>
      <c r="BK87" s="34" t="str">
        <f t="shared" si="94"/>
        <v>0,11,17,26,53,106</v>
      </c>
      <c r="BL87" s="4">
        <f t="shared" si="67"/>
        <v>0</v>
      </c>
      <c r="BM87" s="4">
        <f t="shared" si="68"/>
        <v>11</v>
      </c>
      <c r="BN87" s="4">
        <f t="shared" si="69"/>
        <v>17</v>
      </c>
      <c r="BO87" s="4">
        <f t="shared" si="70"/>
        <v>26</v>
      </c>
      <c r="BP87" s="4">
        <f t="shared" si="71"/>
        <v>53</v>
      </c>
      <c r="BQ87" s="4">
        <f t="shared" si="72"/>
        <v>106</v>
      </c>
      <c r="BR87" s="34" t="str">
        <f t="shared" si="73"/>
        <v>2001,2002,2003,2004,2005,2006</v>
      </c>
      <c r="BS87" s="34" t="str">
        <f t="shared" si="95"/>
        <v>52001,52002,52003,52004,52005,52006</v>
      </c>
      <c r="BT87" s="4">
        <f>VLOOKUP(LOOKUP($Y87,$K$48:$K$55,$L$48:$L$55)&amp;BT$1&amp;$W87,装备额外附加!$M:$O,3,0)</f>
        <v>52001</v>
      </c>
      <c r="BU87" s="4">
        <f>VLOOKUP(LOOKUP($Y87,$K$48:$K$55,$L$48:$L$55)&amp;BU$1&amp;$W87,装备额外附加!$M:$O,3,0)</f>
        <v>52002</v>
      </c>
      <c r="BV87" s="4">
        <f>VLOOKUP(LOOKUP($Y87,$K$48:$K$55,$L$48:$L$55)&amp;BV$1&amp;$W87,装备额外附加!$M:$O,3,0)</f>
        <v>52003</v>
      </c>
      <c r="BW87" s="4">
        <f>VLOOKUP(LOOKUP($Y87,$K$48:$K$55,$L$48:$L$55)&amp;BW$1&amp;$W87,装备额外附加!$M:$O,3,0)</f>
        <v>52004</v>
      </c>
      <c r="BX87" s="4">
        <f>VLOOKUP(LOOKUP($Y87,$K$48:$K$55,$L$48:$L$55)&amp;BX$1&amp;$W87,装备额外附加!$M:$O,3,0)</f>
        <v>52005</v>
      </c>
      <c r="BY87" s="4">
        <f>VLOOKUP(LOOKUP($Y87,$K$48:$K$55,$L$48:$L$55)&amp;BY$1&amp;$W87,装备额外附加!$M:$O,3,0)</f>
        <v>52006</v>
      </c>
    </row>
    <row r="88" spans="2:77">
      <c r="B88" s="4" t="s">
        <v>117</v>
      </c>
      <c r="C88" s="4">
        <v>5500</v>
      </c>
      <c r="D88" s="4">
        <v>3000</v>
      </c>
      <c r="E88" s="4">
        <v>1000</v>
      </c>
      <c r="F88" s="4">
        <v>500</v>
      </c>
      <c r="I88" s="4">
        <f t="shared" ref="I88:I90" si="102">SUM(C88:H88)</f>
        <v>10000</v>
      </c>
      <c r="J88" s="4">
        <v>0.15</v>
      </c>
      <c r="K88" s="4" t="str">
        <f>C88&amp;","&amp;D88&amp;","&amp;E88&amp;","&amp;F88</f>
        <v>5500,3000,1000,500</v>
      </c>
      <c r="R88" s="4" t="s">
        <v>363</v>
      </c>
      <c r="S88" s="4" t="str">
        <f t="shared" si="74"/>
        <v>106016</v>
      </c>
      <c r="T88" s="4" t="s">
        <v>364</v>
      </c>
      <c r="U88" s="36">
        <v>50</v>
      </c>
      <c r="V88" s="36" t="str">
        <f t="shared" si="75"/>
        <v>手镯</v>
      </c>
      <c r="W88" s="36" t="str">
        <f t="shared" si="76"/>
        <v>手镯</v>
      </c>
      <c r="X88" s="4">
        <f t="shared" si="77"/>
        <v>6</v>
      </c>
      <c r="Y88" s="4">
        <f t="shared" si="78"/>
        <v>56</v>
      </c>
      <c r="Z88" s="4">
        <f t="shared" si="79"/>
        <v>1</v>
      </c>
      <c r="AA88" s="4" t="str">
        <f t="shared" si="80"/>
        <v>96,115,172,288,480,960</v>
      </c>
      <c r="AB88" s="36">
        <f t="shared" si="81"/>
        <v>120</v>
      </c>
      <c r="AC88" s="36">
        <f t="shared" si="97"/>
        <v>96</v>
      </c>
      <c r="AD88" s="36">
        <f t="shared" si="99"/>
        <v>115</v>
      </c>
      <c r="AE88" s="36">
        <f t="shared" si="99"/>
        <v>172</v>
      </c>
      <c r="AF88" s="36">
        <f t="shared" si="99"/>
        <v>288</v>
      </c>
      <c r="AG88" s="36">
        <f t="shared" si="99"/>
        <v>480</v>
      </c>
      <c r="AH88" s="36">
        <f t="shared" si="101"/>
        <v>960</v>
      </c>
      <c r="AJ88" s="4" t="str">
        <f t="shared" si="82"/>
        <v>480,576,864,1440,2400,</v>
      </c>
      <c r="AK88" s="36">
        <f t="shared" si="83"/>
        <v>600</v>
      </c>
      <c r="AL88" s="36">
        <f t="shared" si="64"/>
        <v>480</v>
      </c>
      <c r="AM88" s="36">
        <f t="shared" si="64"/>
        <v>576</v>
      </c>
      <c r="AN88" s="36">
        <f t="shared" si="64"/>
        <v>864</v>
      </c>
      <c r="AO88" s="36">
        <f t="shared" si="64"/>
        <v>1440</v>
      </c>
      <c r="AP88" s="36">
        <f t="shared" si="64"/>
        <v>2400</v>
      </c>
      <c r="AR88" s="4" t="str">
        <f t="shared" si="84"/>
        <v>38400,46080,69120,115200,192000,</v>
      </c>
      <c r="AS88" s="36">
        <f t="shared" si="85"/>
        <v>48000</v>
      </c>
      <c r="AT88" s="36">
        <f t="shared" si="65"/>
        <v>38400</v>
      </c>
      <c r="AU88" s="36">
        <f t="shared" si="65"/>
        <v>46080</v>
      </c>
      <c r="AV88" s="36">
        <f t="shared" si="65"/>
        <v>69120</v>
      </c>
      <c r="AW88" s="36">
        <f t="shared" si="65"/>
        <v>115200</v>
      </c>
      <c r="AX88" s="36">
        <f t="shared" si="65"/>
        <v>192000</v>
      </c>
      <c r="AZ88" s="4">
        <f t="shared" si="86"/>
        <v>89</v>
      </c>
      <c r="BA88" s="4">
        <f t="shared" si="87"/>
        <v>7</v>
      </c>
      <c r="BB88" s="4">
        <f t="shared" si="88"/>
        <v>0</v>
      </c>
      <c r="BC88" s="35" t="str">
        <f t="shared" si="89"/>
        <v>89,</v>
      </c>
      <c r="BD88" s="35" t="str">
        <f t="shared" si="66"/>
        <v>15,</v>
      </c>
      <c r="BE88" s="35" t="str">
        <f t="shared" si="90"/>
        <v/>
      </c>
      <c r="BF88" s="36" t="str">
        <f t="shared" si="91"/>
        <v>1,</v>
      </c>
      <c r="BG88" s="36" t="str">
        <f>IF(BA88=0,"",IF(Z88=0,"3,4,5",VLOOKUP(Z88,{1,3;2,4;3,5},2,0))&amp;",")</f>
        <v>3,</v>
      </c>
      <c r="BH88" s="36" t="str">
        <f t="shared" si="92"/>
        <v/>
      </c>
      <c r="BI88" s="34" t="str">
        <f t="shared" si="93"/>
        <v>1,3</v>
      </c>
      <c r="BJ88" s="34" t="str">
        <f t="shared" si="96"/>
        <v>89,15</v>
      </c>
      <c r="BK88" s="34" t="str">
        <f t="shared" si="94"/>
        <v>0,11,17,26,53,106</v>
      </c>
      <c r="BL88" s="4">
        <f t="shared" si="67"/>
        <v>0</v>
      </c>
      <c r="BM88" s="4">
        <f t="shared" si="68"/>
        <v>11</v>
      </c>
      <c r="BN88" s="4">
        <f t="shared" si="69"/>
        <v>17</v>
      </c>
      <c r="BO88" s="4">
        <f t="shared" si="70"/>
        <v>26</v>
      </c>
      <c r="BP88" s="4">
        <f t="shared" si="71"/>
        <v>53</v>
      </c>
      <c r="BQ88" s="4">
        <f t="shared" si="72"/>
        <v>106</v>
      </c>
      <c r="BR88" s="34" t="str">
        <f t="shared" si="73"/>
        <v>3001,3002,3003,3004,3005,3006</v>
      </c>
      <c r="BS88" s="34" t="str">
        <f t="shared" si="95"/>
        <v>42001,42002,42003,42004,42005,42006</v>
      </c>
      <c r="BT88" s="4">
        <f>VLOOKUP(LOOKUP($Y88,$K$48:$K$55,$L$48:$L$55)&amp;BT$1&amp;$W88,装备额外附加!$M:$O,3,0)</f>
        <v>42001</v>
      </c>
      <c r="BU88" s="4">
        <f>VLOOKUP(LOOKUP($Y88,$K$48:$K$55,$L$48:$L$55)&amp;BU$1&amp;$W88,装备额外附加!$M:$O,3,0)</f>
        <v>42002</v>
      </c>
      <c r="BV88" s="4">
        <f>VLOOKUP(LOOKUP($Y88,$K$48:$K$55,$L$48:$L$55)&amp;BV$1&amp;$W88,装备额外附加!$M:$O,3,0)</f>
        <v>42003</v>
      </c>
      <c r="BW88" s="4">
        <f>VLOOKUP(LOOKUP($Y88,$K$48:$K$55,$L$48:$L$55)&amp;BW$1&amp;$W88,装备额外附加!$M:$O,3,0)</f>
        <v>42004</v>
      </c>
      <c r="BX88" s="4">
        <f>VLOOKUP(LOOKUP($Y88,$K$48:$K$55,$L$48:$L$55)&amp;BX$1&amp;$W88,装备额外附加!$M:$O,3,0)</f>
        <v>42005</v>
      </c>
      <c r="BY88" s="4">
        <f>VLOOKUP(LOOKUP($Y88,$K$48:$K$55,$L$48:$L$55)&amp;BY$1&amp;$W88,装备额外附加!$M:$O,3,0)</f>
        <v>42006</v>
      </c>
    </row>
    <row r="89" spans="2:77">
      <c r="B89" s="4" t="s">
        <v>118</v>
      </c>
      <c r="C89" s="4">
        <v>2000</v>
      </c>
      <c r="D89" s="4">
        <v>3000</v>
      </c>
      <c r="E89" s="4">
        <v>3500</v>
      </c>
      <c r="F89" s="4">
        <v>1000</v>
      </c>
      <c r="G89" s="4">
        <v>490</v>
      </c>
      <c r="H89" s="4">
        <v>10</v>
      </c>
      <c r="I89" s="4">
        <f t="shared" si="102"/>
        <v>10000</v>
      </c>
      <c r="J89" s="4">
        <v>0.35</v>
      </c>
      <c r="K89" s="4" t="str">
        <f>C89&amp;","&amp;D89&amp;","&amp;E89&amp;","&amp;F89&amp;","&amp;G89&amp;","&amp;H89</f>
        <v>2000,3000,3500,1000,490,10</v>
      </c>
      <c r="R89" s="4" t="s">
        <v>365</v>
      </c>
      <c r="S89" s="4" t="str">
        <f t="shared" si="74"/>
        <v>106017</v>
      </c>
      <c r="T89" s="4" t="s">
        <v>366</v>
      </c>
      <c r="U89" s="36">
        <v>50</v>
      </c>
      <c r="V89" s="36" t="str">
        <f t="shared" si="75"/>
        <v>戒指</v>
      </c>
      <c r="W89" s="36" t="str">
        <f t="shared" si="76"/>
        <v>戒指</v>
      </c>
      <c r="X89" s="4">
        <f t="shared" si="77"/>
        <v>7</v>
      </c>
      <c r="Y89" s="4">
        <f t="shared" si="78"/>
        <v>53</v>
      </c>
      <c r="Z89" s="4">
        <f t="shared" si="79"/>
        <v>1</v>
      </c>
      <c r="AA89" s="4" t="str">
        <f t="shared" si="80"/>
        <v>96,115,172,288,480,960</v>
      </c>
      <c r="AB89" s="36">
        <f t="shared" si="81"/>
        <v>120</v>
      </c>
      <c r="AC89" s="36">
        <f t="shared" si="97"/>
        <v>96</v>
      </c>
      <c r="AD89" s="36">
        <f t="shared" si="99"/>
        <v>115</v>
      </c>
      <c r="AE89" s="36">
        <f t="shared" si="99"/>
        <v>172</v>
      </c>
      <c r="AF89" s="36">
        <f t="shared" si="99"/>
        <v>288</v>
      </c>
      <c r="AG89" s="36">
        <f t="shared" si="99"/>
        <v>480</v>
      </c>
      <c r="AH89" s="36">
        <f t="shared" si="101"/>
        <v>960</v>
      </c>
      <c r="AJ89" s="4" t="str">
        <f t="shared" si="82"/>
        <v>480,576,864,1440,2400,</v>
      </c>
      <c r="AK89" s="36">
        <f t="shared" si="83"/>
        <v>600</v>
      </c>
      <c r="AL89" s="36">
        <f t="shared" si="64"/>
        <v>480</v>
      </c>
      <c r="AM89" s="36">
        <f t="shared" si="64"/>
        <v>576</v>
      </c>
      <c r="AN89" s="36">
        <f t="shared" si="64"/>
        <v>864</v>
      </c>
      <c r="AO89" s="36">
        <f t="shared" si="64"/>
        <v>1440</v>
      </c>
      <c r="AP89" s="36">
        <f t="shared" si="64"/>
        <v>2400</v>
      </c>
      <c r="AR89" s="4" t="str">
        <f t="shared" si="84"/>
        <v>38400,46080,69120,115200,192000,</v>
      </c>
      <c r="AS89" s="36">
        <f t="shared" si="85"/>
        <v>48000</v>
      </c>
      <c r="AT89" s="36">
        <f t="shared" si="65"/>
        <v>38400</v>
      </c>
      <c r="AU89" s="36">
        <f t="shared" si="65"/>
        <v>46080</v>
      </c>
      <c r="AV89" s="36">
        <f t="shared" si="65"/>
        <v>69120</v>
      </c>
      <c r="AW89" s="36">
        <f t="shared" si="65"/>
        <v>115200</v>
      </c>
      <c r="AX89" s="36">
        <f t="shared" si="65"/>
        <v>192000</v>
      </c>
      <c r="AZ89" s="4">
        <f t="shared" si="86"/>
        <v>89</v>
      </c>
      <c r="BA89" s="4">
        <f t="shared" si="87"/>
        <v>7</v>
      </c>
      <c r="BB89" s="4">
        <f t="shared" si="88"/>
        <v>0</v>
      </c>
      <c r="BC89" s="35" t="str">
        <f t="shared" si="89"/>
        <v>89,</v>
      </c>
      <c r="BD89" s="35" t="str">
        <f t="shared" si="66"/>
        <v>15,</v>
      </c>
      <c r="BE89" s="35" t="str">
        <f t="shared" si="90"/>
        <v/>
      </c>
      <c r="BF89" s="36" t="str">
        <f t="shared" si="91"/>
        <v>1,</v>
      </c>
      <c r="BG89" s="36" t="str">
        <f>IF(BA89=0,"",IF(Z89=0,"3,4,5",VLOOKUP(Z89,{1,3;2,4;3,5},2,0))&amp;",")</f>
        <v>3,</v>
      </c>
      <c r="BH89" s="36" t="str">
        <f t="shared" si="92"/>
        <v/>
      </c>
      <c r="BI89" s="34" t="str">
        <f t="shared" si="93"/>
        <v>1,3</v>
      </c>
      <c r="BJ89" s="34" t="str">
        <f t="shared" si="96"/>
        <v>89,15</v>
      </c>
      <c r="BK89" s="34" t="str">
        <f t="shared" si="94"/>
        <v>0,11,17,26,53,106</v>
      </c>
      <c r="BL89" s="4">
        <f t="shared" si="67"/>
        <v>0</v>
      </c>
      <c r="BM89" s="4">
        <f t="shared" si="68"/>
        <v>11</v>
      </c>
      <c r="BN89" s="4">
        <f t="shared" si="69"/>
        <v>17</v>
      </c>
      <c r="BO89" s="4">
        <f t="shared" si="70"/>
        <v>26</v>
      </c>
      <c r="BP89" s="4">
        <f t="shared" si="71"/>
        <v>53</v>
      </c>
      <c r="BQ89" s="4">
        <f t="shared" si="72"/>
        <v>106</v>
      </c>
      <c r="BR89" s="34" t="str">
        <f t="shared" si="73"/>
        <v>4001,4002,4003,4004,4005,4006</v>
      </c>
      <c r="BS89" s="34" t="str">
        <f t="shared" si="95"/>
        <v>32001,32002,32003,32004,32005,32006</v>
      </c>
      <c r="BT89" s="4">
        <f>VLOOKUP(LOOKUP($Y89,$K$48:$K$55,$L$48:$L$55)&amp;BT$1&amp;$W89,装备额外附加!$M:$O,3,0)</f>
        <v>32001</v>
      </c>
      <c r="BU89" s="4">
        <f>VLOOKUP(LOOKUP($Y89,$K$48:$K$55,$L$48:$L$55)&amp;BU$1&amp;$W89,装备额外附加!$M:$O,3,0)</f>
        <v>32002</v>
      </c>
      <c r="BV89" s="4">
        <f>VLOOKUP(LOOKUP($Y89,$K$48:$K$55,$L$48:$L$55)&amp;BV$1&amp;$W89,装备额外附加!$M:$O,3,0)</f>
        <v>32003</v>
      </c>
      <c r="BW89" s="4">
        <f>VLOOKUP(LOOKUP($Y89,$K$48:$K$55,$L$48:$L$55)&amp;BW$1&amp;$W89,装备额外附加!$M:$O,3,0)</f>
        <v>32004</v>
      </c>
      <c r="BX89" s="4">
        <f>VLOOKUP(LOOKUP($Y89,$K$48:$K$55,$L$48:$L$55)&amp;BX$1&amp;$W89,装备额外附加!$M:$O,3,0)</f>
        <v>32005</v>
      </c>
      <c r="BY89" s="4">
        <f>VLOOKUP(LOOKUP($Y89,$K$48:$K$55,$L$48:$L$55)&amp;BY$1&amp;$W89,装备额外附加!$M:$O,3,0)</f>
        <v>32006</v>
      </c>
    </row>
    <row r="90" spans="2:77">
      <c r="B90" s="4" t="s">
        <v>119</v>
      </c>
      <c r="C90" s="4">
        <v>500</v>
      </c>
      <c r="D90" s="4">
        <v>1000</v>
      </c>
      <c r="E90" s="4">
        <v>2000</v>
      </c>
      <c r="F90" s="4">
        <v>4000</v>
      </c>
      <c r="G90" s="4">
        <v>2450</v>
      </c>
      <c r="H90" s="4">
        <v>50</v>
      </c>
      <c r="I90" s="4">
        <f t="shared" si="102"/>
        <v>10000</v>
      </c>
      <c r="J90" s="4">
        <v>1</v>
      </c>
      <c r="K90" s="4" t="str">
        <f>C90&amp;","&amp;D90&amp;","&amp;E90&amp;","&amp;F90&amp;","&amp;G90&amp;","&amp;H90</f>
        <v>500,1000,2000,4000,2450,50</v>
      </c>
      <c r="R90" s="4" t="s">
        <v>367</v>
      </c>
      <c r="S90" s="4" t="str">
        <f t="shared" si="74"/>
        <v>106028</v>
      </c>
      <c r="T90" s="4" t="s">
        <v>368</v>
      </c>
      <c r="U90" s="36">
        <v>50</v>
      </c>
      <c r="V90" s="36" t="str">
        <f t="shared" si="75"/>
        <v>项链</v>
      </c>
      <c r="W90" s="36" t="str">
        <f t="shared" si="76"/>
        <v>项链</v>
      </c>
      <c r="X90" s="4">
        <f t="shared" si="77"/>
        <v>8</v>
      </c>
      <c r="Y90" s="4">
        <f t="shared" si="78"/>
        <v>54</v>
      </c>
      <c r="Z90" s="4">
        <f t="shared" si="79"/>
        <v>2</v>
      </c>
      <c r="AA90" s="4" t="str">
        <f t="shared" si="80"/>
        <v>108,129,194,324,540,1080</v>
      </c>
      <c r="AB90" s="36">
        <f t="shared" si="81"/>
        <v>120</v>
      </c>
      <c r="AC90" s="36">
        <f t="shared" si="97"/>
        <v>108</v>
      </c>
      <c r="AD90" s="36">
        <f t="shared" si="99"/>
        <v>129</v>
      </c>
      <c r="AE90" s="36">
        <f t="shared" si="99"/>
        <v>194</v>
      </c>
      <c r="AF90" s="36">
        <f t="shared" si="99"/>
        <v>324</v>
      </c>
      <c r="AG90" s="36">
        <f t="shared" si="99"/>
        <v>540</v>
      </c>
      <c r="AH90" s="36">
        <f t="shared" si="101"/>
        <v>1080</v>
      </c>
      <c r="AJ90" s="4" t="str">
        <f t="shared" si="82"/>
        <v>540,648,972,1620,2700,</v>
      </c>
      <c r="AK90" s="36">
        <f t="shared" si="83"/>
        <v>600</v>
      </c>
      <c r="AL90" s="36">
        <f t="shared" si="64"/>
        <v>540</v>
      </c>
      <c r="AM90" s="36">
        <f t="shared" si="64"/>
        <v>648</v>
      </c>
      <c r="AN90" s="36">
        <f t="shared" si="64"/>
        <v>972</v>
      </c>
      <c r="AO90" s="36">
        <f t="shared" si="64"/>
        <v>1620</v>
      </c>
      <c r="AP90" s="36">
        <f t="shared" si="64"/>
        <v>2700</v>
      </c>
      <c r="AR90" s="4" t="str">
        <f t="shared" si="84"/>
        <v>43200,51840,77760,129600,216000,</v>
      </c>
      <c r="AS90" s="36">
        <f t="shared" si="85"/>
        <v>48000</v>
      </c>
      <c r="AT90" s="36">
        <f t="shared" si="65"/>
        <v>43200</v>
      </c>
      <c r="AU90" s="36">
        <f t="shared" si="65"/>
        <v>51840</v>
      </c>
      <c r="AV90" s="36">
        <f t="shared" si="65"/>
        <v>77760</v>
      </c>
      <c r="AW90" s="36">
        <f t="shared" si="65"/>
        <v>129600</v>
      </c>
      <c r="AX90" s="36">
        <f t="shared" si="65"/>
        <v>216000</v>
      </c>
      <c r="AZ90" s="4">
        <f t="shared" si="86"/>
        <v>0</v>
      </c>
      <c r="BA90" s="4">
        <f t="shared" si="87"/>
        <v>11</v>
      </c>
      <c r="BB90" s="4">
        <f t="shared" si="88"/>
        <v>3</v>
      </c>
      <c r="BC90" s="35" t="str">
        <f t="shared" si="89"/>
        <v/>
      </c>
      <c r="BD90" s="35" t="str">
        <f t="shared" si="66"/>
        <v>24,</v>
      </c>
      <c r="BE90" s="35" t="str">
        <f t="shared" si="90"/>
        <v>3,</v>
      </c>
      <c r="BF90" s="36" t="str">
        <f t="shared" si="91"/>
        <v/>
      </c>
      <c r="BG90" s="36" t="str">
        <f>IF(BA90=0,"",IF(Z90=0,"3,4,5",VLOOKUP(Z90,{1,3;2,4;3,5},2,0))&amp;",")</f>
        <v>4,</v>
      </c>
      <c r="BH90" s="36" t="str">
        <f t="shared" si="92"/>
        <v>6,</v>
      </c>
      <c r="BI90" s="34" t="str">
        <f t="shared" si="93"/>
        <v>4,6</v>
      </c>
      <c r="BJ90" s="34" t="str">
        <f t="shared" si="96"/>
        <v>24,3</v>
      </c>
      <c r="BK90" s="34" t="str">
        <f t="shared" si="94"/>
        <v>0,11,17,26,53,106</v>
      </c>
      <c r="BL90" s="4">
        <f t="shared" si="67"/>
        <v>0</v>
      </c>
      <c r="BM90" s="4">
        <f t="shared" si="68"/>
        <v>11</v>
      </c>
      <c r="BN90" s="4">
        <f t="shared" si="69"/>
        <v>17</v>
      </c>
      <c r="BO90" s="4">
        <f t="shared" si="70"/>
        <v>26</v>
      </c>
      <c r="BP90" s="4">
        <f t="shared" si="71"/>
        <v>53</v>
      </c>
      <c r="BQ90" s="4">
        <f t="shared" si="72"/>
        <v>106</v>
      </c>
      <c r="BR90" s="34" t="str">
        <f t="shared" si="73"/>
        <v>2001,2002,2003,2004,2005,2006</v>
      </c>
      <c r="BS90" s="34" t="str">
        <f t="shared" si="95"/>
        <v>52001,52002,52003,52004,52005,52006</v>
      </c>
      <c r="BT90" s="4">
        <f>VLOOKUP(LOOKUP($Y90,$K$48:$K$55,$L$48:$L$55)&amp;BT$1&amp;$W90,装备额外附加!$M:$O,3,0)</f>
        <v>52001</v>
      </c>
      <c r="BU90" s="4">
        <f>VLOOKUP(LOOKUP($Y90,$K$48:$K$55,$L$48:$L$55)&amp;BU$1&amp;$W90,装备额外附加!$M:$O,3,0)</f>
        <v>52002</v>
      </c>
      <c r="BV90" s="4">
        <f>VLOOKUP(LOOKUP($Y90,$K$48:$K$55,$L$48:$L$55)&amp;BV$1&amp;$W90,装备额外附加!$M:$O,3,0)</f>
        <v>52003</v>
      </c>
      <c r="BW90" s="4">
        <f>VLOOKUP(LOOKUP($Y90,$K$48:$K$55,$L$48:$L$55)&amp;BW$1&amp;$W90,装备额外附加!$M:$O,3,0)</f>
        <v>52004</v>
      </c>
      <c r="BX90" s="4">
        <f>VLOOKUP(LOOKUP($Y90,$K$48:$K$55,$L$48:$L$55)&amp;BX$1&amp;$W90,装备额外附加!$M:$O,3,0)</f>
        <v>52005</v>
      </c>
      <c r="BY90" s="4">
        <f>VLOOKUP(LOOKUP($Y90,$K$48:$K$55,$L$48:$L$55)&amp;BY$1&amp;$W90,装备额外附加!$M:$O,3,0)</f>
        <v>52006</v>
      </c>
    </row>
    <row r="91" spans="18:77">
      <c r="R91" s="4" t="s">
        <v>369</v>
      </c>
      <c r="S91" s="4" t="str">
        <f t="shared" si="74"/>
        <v>106026</v>
      </c>
      <c r="T91" s="4" t="s">
        <v>370</v>
      </c>
      <c r="U91" s="36">
        <v>50</v>
      </c>
      <c r="V91" s="36" t="str">
        <f t="shared" si="75"/>
        <v>手镯</v>
      </c>
      <c r="W91" s="36" t="str">
        <f t="shared" si="76"/>
        <v>手镯</v>
      </c>
      <c r="X91" s="4">
        <f t="shared" si="77"/>
        <v>6</v>
      </c>
      <c r="Y91" s="4">
        <f t="shared" si="78"/>
        <v>56</v>
      </c>
      <c r="Z91" s="4">
        <f t="shared" si="79"/>
        <v>2</v>
      </c>
      <c r="AA91" s="4" t="str">
        <f t="shared" si="80"/>
        <v>96,115,172,288,480,960</v>
      </c>
      <c r="AB91" s="36">
        <f t="shared" si="81"/>
        <v>120</v>
      </c>
      <c r="AC91" s="36">
        <f t="shared" si="97"/>
        <v>96</v>
      </c>
      <c r="AD91" s="36">
        <f t="shared" si="99"/>
        <v>115</v>
      </c>
      <c r="AE91" s="36">
        <f t="shared" si="99"/>
        <v>172</v>
      </c>
      <c r="AF91" s="36">
        <f t="shared" si="99"/>
        <v>288</v>
      </c>
      <c r="AG91" s="36">
        <f t="shared" si="99"/>
        <v>480</v>
      </c>
      <c r="AH91" s="36">
        <f t="shared" si="101"/>
        <v>960</v>
      </c>
      <c r="AJ91" s="4" t="str">
        <f t="shared" si="82"/>
        <v>480,576,864,1440,2400,</v>
      </c>
      <c r="AK91" s="36">
        <f t="shared" si="83"/>
        <v>600</v>
      </c>
      <c r="AL91" s="36">
        <f t="shared" si="64"/>
        <v>480</v>
      </c>
      <c r="AM91" s="36">
        <f t="shared" si="64"/>
        <v>576</v>
      </c>
      <c r="AN91" s="36">
        <f t="shared" si="64"/>
        <v>864</v>
      </c>
      <c r="AO91" s="36">
        <f t="shared" si="64"/>
        <v>1440</v>
      </c>
      <c r="AP91" s="36">
        <f t="shared" si="64"/>
        <v>2400</v>
      </c>
      <c r="AR91" s="4" t="str">
        <f t="shared" si="84"/>
        <v>38400,46080,69120,115200,192000,</v>
      </c>
      <c r="AS91" s="36">
        <f t="shared" si="85"/>
        <v>48000</v>
      </c>
      <c r="AT91" s="36">
        <f t="shared" si="65"/>
        <v>38400</v>
      </c>
      <c r="AU91" s="36">
        <f t="shared" si="65"/>
        <v>46080</v>
      </c>
      <c r="AV91" s="36">
        <f t="shared" si="65"/>
        <v>69120</v>
      </c>
      <c r="AW91" s="36">
        <f t="shared" si="65"/>
        <v>115200</v>
      </c>
      <c r="AX91" s="36">
        <f t="shared" si="65"/>
        <v>192000</v>
      </c>
      <c r="AZ91" s="4">
        <f t="shared" si="86"/>
        <v>89</v>
      </c>
      <c r="BA91" s="4">
        <f t="shared" si="87"/>
        <v>7</v>
      </c>
      <c r="BB91" s="4">
        <f t="shared" si="88"/>
        <v>0</v>
      </c>
      <c r="BC91" s="35" t="str">
        <f t="shared" si="89"/>
        <v>89,</v>
      </c>
      <c r="BD91" s="35" t="str">
        <f t="shared" si="66"/>
        <v>15,</v>
      </c>
      <c r="BE91" s="35" t="str">
        <f t="shared" si="90"/>
        <v/>
      </c>
      <c r="BF91" s="36" t="str">
        <f t="shared" si="91"/>
        <v>1,</v>
      </c>
      <c r="BG91" s="36" t="str">
        <f>IF(BA91=0,"",IF(Z91=0,"3,4,5",VLOOKUP(Z91,{1,3;2,4;3,5},2,0))&amp;",")</f>
        <v>4,</v>
      </c>
      <c r="BH91" s="36" t="str">
        <f t="shared" si="92"/>
        <v/>
      </c>
      <c r="BI91" s="34" t="str">
        <f t="shared" si="93"/>
        <v>1,4</v>
      </c>
      <c r="BJ91" s="34" t="str">
        <f t="shared" si="96"/>
        <v>89,15</v>
      </c>
      <c r="BK91" s="34" t="str">
        <f t="shared" si="94"/>
        <v>0,11,17,26,53,106</v>
      </c>
      <c r="BL91" s="4">
        <f t="shared" si="67"/>
        <v>0</v>
      </c>
      <c r="BM91" s="4">
        <f t="shared" si="68"/>
        <v>11</v>
      </c>
      <c r="BN91" s="4">
        <f t="shared" si="69"/>
        <v>17</v>
      </c>
      <c r="BO91" s="4">
        <f t="shared" si="70"/>
        <v>26</v>
      </c>
      <c r="BP91" s="4">
        <f t="shared" si="71"/>
        <v>53</v>
      </c>
      <c r="BQ91" s="4">
        <f t="shared" si="72"/>
        <v>106</v>
      </c>
      <c r="BR91" s="34" t="str">
        <f t="shared" si="73"/>
        <v>3001,3002,3003,3004,3005,3006</v>
      </c>
      <c r="BS91" s="34" t="str">
        <f t="shared" si="95"/>
        <v>42001,42002,42003,42004,42005,42006</v>
      </c>
      <c r="BT91" s="4">
        <f>VLOOKUP(LOOKUP($Y91,$K$48:$K$55,$L$48:$L$55)&amp;BT$1&amp;$W91,装备额外附加!$M:$O,3,0)</f>
        <v>42001</v>
      </c>
      <c r="BU91" s="4">
        <f>VLOOKUP(LOOKUP($Y91,$K$48:$K$55,$L$48:$L$55)&amp;BU$1&amp;$W91,装备额外附加!$M:$O,3,0)</f>
        <v>42002</v>
      </c>
      <c r="BV91" s="4">
        <f>VLOOKUP(LOOKUP($Y91,$K$48:$K$55,$L$48:$L$55)&amp;BV$1&amp;$W91,装备额外附加!$M:$O,3,0)</f>
        <v>42003</v>
      </c>
      <c r="BW91" s="4">
        <f>VLOOKUP(LOOKUP($Y91,$K$48:$K$55,$L$48:$L$55)&amp;BW$1&amp;$W91,装备额外附加!$M:$O,3,0)</f>
        <v>42004</v>
      </c>
      <c r="BX91" s="4">
        <f>VLOOKUP(LOOKUP($Y91,$K$48:$K$55,$L$48:$L$55)&amp;BX$1&amp;$W91,装备额外附加!$M:$O,3,0)</f>
        <v>42005</v>
      </c>
      <c r="BY91" s="4">
        <f>VLOOKUP(LOOKUP($Y91,$K$48:$K$55,$L$48:$L$55)&amp;BY$1&amp;$W91,装备额外附加!$M:$O,3,0)</f>
        <v>42006</v>
      </c>
    </row>
    <row r="92" spans="2:77">
      <c r="B92" s="4" t="s">
        <v>116</v>
      </c>
      <c r="C92" s="4">
        <f>C87*$J87</f>
        <v>600</v>
      </c>
      <c r="D92" s="4">
        <f t="shared" ref="D92:F92" si="103">D87*$J87</f>
        <v>160</v>
      </c>
      <c r="E92" s="4">
        <f t="shared" si="103"/>
        <v>32</v>
      </c>
      <c r="F92" s="4">
        <f t="shared" si="103"/>
        <v>8</v>
      </c>
      <c r="I92" s="4">
        <f t="shared" ref="I92:I95" si="104">SUM(C92:H92)</f>
        <v>800</v>
      </c>
      <c r="K92" s="4" t="str">
        <f>C92&amp;","&amp;D92&amp;","&amp;E92&amp;","&amp;F92</f>
        <v>600,160,32,8</v>
      </c>
      <c r="R92" s="4" t="s">
        <v>371</v>
      </c>
      <c r="S92" s="4" t="str">
        <f t="shared" si="74"/>
        <v>106027</v>
      </c>
      <c r="T92" s="4" t="s">
        <v>372</v>
      </c>
      <c r="U92" s="36">
        <v>50</v>
      </c>
      <c r="V92" s="36" t="str">
        <f t="shared" si="75"/>
        <v>戒指</v>
      </c>
      <c r="W92" s="36" t="str">
        <f t="shared" si="76"/>
        <v>戒指</v>
      </c>
      <c r="X92" s="4">
        <f t="shared" si="77"/>
        <v>7</v>
      </c>
      <c r="Y92" s="4">
        <f t="shared" si="78"/>
        <v>53</v>
      </c>
      <c r="Z92" s="4">
        <f t="shared" si="79"/>
        <v>2</v>
      </c>
      <c r="AA92" s="4" t="str">
        <f t="shared" si="80"/>
        <v>96,115,172,288,480,960</v>
      </c>
      <c r="AB92" s="36">
        <f t="shared" si="81"/>
        <v>120</v>
      </c>
      <c r="AC92" s="36">
        <f t="shared" si="97"/>
        <v>96</v>
      </c>
      <c r="AD92" s="36">
        <f t="shared" si="99"/>
        <v>115</v>
      </c>
      <c r="AE92" s="36">
        <f t="shared" si="99"/>
        <v>172</v>
      </c>
      <c r="AF92" s="36">
        <f t="shared" si="99"/>
        <v>288</v>
      </c>
      <c r="AG92" s="36">
        <f t="shared" si="99"/>
        <v>480</v>
      </c>
      <c r="AH92" s="36">
        <f t="shared" si="101"/>
        <v>960</v>
      </c>
      <c r="AJ92" s="4" t="str">
        <f t="shared" si="82"/>
        <v>480,576,864,1440,2400,</v>
      </c>
      <c r="AK92" s="36">
        <f t="shared" si="83"/>
        <v>600</v>
      </c>
      <c r="AL92" s="36">
        <f t="shared" si="64"/>
        <v>480</v>
      </c>
      <c r="AM92" s="36">
        <f t="shared" si="64"/>
        <v>576</v>
      </c>
      <c r="AN92" s="36">
        <f t="shared" si="64"/>
        <v>864</v>
      </c>
      <c r="AO92" s="36">
        <f t="shared" si="64"/>
        <v>1440</v>
      </c>
      <c r="AP92" s="36">
        <f t="shared" si="64"/>
        <v>2400</v>
      </c>
      <c r="AR92" s="4" t="str">
        <f t="shared" si="84"/>
        <v>38400,46080,69120,115200,192000,</v>
      </c>
      <c r="AS92" s="36">
        <f t="shared" si="85"/>
        <v>48000</v>
      </c>
      <c r="AT92" s="36">
        <f t="shared" si="65"/>
        <v>38400</v>
      </c>
      <c r="AU92" s="36">
        <f t="shared" si="65"/>
        <v>46080</v>
      </c>
      <c r="AV92" s="36">
        <f t="shared" si="65"/>
        <v>69120</v>
      </c>
      <c r="AW92" s="36">
        <f t="shared" si="65"/>
        <v>115200</v>
      </c>
      <c r="AX92" s="36">
        <f t="shared" si="65"/>
        <v>192000</v>
      </c>
      <c r="AZ92" s="4">
        <f t="shared" si="86"/>
        <v>89</v>
      </c>
      <c r="BA92" s="4">
        <f t="shared" si="87"/>
        <v>7</v>
      </c>
      <c r="BB92" s="4">
        <f t="shared" si="88"/>
        <v>0</v>
      </c>
      <c r="BC92" s="35" t="str">
        <f t="shared" si="89"/>
        <v>89,</v>
      </c>
      <c r="BD92" s="35" t="str">
        <f t="shared" si="66"/>
        <v>15,</v>
      </c>
      <c r="BE92" s="35" t="str">
        <f t="shared" si="90"/>
        <v/>
      </c>
      <c r="BF92" s="36" t="str">
        <f t="shared" si="91"/>
        <v>1,</v>
      </c>
      <c r="BG92" s="36" t="str">
        <f>IF(BA92=0,"",IF(Z92=0,"3,4,5",VLOOKUP(Z92,{1,3;2,4;3,5},2,0))&amp;",")</f>
        <v>4,</v>
      </c>
      <c r="BH92" s="36" t="str">
        <f t="shared" si="92"/>
        <v/>
      </c>
      <c r="BI92" s="34" t="str">
        <f t="shared" si="93"/>
        <v>1,4</v>
      </c>
      <c r="BJ92" s="34" t="str">
        <f t="shared" si="96"/>
        <v>89,15</v>
      </c>
      <c r="BK92" s="34" t="str">
        <f t="shared" si="94"/>
        <v>0,11,17,26,53,106</v>
      </c>
      <c r="BL92" s="4">
        <f t="shared" si="67"/>
        <v>0</v>
      </c>
      <c r="BM92" s="4">
        <f t="shared" si="68"/>
        <v>11</v>
      </c>
      <c r="BN92" s="4">
        <f t="shared" si="69"/>
        <v>17</v>
      </c>
      <c r="BO92" s="4">
        <f t="shared" si="70"/>
        <v>26</v>
      </c>
      <c r="BP92" s="4">
        <f t="shared" si="71"/>
        <v>53</v>
      </c>
      <c r="BQ92" s="4">
        <f t="shared" si="72"/>
        <v>106</v>
      </c>
      <c r="BR92" s="34" t="str">
        <f t="shared" si="73"/>
        <v>4001,4002,4003,4004,4005,4006</v>
      </c>
      <c r="BS92" s="34" t="str">
        <f t="shared" si="95"/>
        <v>32001,32002,32003,32004,32005,32006</v>
      </c>
      <c r="BT92" s="4">
        <f>VLOOKUP(LOOKUP($Y92,$K$48:$K$55,$L$48:$L$55)&amp;BT$1&amp;$W92,装备额外附加!$M:$O,3,0)</f>
        <v>32001</v>
      </c>
      <c r="BU92" s="4">
        <f>VLOOKUP(LOOKUP($Y92,$K$48:$K$55,$L$48:$L$55)&amp;BU$1&amp;$W92,装备额外附加!$M:$O,3,0)</f>
        <v>32002</v>
      </c>
      <c r="BV92" s="4">
        <f>VLOOKUP(LOOKUP($Y92,$K$48:$K$55,$L$48:$L$55)&amp;BV$1&amp;$W92,装备额外附加!$M:$O,3,0)</f>
        <v>32003</v>
      </c>
      <c r="BW92" s="4">
        <f>VLOOKUP(LOOKUP($Y92,$K$48:$K$55,$L$48:$L$55)&amp;BW$1&amp;$W92,装备额外附加!$M:$O,3,0)</f>
        <v>32004</v>
      </c>
      <c r="BX92" s="4">
        <f>VLOOKUP(LOOKUP($Y92,$K$48:$K$55,$L$48:$L$55)&amp;BX$1&amp;$W92,装备额外附加!$M:$O,3,0)</f>
        <v>32005</v>
      </c>
      <c r="BY92" s="4">
        <f>VLOOKUP(LOOKUP($Y92,$K$48:$K$55,$L$48:$L$55)&amp;BY$1&amp;$W92,装备额外附加!$M:$O,3,0)</f>
        <v>32006</v>
      </c>
    </row>
    <row r="93" spans="2:77">
      <c r="B93" s="4" t="s">
        <v>117</v>
      </c>
      <c r="C93" s="4">
        <f t="shared" ref="C93:F93" si="105">C88*$J88</f>
        <v>825</v>
      </c>
      <c r="D93" s="4">
        <f t="shared" si="105"/>
        <v>450</v>
      </c>
      <c r="E93" s="4">
        <f t="shared" si="105"/>
        <v>150</v>
      </c>
      <c r="F93" s="4">
        <f t="shared" si="105"/>
        <v>75</v>
      </c>
      <c r="I93" s="4">
        <f t="shared" si="104"/>
        <v>1500</v>
      </c>
      <c r="K93" s="4" t="str">
        <f>C93&amp;","&amp;D93&amp;","&amp;E93&amp;","&amp;F93</f>
        <v>825,450,150,75</v>
      </c>
      <c r="R93" s="4" t="s">
        <v>373</v>
      </c>
      <c r="S93" s="4" t="str">
        <f t="shared" si="74"/>
        <v>106038</v>
      </c>
      <c r="T93" s="4" t="s">
        <v>374</v>
      </c>
      <c r="U93" s="36">
        <v>50</v>
      </c>
      <c r="V93" s="36" t="str">
        <f t="shared" si="75"/>
        <v>项链</v>
      </c>
      <c r="W93" s="36" t="str">
        <f t="shared" si="76"/>
        <v>项链</v>
      </c>
      <c r="X93" s="4">
        <f t="shared" si="77"/>
        <v>8</v>
      </c>
      <c r="Y93" s="4">
        <f t="shared" si="78"/>
        <v>54</v>
      </c>
      <c r="Z93" s="4">
        <f t="shared" si="79"/>
        <v>3</v>
      </c>
      <c r="AA93" s="4" t="str">
        <f t="shared" si="80"/>
        <v>108,129,194,324,540,1080</v>
      </c>
      <c r="AB93" s="36">
        <f t="shared" si="81"/>
        <v>120</v>
      </c>
      <c r="AC93" s="36">
        <f t="shared" si="97"/>
        <v>108</v>
      </c>
      <c r="AD93" s="36">
        <f t="shared" si="99"/>
        <v>129</v>
      </c>
      <c r="AE93" s="36">
        <f t="shared" si="99"/>
        <v>194</v>
      </c>
      <c r="AF93" s="36">
        <f t="shared" si="99"/>
        <v>324</v>
      </c>
      <c r="AG93" s="36">
        <f t="shared" si="99"/>
        <v>540</v>
      </c>
      <c r="AH93" s="36">
        <f t="shared" si="101"/>
        <v>1080</v>
      </c>
      <c r="AJ93" s="4" t="str">
        <f t="shared" si="82"/>
        <v>540,648,972,1620,2700,</v>
      </c>
      <c r="AK93" s="36">
        <f t="shared" si="83"/>
        <v>600</v>
      </c>
      <c r="AL93" s="36">
        <f t="shared" si="64"/>
        <v>540</v>
      </c>
      <c r="AM93" s="36">
        <f t="shared" si="64"/>
        <v>648</v>
      </c>
      <c r="AN93" s="36">
        <f t="shared" si="64"/>
        <v>972</v>
      </c>
      <c r="AO93" s="36">
        <f t="shared" si="64"/>
        <v>1620</v>
      </c>
      <c r="AP93" s="36">
        <f t="shared" si="64"/>
        <v>2700</v>
      </c>
      <c r="AR93" s="4" t="str">
        <f t="shared" si="84"/>
        <v>43200,51840,77760,129600,216000,</v>
      </c>
      <c r="AS93" s="36">
        <f t="shared" si="85"/>
        <v>48000</v>
      </c>
      <c r="AT93" s="36">
        <f t="shared" si="65"/>
        <v>43200</v>
      </c>
      <c r="AU93" s="36">
        <f t="shared" si="65"/>
        <v>51840</v>
      </c>
      <c r="AV93" s="36">
        <f t="shared" si="65"/>
        <v>77760</v>
      </c>
      <c r="AW93" s="36">
        <f t="shared" si="65"/>
        <v>129600</v>
      </c>
      <c r="AX93" s="36">
        <f t="shared" si="65"/>
        <v>216000</v>
      </c>
      <c r="AZ93" s="4">
        <f t="shared" si="86"/>
        <v>0</v>
      </c>
      <c r="BA93" s="4">
        <f t="shared" si="87"/>
        <v>11</v>
      </c>
      <c r="BB93" s="4">
        <f t="shared" si="88"/>
        <v>3</v>
      </c>
      <c r="BC93" s="35" t="str">
        <f t="shared" si="89"/>
        <v/>
      </c>
      <c r="BD93" s="35" t="str">
        <f t="shared" si="66"/>
        <v>24,</v>
      </c>
      <c r="BE93" s="35" t="str">
        <f t="shared" si="90"/>
        <v>3,</v>
      </c>
      <c r="BF93" s="36" t="str">
        <f t="shared" si="91"/>
        <v/>
      </c>
      <c r="BG93" s="36" t="str">
        <f>IF(BA93=0,"",IF(Z93=0,"3,4,5",VLOOKUP(Z93,{1,3;2,4;3,5},2,0))&amp;",")</f>
        <v>5,</v>
      </c>
      <c r="BH93" s="36" t="str">
        <f t="shared" si="92"/>
        <v>6,</v>
      </c>
      <c r="BI93" s="34" t="str">
        <f t="shared" si="93"/>
        <v>5,6</v>
      </c>
      <c r="BJ93" s="34" t="str">
        <f t="shared" si="96"/>
        <v>24,3</v>
      </c>
      <c r="BK93" s="34" t="str">
        <f t="shared" si="94"/>
        <v>0,11,17,26,53,106</v>
      </c>
      <c r="BL93" s="4">
        <f t="shared" si="67"/>
        <v>0</v>
      </c>
      <c r="BM93" s="4">
        <f t="shared" si="68"/>
        <v>11</v>
      </c>
      <c r="BN93" s="4">
        <f t="shared" si="69"/>
        <v>17</v>
      </c>
      <c r="BO93" s="4">
        <f t="shared" si="70"/>
        <v>26</v>
      </c>
      <c r="BP93" s="4">
        <f t="shared" si="71"/>
        <v>53</v>
      </c>
      <c r="BQ93" s="4">
        <f t="shared" si="72"/>
        <v>106</v>
      </c>
      <c r="BR93" s="34" t="str">
        <f t="shared" si="73"/>
        <v>2001,2002,2003,2004,2005,2006</v>
      </c>
      <c r="BS93" s="34" t="str">
        <f t="shared" si="95"/>
        <v>52001,52002,52003,52004,52005,52006</v>
      </c>
      <c r="BT93" s="4">
        <f>VLOOKUP(LOOKUP($Y93,$K$48:$K$55,$L$48:$L$55)&amp;BT$1&amp;$W93,装备额外附加!$M:$O,3,0)</f>
        <v>52001</v>
      </c>
      <c r="BU93" s="4">
        <f>VLOOKUP(LOOKUP($Y93,$K$48:$K$55,$L$48:$L$55)&amp;BU$1&amp;$W93,装备额外附加!$M:$O,3,0)</f>
        <v>52002</v>
      </c>
      <c r="BV93" s="4">
        <f>VLOOKUP(LOOKUP($Y93,$K$48:$K$55,$L$48:$L$55)&amp;BV$1&amp;$W93,装备额外附加!$M:$O,3,0)</f>
        <v>52003</v>
      </c>
      <c r="BW93" s="4">
        <f>VLOOKUP(LOOKUP($Y93,$K$48:$K$55,$L$48:$L$55)&amp;BW$1&amp;$W93,装备额外附加!$M:$O,3,0)</f>
        <v>52004</v>
      </c>
      <c r="BX93" s="4">
        <f>VLOOKUP(LOOKUP($Y93,$K$48:$K$55,$L$48:$L$55)&amp;BX$1&amp;$W93,装备额外附加!$M:$O,3,0)</f>
        <v>52005</v>
      </c>
      <c r="BY93" s="4">
        <f>VLOOKUP(LOOKUP($Y93,$K$48:$K$55,$L$48:$L$55)&amp;BY$1&amp;$W93,装备额外附加!$M:$O,3,0)</f>
        <v>52006</v>
      </c>
    </row>
    <row r="94" spans="2:77">
      <c r="B94" s="4" t="s">
        <v>118</v>
      </c>
      <c r="C94" s="4">
        <f t="shared" ref="C94:H95" si="106">C89*$J89</f>
        <v>700</v>
      </c>
      <c r="D94" s="4">
        <f t="shared" si="106"/>
        <v>1050</v>
      </c>
      <c r="E94" s="4">
        <f t="shared" si="106"/>
        <v>1225</v>
      </c>
      <c r="F94" s="4">
        <f t="shared" si="106"/>
        <v>350</v>
      </c>
      <c r="G94" s="4">
        <f t="shared" si="106"/>
        <v>171.5</v>
      </c>
      <c r="H94" s="4">
        <f t="shared" si="106"/>
        <v>3.5</v>
      </c>
      <c r="I94" s="4">
        <f t="shared" si="104"/>
        <v>3500</v>
      </c>
      <c r="K94" s="4" t="str">
        <f>C94&amp;","&amp;D94&amp;","&amp;E94&amp;","&amp;F94&amp;","&amp;G94&amp;","&amp;H94</f>
        <v>700,1050,1225,350,171.5,3.5</v>
      </c>
      <c r="R94" s="4" t="s">
        <v>375</v>
      </c>
      <c r="S94" s="4" t="str">
        <f t="shared" si="74"/>
        <v>106036</v>
      </c>
      <c r="T94" s="4" t="s">
        <v>376</v>
      </c>
      <c r="U94" s="36">
        <v>50</v>
      </c>
      <c r="V94" s="36" t="str">
        <f t="shared" si="75"/>
        <v>手镯</v>
      </c>
      <c r="W94" s="36" t="str">
        <f t="shared" si="76"/>
        <v>手镯</v>
      </c>
      <c r="X94" s="4">
        <f t="shared" si="77"/>
        <v>6</v>
      </c>
      <c r="Y94" s="4">
        <f t="shared" si="78"/>
        <v>56</v>
      </c>
      <c r="Z94" s="4">
        <f t="shared" si="79"/>
        <v>3</v>
      </c>
      <c r="AA94" s="4" t="str">
        <f t="shared" si="80"/>
        <v>96,115,172,288,480,960</v>
      </c>
      <c r="AB94" s="36">
        <f t="shared" si="81"/>
        <v>120</v>
      </c>
      <c r="AC94" s="36">
        <f t="shared" si="97"/>
        <v>96</v>
      </c>
      <c r="AD94" s="36">
        <f t="shared" si="99"/>
        <v>115</v>
      </c>
      <c r="AE94" s="36">
        <f t="shared" si="99"/>
        <v>172</v>
      </c>
      <c r="AF94" s="36">
        <f t="shared" si="99"/>
        <v>288</v>
      </c>
      <c r="AG94" s="36">
        <f t="shared" si="99"/>
        <v>480</v>
      </c>
      <c r="AH94" s="36">
        <f t="shared" si="101"/>
        <v>960</v>
      </c>
      <c r="AJ94" s="4" t="str">
        <f t="shared" si="82"/>
        <v>480,576,864,1440,2400,</v>
      </c>
      <c r="AK94" s="36">
        <f t="shared" si="83"/>
        <v>600</v>
      </c>
      <c r="AL94" s="36">
        <f t="shared" si="64"/>
        <v>480</v>
      </c>
      <c r="AM94" s="36">
        <f t="shared" si="64"/>
        <v>576</v>
      </c>
      <c r="AN94" s="36">
        <f t="shared" si="64"/>
        <v>864</v>
      </c>
      <c r="AO94" s="36">
        <f t="shared" si="64"/>
        <v>1440</v>
      </c>
      <c r="AP94" s="36">
        <f t="shared" si="64"/>
        <v>2400</v>
      </c>
      <c r="AR94" s="4" t="str">
        <f t="shared" si="84"/>
        <v>38400,46080,69120,115200,192000,</v>
      </c>
      <c r="AS94" s="36">
        <f t="shared" si="85"/>
        <v>48000</v>
      </c>
      <c r="AT94" s="36">
        <f t="shared" si="65"/>
        <v>38400</v>
      </c>
      <c r="AU94" s="36">
        <f t="shared" si="65"/>
        <v>46080</v>
      </c>
      <c r="AV94" s="36">
        <f t="shared" si="65"/>
        <v>69120</v>
      </c>
      <c r="AW94" s="36">
        <f t="shared" si="65"/>
        <v>115200</v>
      </c>
      <c r="AX94" s="36">
        <f t="shared" si="65"/>
        <v>192000</v>
      </c>
      <c r="AZ94" s="4">
        <f t="shared" si="86"/>
        <v>89</v>
      </c>
      <c r="BA94" s="4">
        <f t="shared" si="87"/>
        <v>7</v>
      </c>
      <c r="BB94" s="4">
        <f t="shared" si="88"/>
        <v>0</v>
      </c>
      <c r="BC94" s="35" t="str">
        <f t="shared" si="89"/>
        <v>89,</v>
      </c>
      <c r="BD94" s="35" t="str">
        <f t="shared" si="66"/>
        <v>15,</v>
      </c>
      <c r="BE94" s="35" t="str">
        <f t="shared" si="90"/>
        <v/>
      </c>
      <c r="BF94" s="36" t="str">
        <f t="shared" si="91"/>
        <v>1,</v>
      </c>
      <c r="BG94" s="36" t="str">
        <f>IF(BA94=0,"",IF(Z94=0,"3,4,5",VLOOKUP(Z94,{1,3;2,4;3,5},2,0))&amp;",")</f>
        <v>5,</v>
      </c>
      <c r="BH94" s="36" t="str">
        <f t="shared" si="92"/>
        <v/>
      </c>
      <c r="BI94" s="34" t="str">
        <f t="shared" si="93"/>
        <v>1,5</v>
      </c>
      <c r="BJ94" s="34" t="str">
        <f t="shared" si="96"/>
        <v>89,15</v>
      </c>
      <c r="BK94" s="34" t="str">
        <f t="shared" si="94"/>
        <v>0,11,17,26,53,106</v>
      </c>
      <c r="BL94" s="4">
        <f t="shared" si="67"/>
        <v>0</v>
      </c>
      <c r="BM94" s="4">
        <f t="shared" si="68"/>
        <v>11</v>
      </c>
      <c r="BN94" s="4">
        <f t="shared" si="69"/>
        <v>17</v>
      </c>
      <c r="BO94" s="4">
        <f t="shared" si="70"/>
        <v>26</v>
      </c>
      <c r="BP94" s="4">
        <f t="shared" si="71"/>
        <v>53</v>
      </c>
      <c r="BQ94" s="4">
        <f t="shared" si="72"/>
        <v>106</v>
      </c>
      <c r="BR94" s="34" t="str">
        <f t="shared" si="73"/>
        <v>3001,3002,3003,3004,3005,3006</v>
      </c>
      <c r="BS94" s="34" t="str">
        <f t="shared" si="95"/>
        <v>42001,42002,42003,42004,42005,42006</v>
      </c>
      <c r="BT94" s="4">
        <f>VLOOKUP(LOOKUP($Y94,$K$48:$K$55,$L$48:$L$55)&amp;BT$1&amp;$W94,装备额外附加!$M:$O,3,0)</f>
        <v>42001</v>
      </c>
      <c r="BU94" s="4">
        <f>VLOOKUP(LOOKUP($Y94,$K$48:$K$55,$L$48:$L$55)&amp;BU$1&amp;$W94,装备额外附加!$M:$O,3,0)</f>
        <v>42002</v>
      </c>
      <c r="BV94" s="4">
        <f>VLOOKUP(LOOKUP($Y94,$K$48:$K$55,$L$48:$L$55)&amp;BV$1&amp;$W94,装备额外附加!$M:$O,3,0)</f>
        <v>42003</v>
      </c>
      <c r="BW94" s="4">
        <f>VLOOKUP(LOOKUP($Y94,$K$48:$K$55,$L$48:$L$55)&amp;BW$1&amp;$W94,装备额外附加!$M:$O,3,0)</f>
        <v>42004</v>
      </c>
      <c r="BX94" s="4">
        <f>VLOOKUP(LOOKUP($Y94,$K$48:$K$55,$L$48:$L$55)&amp;BX$1&amp;$W94,装备额外附加!$M:$O,3,0)</f>
        <v>42005</v>
      </c>
      <c r="BY94" s="4">
        <f>VLOOKUP(LOOKUP($Y94,$K$48:$K$55,$L$48:$L$55)&amp;BY$1&amp;$W94,装备额外附加!$M:$O,3,0)</f>
        <v>42006</v>
      </c>
    </row>
    <row r="95" spans="2:77">
      <c r="B95" s="4" t="s">
        <v>119</v>
      </c>
      <c r="C95" s="4">
        <f t="shared" ref="C95:E95" si="107">C90*$J90</f>
        <v>500</v>
      </c>
      <c r="D95" s="4">
        <f t="shared" si="107"/>
        <v>1000</v>
      </c>
      <c r="E95" s="4">
        <f t="shared" si="107"/>
        <v>2000</v>
      </c>
      <c r="F95" s="4">
        <f t="shared" si="106"/>
        <v>4000</v>
      </c>
      <c r="G95" s="4">
        <f t="shared" si="106"/>
        <v>2450</v>
      </c>
      <c r="H95" s="4">
        <f t="shared" si="106"/>
        <v>50</v>
      </c>
      <c r="I95" s="4">
        <f t="shared" si="104"/>
        <v>10000</v>
      </c>
      <c r="K95" s="4" t="str">
        <f>C95&amp;","&amp;D95&amp;","&amp;E95&amp;","&amp;F95&amp;","&amp;G95&amp;","&amp;H95</f>
        <v>500,1000,2000,4000,2450,50</v>
      </c>
      <c r="R95" s="4" t="s">
        <v>377</v>
      </c>
      <c r="S95" s="4" t="str">
        <f t="shared" si="74"/>
        <v>106037</v>
      </c>
      <c r="T95" s="4" t="s">
        <v>378</v>
      </c>
      <c r="U95" s="36">
        <v>50</v>
      </c>
      <c r="V95" s="36" t="str">
        <f t="shared" si="75"/>
        <v>戒指</v>
      </c>
      <c r="W95" s="36" t="str">
        <f t="shared" si="76"/>
        <v>戒指</v>
      </c>
      <c r="X95" s="4">
        <f t="shared" si="77"/>
        <v>7</v>
      </c>
      <c r="Y95" s="4">
        <f t="shared" si="78"/>
        <v>53</v>
      </c>
      <c r="Z95" s="4">
        <f t="shared" si="79"/>
        <v>3</v>
      </c>
      <c r="AA95" s="4" t="str">
        <f t="shared" si="80"/>
        <v>96,115,172,288,480,960</v>
      </c>
      <c r="AB95" s="36">
        <f t="shared" si="81"/>
        <v>120</v>
      </c>
      <c r="AC95" s="36">
        <f t="shared" si="97"/>
        <v>96</v>
      </c>
      <c r="AD95" s="36">
        <f t="shared" si="99"/>
        <v>115</v>
      </c>
      <c r="AE95" s="36">
        <f t="shared" si="99"/>
        <v>172</v>
      </c>
      <c r="AF95" s="36">
        <f t="shared" si="99"/>
        <v>288</v>
      </c>
      <c r="AG95" s="36">
        <f t="shared" si="99"/>
        <v>480</v>
      </c>
      <c r="AH95" s="36">
        <f t="shared" si="101"/>
        <v>960</v>
      </c>
      <c r="AJ95" s="4" t="str">
        <f t="shared" si="82"/>
        <v>480,576,864,1440,2400,</v>
      </c>
      <c r="AK95" s="36">
        <f t="shared" si="83"/>
        <v>600</v>
      </c>
      <c r="AL95" s="36">
        <f t="shared" si="64"/>
        <v>480</v>
      </c>
      <c r="AM95" s="36">
        <f t="shared" si="64"/>
        <v>576</v>
      </c>
      <c r="AN95" s="36">
        <f t="shared" si="64"/>
        <v>864</v>
      </c>
      <c r="AO95" s="36">
        <f t="shared" si="64"/>
        <v>1440</v>
      </c>
      <c r="AP95" s="36">
        <f t="shared" si="64"/>
        <v>2400</v>
      </c>
      <c r="AR95" s="4" t="str">
        <f t="shared" si="84"/>
        <v>38400,46080,69120,115200,192000,</v>
      </c>
      <c r="AS95" s="36">
        <f t="shared" si="85"/>
        <v>48000</v>
      </c>
      <c r="AT95" s="36">
        <f t="shared" si="65"/>
        <v>38400</v>
      </c>
      <c r="AU95" s="36">
        <f t="shared" si="65"/>
        <v>46080</v>
      </c>
      <c r="AV95" s="36">
        <f t="shared" si="65"/>
        <v>69120</v>
      </c>
      <c r="AW95" s="36">
        <f t="shared" si="65"/>
        <v>115200</v>
      </c>
      <c r="AX95" s="36">
        <f t="shared" si="65"/>
        <v>192000</v>
      </c>
      <c r="AZ95" s="4">
        <f t="shared" si="86"/>
        <v>89</v>
      </c>
      <c r="BA95" s="4">
        <f t="shared" si="87"/>
        <v>7</v>
      </c>
      <c r="BB95" s="4">
        <f t="shared" si="88"/>
        <v>0</v>
      </c>
      <c r="BC95" s="35" t="str">
        <f t="shared" si="89"/>
        <v>89,</v>
      </c>
      <c r="BD95" s="35" t="str">
        <f t="shared" si="66"/>
        <v>15,</v>
      </c>
      <c r="BE95" s="35" t="str">
        <f t="shared" si="90"/>
        <v/>
      </c>
      <c r="BF95" s="36" t="str">
        <f t="shared" si="91"/>
        <v>1,</v>
      </c>
      <c r="BG95" s="36" t="str">
        <f>IF(BA95=0,"",IF(Z95=0,"3,4,5",VLOOKUP(Z95,{1,3;2,4;3,5},2,0))&amp;",")</f>
        <v>5,</v>
      </c>
      <c r="BH95" s="36" t="str">
        <f t="shared" si="92"/>
        <v/>
      </c>
      <c r="BI95" s="34" t="str">
        <f t="shared" si="93"/>
        <v>1,5</v>
      </c>
      <c r="BJ95" s="34" t="str">
        <f t="shared" si="96"/>
        <v>89,15</v>
      </c>
      <c r="BK95" s="34" t="str">
        <f t="shared" si="94"/>
        <v>0,11,17,26,53,106</v>
      </c>
      <c r="BL95" s="4">
        <f t="shared" si="67"/>
        <v>0</v>
      </c>
      <c r="BM95" s="4">
        <f t="shared" si="68"/>
        <v>11</v>
      </c>
      <c r="BN95" s="4">
        <f t="shared" si="69"/>
        <v>17</v>
      </c>
      <c r="BO95" s="4">
        <f t="shared" si="70"/>
        <v>26</v>
      </c>
      <c r="BP95" s="4">
        <f t="shared" si="71"/>
        <v>53</v>
      </c>
      <c r="BQ95" s="4">
        <f t="shared" si="72"/>
        <v>106</v>
      </c>
      <c r="BR95" s="34" t="str">
        <f t="shared" si="73"/>
        <v>4001,4002,4003,4004,4005,4006</v>
      </c>
      <c r="BS95" s="34" t="str">
        <f t="shared" si="95"/>
        <v>32001,32002,32003,32004,32005,32006</v>
      </c>
      <c r="BT95" s="4">
        <f>VLOOKUP(LOOKUP($Y95,$K$48:$K$55,$L$48:$L$55)&amp;BT$1&amp;$W95,装备额外附加!$M:$O,3,0)</f>
        <v>32001</v>
      </c>
      <c r="BU95" s="4">
        <f>VLOOKUP(LOOKUP($Y95,$K$48:$K$55,$L$48:$L$55)&amp;BU$1&amp;$W95,装备额外附加!$M:$O,3,0)</f>
        <v>32002</v>
      </c>
      <c r="BV95" s="4">
        <f>VLOOKUP(LOOKUP($Y95,$K$48:$K$55,$L$48:$L$55)&amp;BV$1&amp;$W95,装备额外附加!$M:$O,3,0)</f>
        <v>32003</v>
      </c>
      <c r="BW95" s="4">
        <f>VLOOKUP(LOOKUP($Y95,$K$48:$K$55,$L$48:$L$55)&amp;BW$1&amp;$W95,装备额外附加!$M:$O,3,0)</f>
        <v>32004</v>
      </c>
      <c r="BX95" s="4">
        <f>VLOOKUP(LOOKUP($Y95,$K$48:$K$55,$L$48:$L$55)&amp;BX$1&amp;$W95,装备额外附加!$M:$O,3,0)</f>
        <v>32005</v>
      </c>
      <c r="BY95" s="4">
        <f>VLOOKUP(LOOKUP($Y95,$K$48:$K$55,$L$48:$L$55)&amp;BY$1&amp;$W95,装备额外附加!$M:$O,3,0)</f>
        <v>32006</v>
      </c>
    </row>
    <row r="96" spans="18:77">
      <c r="R96" s="4" t="s">
        <v>379</v>
      </c>
      <c r="S96" s="4" t="str">
        <f t="shared" si="74"/>
        <v>107018</v>
      </c>
      <c r="T96" s="4" t="s">
        <v>380</v>
      </c>
      <c r="U96" s="36">
        <v>60</v>
      </c>
      <c r="V96" s="36" t="str">
        <f t="shared" si="75"/>
        <v>项链</v>
      </c>
      <c r="W96" s="36" t="str">
        <f t="shared" si="76"/>
        <v>项链</v>
      </c>
      <c r="X96" s="4">
        <f t="shared" si="77"/>
        <v>8</v>
      </c>
      <c r="Y96" s="4">
        <f t="shared" si="78"/>
        <v>64</v>
      </c>
      <c r="Z96" s="4">
        <f t="shared" si="79"/>
        <v>1</v>
      </c>
      <c r="AA96" s="4" t="str">
        <f t="shared" si="80"/>
        <v>126,151,226,378,630,1260</v>
      </c>
      <c r="AB96" s="36">
        <f t="shared" si="81"/>
        <v>140</v>
      </c>
      <c r="AC96" s="36">
        <f t="shared" si="97"/>
        <v>126</v>
      </c>
      <c r="AD96" s="36">
        <f t="shared" si="99"/>
        <v>151</v>
      </c>
      <c r="AE96" s="36">
        <f t="shared" si="99"/>
        <v>226</v>
      </c>
      <c r="AF96" s="36">
        <f t="shared" si="99"/>
        <v>378</v>
      </c>
      <c r="AG96" s="36">
        <f t="shared" si="99"/>
        <v>630</v>
      </c>
      <c r="AH96" s="36">
        <f t="shared" si="101"/>
        <v>1260</v>
      </c>
      <c r="AJ96" s="4" t="str">
        <f t="shared" si="82"/>
        <v>630,756,1134,1890,3150,</v>
      </c>
      <c r="AK96" s="36">
        <f t="shared" si="83"/>
        <v>700</v>
      </c>
      <c r="AL96" s="36">
        <f t="shared" si="64"/>
        <v>630</v>
      </c>
      <c r="AM96" s="36">
        <f t="shared" si="64"/>
        <v>756</v>
      </c>
      <c r="AN96" s="36">
        <f t="shared" si="64"/>
        <v>1134</v>
      </c>
      <c r="AO96" s="36">
        <f t="shared" si="64"/>
        <v>1890</v>
      </c>
      <c r="AP96" s="36">
        <f t="shared" si="64"/>
        <v>3150</v>
      </c>
      <c r="AR96" s="4" t="str">
        <f t="shared" si="84"/>
        <v>50400,60480,90720,151200,252000,</v>
      </c>
      <c r="AS96" s="36">
        <f t="shared" si="85"/>
        <v>56000</v>
      </c>
      <c r="AT96" s="36">
        <f t="shared" si="65"/>
        <v>50400</v>
      </c>
      <c r="AU96" s="36">
        <f t="shared" si="65"/>
        <v>60480</v>
      </c>
      <c r="AV96" s="36">
        <f t="shared" si="65"/>
        <v>90720</v>
      </c>
      <c r="AW96" s="36">
        <f t="shared" si="65"/>
        <v>151200</v>
      </c>
      <c r="AX96" s="36">
        <f t="shared" si="65"/>
        <v>252000</v>
      </c>
      <c r="AZ96" s="4">
        <f t="shared" si="86"/>
        <v>0</v>
      </c>
      <c r="BA96" s="4">
        <f t="shared" si="87"/>
        <v>16</v>
      </c>
      <c r="BB96" s="4">
        <f t="shared" si="88"/>
        <v>5</v>
      </c>
      <c r="BC96" s="35" t="str">
        <f t="shared" si="89"/>
        <v/>
      </c>
      <c r="BD96" s="35" t="str">
        <f t="shared" si="66"/>
        <v>35,</v>
      </c>
      <c r="BE96" s="35" t="str">
        <f t="shared" si="90"/>
        <v>5,</v>
      </c>
      <c r="BF96" s="36" t="str">
        <f t="shared" si="91"/>
        <v/>
      </c>
      <c r="BG96" s="36" t="str">
        <f>IF(BA96=0,"",IF(Z96=0,"3,4,5",VLOOKUP(Z96,{1,3;2,4;3,5},2,0))&amp;",")</f>
        <v>3,</v>
      </c>
      <c r="BH96" s="36" t="str">
        <f t="shared" si="92"/>
        <v>6,</v>
      </c>
      <c r="BI96" s="34" t="str">
        <f t="shared" si="93"/>
        <v>3,6</v>
      </c>
      <c r="BJ96" s="34" t="str">
        <f t="shared" si="96"/>
        <v>35,5</v>
      </c>
      <c r="BK96" s="34" t="str">
        <f t="shared" si="94"/>
        <v>0,16,24,36,72,145</v>
      </c>
      <c r="BL96" s="4">
        <f t="shared" si="67"/>
        <v>0</v>
      </c>
      <c r="BM96" s="4">
        <f t="shared" si="68"/>
        <v>16</v>
      </c>
      <c r="BN96" s="4">
        <f t="shared" si="69"/>
        <v>24</v>
      </c>
      <c r="BO96" s="4">
        <f t="shared" si="70"/>
        <v>36</v>
      </c>
      <c r="BP96" s="4">
        <f t="shared" si="71"/>
        <v>72</v>
      </c>
      <c r="BQ96" s="4">
        <f t="shared" si="72"/>
        <v>145</v>
      </c>
      <c r="BR96" s="34" t="str">
        <f t="shared" si="73"/>
        <v>2001,2002,2003,2004,2005,2006</v>
      </c>
      <c r="BS96" s="34" t="str">
        <f t="shared" si="95"/>
        <v>53001,53002,53003,53004,53005,53006</v>
      </c>
      <c r="BT96" s="4">
        <f>VLOOKUP(LOOKUP($Y96,$K$48:$K$55,$L$48:$L$55)&amp;BT$1&amp;$W96,装备额外附加!$M:$O,3,0)</f>
        <v>53001</v>
      </c>
      <c r="BU96" s="4">
        <f>VLOOKUP(LOOKUP($Y96,$K$48:$K$55,$L$48:$L$55)&amp;BU$1&amp;$W96,装备额外附加!$M:$O,3,0)</f>
        <v>53002</v>
      </c>
      <c r="BV96" s="4">
        <f>VLOOKUP(LOOKUP($Y96,$K$48:$K$55,$L$48:$L$55)&amp;BV$1&amp;$W96,装备额外附加!$M:$O,3,0)</f>
        <v>53003</v>
      </c>
      <c r="BW96" s="4">
        <f>VLOOKUP(LOOKUP($Y96,$K$48:$K$55,$L$48:$L$55)&amp;BW$1&amp;$W96,装备额外附加!$M:$O,3,0)</f>
        <v>53004</v>
      </c>
      <c r="BX96" s="4">
        <f>VLOOKUP(LOOKUP($Y96,$K$48:$K$55,$L$48:$L$55)&amp;BX$1&amp;$W96,装备额外附加!$M:$O,3,0)</f>
        <v>53005</v>
      </c>
      <c r="BY96" s="4">
        <f>VLOOKUP(LOOKUP($Y96,$K$48:$K$55,$L$48:$L$55)&amp;BY$1&amp;$W96,装备额外附加!$M:$O,3,0)</f>
        <v>53006</v>
      </c>
    </row>
    <row r="97" spans="18:77">
      <c r="R97" s="4" t="s">
        <v>381</v>
      </c>
      <c r="S97" s="4" t="str">
        <f t="shared" si="74"/>
        <v>107016</v>
      </c>
      <c r="T97" s="4" t="s">
        <v>382</v>
      </c>
      <c r="U97" s="36">
        <v>60</v>
      </c>
      <c r="V97" s="36" t="str">
        <f t="shared" si="75"/>
        <v>手镯</v>
      </c>
      <c r="W97" s="36" t="str">
        <f t="shared" si="76"/>
        <v>手镯</v>
      </c>
      <c r="X97" s="4">
        <f t="shared" si="77"/>
        <v>6</v>
      </c>
      <c r="Y97" s="4">
        <f t="shared" si="78"/>
        <v>66</v>
      </c>
      <c r="Z97" s="4">
        <f t="shared" si="79"/>
        <v>1</v>
      </c>
      <c r="AA97" s="4" t="str">
        <f t="shared" si="80"/>
        <v>112,134,201,336,560,1120</v>
      </c>
      <c r="AB97" s="36">
        <f t="shared" si="81"/>
        <v>140</v>
      </c>
      <c r="AC97" s="36">
        <f t="shared" si="97"/>
        <v>112</v>
      </c>
      <c r="AD97" s="36">
        <f t="shared" si="99"/>
        <v>134</v>
      </c>
      <c r="AE97" s="36">
        <f t="shared" si="99"/>
        <v>201</v>
      </c>
      <c r="AF97" s="36">
        <f t="shared" si="99"/>
        <v>336</v>
      </c>
      <c r="AG97" s="36">
        <f t="shared" si="99"/>
        <v>560</v>
      </c>
      <c r="AH97" s="36">
        <f t="shared" si="101"/>
        <v>1120</v>
      </c>
      <c r="AJ97" s="4" t="str">
        <f t="shared" si="82"/>
        <v>560,672,1008,1680,2800,</v>
      </c>
      <c r="AK97" s="36">
        <f t="shared" si="83"/>
        <v>700</v>
      </c>
      <c r="AL97" s="36">
        <f t="shared" si="64"/>
        <v>560</v>
      </c>
      <c r="AM97" s="36">
        <f t="shared" si="64"/>
        <v>672</v>
      </c>
      <c r="AN97" s="36">
        <f t="shared" si="64"/>
        <v>1008</v>
      </c>
      <c r="AO97" s="36">
        <f t="shared" si="64"/>
        <v>1680</v>
      </c>
      <c r="AP97" s="36">
        <f t="shared" si="64"/>
        <v>2800</v>
      </c>
      <c r="AR97" s="4" t="str">
        <f t="shared" si="84"/>
        <v>44800,53760,80640,134400,224000,</v>
      </c>
      <c r="AS97" s="36">
        <f t="shared" si="85"/>
        <v>56000</v>
      </c>
      <c r="AT97" s="36">
        <f t="shared" si="65"/>
        <v>44800</v>
      </c>
      <c r="AU97" s="36">
        <f t="shared" si="65"/>
        <v>53760</v>
      </c>
      <c r="AV97" s="36">
        <f t="shared" si="65"/>
        <v>80640</v>
      </c>
      <c r="AW97" s="36">
        <f t="shared" si="65"/>
        <v>134400</v>
      </c>
      <c r="AX97" s="36">
        <f t="shared" si="65"/>
        <v>224000</v>
      </c>
      <c r="AZ97" s="4">
        <f t="shared" si="86"/>
        <v>121</v>
      </c>
      <c r="BA97" s="4">
        <f t="shared" si="87"/>
        <v>10</v>
      </c>
      <c r="BB97" s="4">
        <f t="shared" si="88"/>
        <v>0</v>
      </c>
      <c r="BC97" s="35" t="str">
        <f t="shared" si="89"/>
        <v>121,</v>
      </c>
      <c r="BD97" s="35" t="str">
        <f t="shared" si="66"/>
        <v>22,</v>
      </c>
      <c r="BE97" s="35" t="str">
        <f t="shared" si="90"/>
        <v/>
      </c>
      <c r="BF97" s="36" t="str">
        <f t="shared" si="91"/>
        <v>1,</v>
      </c>
      <c r="BG97" s="36" t="str">
        <f>IF(BA97=0,"",IF(Z97=0,"3,4,5",VLOOKUP(Z97,{1,3;2,4;3,5},2,0))&amp;",")</f>
        <v>3,</v>
      </c>
      <c r="BH97" s="36" t="str">
        <f t="shared" si="92"/>
        <v/>
      </c>
      <c r="BI97" s="34" t="str">
        <f t="shared" si="93"/>
        <v>1,3</v>
      </c>
      <c r="BJ97" s="34" t="str">
        <f t="shared" si="96"/>
        <v>121,22</v>
      </c>
      <c r="BK97" s="34" t="str">
        <f t="shared" si="94"/>
        <v>0,16,24,36,72,145</v>
      </c>
      <c r="BL97" s="4">
        <f t="shared" si="67"/>
        <v>0</v>
      </c>
      <c r="BM97" s="4">
        <f t="shared" si="68"/>
        <v>16</v>
      </c>
      <c r="BN97" s="4">
        <f t="shared" si="69"/>
        <v>24</v>
      </c>
      <c r="BO97" s="4">
        <f t="shared" si="70"/>
        <v>36</v>
      </c>
      <c r="BP97" s="4">
        <f t="shared" si="71"/>
        <v>72</v>
      </c>
      <c r="BQ97" s="4">
        <f t="shared" si="72"/>
        <v>145</v>
      </c>
      <c r="BR97" s="34" t="str">
        <f t="shared" si="73"/>
        <v>3001,3002,3003,3004,3005,3006</v>
      </c>
      <c r="BS97" s="34" t="str">
        <f t="shared" si="95"/>
        <v>43001,43002,43003,43004,43005,43006</v>
      </c>
      <c r="BT97" s="4">
        <f>VLOOKUP(LOOKUP($Y97,$K$48:$K$55,$L$48:$L$55)&amp;BT$1&amp;$W97,装备额外附加!$M:$O,3,0)</f>
        <v>43001</v>
      </c>
      <c r="BU97" s="4">
        <f>VLOOKUP(LOOKUP($Y97,$K$48:$K$55,$L$48:$L$55)&amp;BU$1&amp;$W97,装备额外附加!$M:$O,3,0)</f>
        <v>43002</v>
      </c>
      <c r="BV97" s="4">
        <f>VLOOKUP(LOOKUP($Y97,$K$48:$K$55,$L$48:$L$55)&amp;BV$1&amp;$W97,装备额外附加!$M:$O,3,0)</f>
        <v>43003</v>
      </c>
      <c r="BW97" s="4">
        <f>VLOOKUP(LOOKUP($Y97,$K$48:$K$55,$L$48:$L$55)&amp;BW$1&amp;$W97,装备额外附加!$M:$O,3,0)</f>
        <v>43004</v>
      </c>
      <c r="BX97" s="4">
        <f>VLOOKUP(LOOKUP($Y97,$K$48:$K$55,$L$48:$L$55)&amp;BX$1&amp;$W97,装备额外附加!$M:$O,3,0)</f>
        <v>43005</v>
      </c>
      <c r="BY97" s="4">
        <f>VLOOKUP(LOOKUP($Y97,$K$48:$K$55,$L$48:$L$55)&amp;BY$1&amp;$W97,装备额外附加!$M:$O,3,0)</f>
        <v>43006</v>
      </c>
    </row>
    <row r="98" spans="18:77">
      <c r="R98" s="4" t="s">
        <v>383</v>
      </c>
      <c r="S98" s="4" t="str">
        <f t="shared" si="74"/>
        <v>107017</v>
      </c>
      <c r="T98" s="4" t="s">
        <v>384</v>
      </c>
      <c r="U98" s="36">
        <v>60</v>
      </c>
      <c r="V98" s="36" t="str">
        <f t="shared" si="75"/>
        <v>戒指</v>
      </c>
      <c r="W98" s="36" t="str">
        <f t="shared" si="76"/>
        <v>戒指</v>
      </c>
      <c r="X98" s="4">
        <f t="shared" si="77"/>
        <v>7</v>
      </c>
      <c r="Y98" s="4">
        <f t="shared" si="78"/>
        <v>63</v>
      </c>
      <c r="Z98" s="4">
        <f t="shared" si="79"/>
        <v>1</v>
      </c>
      <c r="AA98" s="4" t="str">
        <f t="shared" si="80"/>
        <v>112,134,201,336,560,1120</v>
      </c>
      <c r="AB98" s="36">
        <f t="shared" si="81"/>
        <v>140</v>
      </c>
      <c r="AC98" s="36">
        <f t="shared" si="97"/>
        <v>112</v>
      </c>
      <c r="AD98" s="36">
        <f t="shared" ref="AD98:AG117" si="108">INT($AB98*VLOOKUP(AD$1,$B$11:$L$16,11,0)*VLOOKUP($V98,$C$22:$M$29,11,0))</f>
        <v>134</v>
      </c>
      <c r="AE98" s="36">
        <f t="shared" si="108"/>
        <v>201</v>
      </c>
      <c r="AF98" s="36">
        <f t="shared" si="108"/>
        <v>336</v>
      </c>
      <c r="AG98" s="36">
        <f t="shared" si="108"/>
        <v>560</v>
      </c>
      <c r="AH98" s="36">
        <f t="shared" si="101"/>
        <v>1120</v>
      </c>
      <c r="AJ98" s="4" t="str">
        <f t="shared" si="82"/>
        <v>560,672,1008,1680,2800,</v>
      </c>
      <c r="AK98" s="36">
        <f t="shared" si="83"/>
        <v>700</v>
      </c>
      <c r="AL98" s="36">
        <f t="shared" ref="AL98:AP129" si="109">INT($AK98*VLOOKUP(AL$1,$B$11:$L$16,11,0)*VLOOKUP($V98,$C$22:$M$29,11,0))</f>
        <v>560</v>
      </c>
      <c r="AM98" s="36">
        <f t="shared" si="109"/>
        <v>672</v>
      </c>
      <c r="AN98" s="36">
        <f t="shared" si="109"/>
        <v>1008</v>
      </c>
      <c r="AO98" s="36">
        <f t="shared" si="109"/>
        <v>1680</v>
      </c>
      <c r="AP98" s="36">
        <f t="shared" si="109"/>
        <v>2800</v>
      </c>
      <c r="AR98" s="4" t="str">
        <f t="shared" si="84"/>
        <v>44800,53760,80640,134400,224000,</v>
      </c>
      <c r="AS98" s="36">
        <f t="shared" si="85"/>
        <v>56000</v>
      </c>
      <c r="AT98" s="36">
        <f t="shared" ref="AT98:AX129" si="110">INT($AS98*VLOOKUP(AT$1,$B$11:$L$16,11,0)*VLOOKUP($V98,$C$22:$M$29,11,0))</f>
        <v>44800</v>
      </c>
      <c r="AU98" s="36">
        <f t="shared" si="110"/>
        <v>53760</v>
      </c>
      <c r="AV98" s="36">
        <f t="shared" si="110"/>
        <v>80640</v>
      </c>
      <c r="AW98" s="36">
        <f t="shared" si="110"/>
        <v>134400</v>
      </c>
      <c r="AX98" s="36">
        <f t="shared" si="110"/>
        <v>224000</v>
      </c>
      <c r="AZ98" s="4">
        <f t="shared" si="86"/>
        <v>121</v>
      </c>
      <c r="BA98" s="4">
        <f t="shared" si="87"/>
        <v>10</v>
      </c>
      <c r="BB98" s="4">
        <f t="shared" si="88"/>
        <v>0</v>
      </c>
      <c r="BC98" s="35" t="str">
        <f t="shared" si="89"/>
        <v>121,</v>
      </c>
      <c r="BD98" s="35" t="str">
        <f t="shared" si="66"/>
        <v>22,</v>
      </c>
      <c r="BE98" s="35" t="str">
        <f t="shared" si="90"/>
        <v/>
      </c>
      <c r="BF98" s="36" t="str">
        <f t="shared" si="91"/>
        <v>1,</v>
      </c>
      <c r="BG98" s="36" t="str">
        <f>IF(BA98=0,"",IF(Z98=0,"3,4,5",VLOOKUP(Z98,{1,3;2,4;3,5},2,0))&amp;",")</f>
        <v>3,</v>
      </c>
      <c r="BH98" s="36" t="str">
        <f t="shared" si="92"/>
        <v/>
      </c>
      <c r="BI98" s="34" t="str">
        <f t="shared" si="93"/>
        <v>1,3</v>
      </c>
      <c r="BJ98" s="34" t="str">
        <f t="shared" si="96"/>
        <v>121,22</v>
      </c>
      <c r="BK98" s="34" t="str">
        <f t="shared" si="94"/>
        <v>0,16,24,36,72,145</v>
      </c>
      <c r="BL98" s="4">
        <f t="shared" si="67"/>
        <v>0</v>
      </c>
      <c r="BM98" s="4">
        <f t="shared" si="68"/>
        <v>16</v>
      </c>
      <c r="BN98" s="4">
        <f t="shared" si="69"/>
        <v>24</v>
      </c>
      <c r="BO98" s="4">
        <f t="shared" si="70"/>
        <v>36</v>
      </c>
      <c r="BP98" s="4">
        <f t="shared" si="71"/>
        <v>72</v>
      </c>
      <c r="BQ98" s="4">
        <f t="shared" si="72"/>
        <v>145</v>
      </c>
      <c r="BR98" s="34" t="str">
        <f t="shared" si="73"/>
        <v>4001,4002,4003,4004,4005,4006</v>
      </c>
      <c r="BS98" s="34" t="str">
        <f t="shared" si="95"/>
        <v>33001,33002,33003,33004,33005,33006</v>
      </c>
      <c r="BT98" s="4">
        <f>VLOOKUP(LOOKUP($Y98,$K$48:$K$55,$L$48:$L$55)&amp;BT$1&amp;$W98,装备额外附加!$M:$O,3,0)</f>
        <v>33001</v>
      </c>
      <c r="BU98" s="4">
        <f>VLOOKUP(LOOKUP($Y98,$K$48:$K$55,$L$48:$L$55)&amp;BU$1&amp;$W98,装备额外附加!$M:$O,3,0)</f>
        <v>33002</v>
      </c>
      <c r="BV98" s="4">
        <f>VLOOKUP(LOOKUP($Y98,$K$48:$K$55,$L$48:$L$55)&amp;BV$1&amp;$W98,装备额外附加!$M:$O,3,0)</f>
        <v>33003</v>
      </c>
      <c r="BW98" s="4">
        <f>VLOOKUP(LOOKUP($Y98,$K$48:$K$55,$L$48:$L$55)&amp;BW$1&amp;$W98,装备额外附加!$M:$O,3,0)</f>
        <v>33004</v>
      </c>
      <c r="BX98" s="4">
        <f>VLOOKUP(LOOKUP($Y98,$K$48:$K$55,$L$48:$L$55)&amp;BX$1&amp;$W98,装备额外附加!$M:$O,3,0)</f>
        <v>33005</v>
      </c>
      <c r="BY98" s="4">
        <f>VLOOKUP(LOOKUP($Y98,$K$48:$K$55,$L$48:$L$55)&amp;BY$1&amp;$W98,装备额外附加!$M:$O,3,0)</f>
        <v>33006</v>
      </c>
    </row>
    <row r="99" spans="18:77">
      <c r="R99" s="4" t="s">
        <v>385</v>
      </c>
      <c r="S99" s="4" t="str">
        <f t="shared" si="74"/>
        <v>107028</v>
      </c>
      <c r="T99" s="4" t="s">
        <v>386</v>
      </c>
      <c r="U99" s="36">
        <v>60</v>
      </c>
      <c r="V99" s="36" t="str">
        <f t="shared" si="75"/>
        <v>项链</v>
      </c>
      <c r="W99" s="36" t="str">
        <f t="shared" si="76"/>
        <v>项链</v>
      </c>
      <c r="X99" s="4">
        <f t="shared" si="77"/>
        <v>8</v>
      </c>
      <c r="Y99" s="4">
        <f t="shared" si="78"/>
        <v>64</v>
      </c>
      <c r="Z99" s="4">
        <f t="shared" si="79"/>
        <v>2</v>
      </c>
      <c r="AA99" s="4" t="str">
        <f t="shared" si="80"/>
        <v>126,151,226,378,630,1260</v>
      </c>
      <c r="AB99" s="36">
        <f t="shared" si="81"/>
        <v>140</v>
      </c>
      <c r="AC99" s="36">
        <f t="shared" si="97"/>
        <v>126</v>
      </c>
      <c r="AD99" s="36">
        <f t="shared" si="108"/>
        <v>151</v>
      </c>
      <c r="AE99" s="36">
        <f t="shared" si="108"/>
        <v>226</v>
      </c>
      <c r="AF99" s="36">
        <f t="shared" si="108"/>
        <v>378</v>
      </c>
      <c r="AG99" s="36">
        <f t="shared" si="108"/>
        <v>630</v>
      </c>
      <c r="AH99" s="36">
        <f t="shared" si="101"/>
        <v>1260</v>
      </c>
      <c r="AJ99" s="4" t="str">
        <f t="shared" si="82"/>
        <v>630,756,1134,1890,3150,</v>
      </c>
      <c r="AK99" s="36">
        <f t="shared" si="83"/>
        <v>700</v>
      </c>
      <c r="AL99" s="36">
        <f t="shared" si="109"/>
        <v>630</v>
      </c>
      <c r="AM99" s="36">
        <f t="shared" si="109"/>
        <v>756</v>
      </c>
      <c r="AN99" s="36">
        <f t="shared" si="109"/>
        <v>1134</v>
      </c>
      <c r="AO99" s="36">
        <f t="shared" si="109"/>
        <v>1890</v>
      </c>
      <c r="AP99" s="36">
        <f t="shared" si="109"/>
        <v>3150</v>
      </c>
      <c r="AR99" s="4" t="str">
        <f t="shared" si="84"/>
        <v>50400,60480,90720,151200,252000,</v>
      </c>
      <c r="AS99" s="36">
        <f t="shared" si="85"/>
        <v>56000</v>
      </c>
      <c r="AT99" s="36">
        <f t="shared" si="110"/>
        <v>50400</v>
      </c>
      <c r="AU99" s="36">
        <f t="shared" si="110"/>
        <v>60480</v>
      </c>
      <c r="AV99" s="36">
        <f t="shared" si="110"/>
        <v>90720</v>
      </c>
      <c r="AW99" s="36">
        <f t="shared" si="110"/>
        <v>151200</v>
      </c>
      <c r="AX99" s="36">
        <f t="shared" si="110"/>
        <v>252000</v>
      </c>
      <c r="AZ99" s="4">
        <f t="shared" si="86"/>
        <v>0</v>
      </c>
      <c r="BA99" s="4">
        <f t="shared" si="87"/>
        <v>16</v>
      </c>
      <c r="BB99" s="4">
        <f t="shared" si="88"/>
        <v>5</v>
      </c>
      <c r="BC99" s="35" t="str">
        <f t="shared" si="89"/>
        <v/>
      </c>
      <c r="BD99" s="35" t="str">
        <f t="shared" si="66"/>
        <v>35,</v>
      </c>
      <c r="BE99" s="35" t="str">
        <f t="shared" si="90"/>
        <v>5,</v>
      </c>
      <c r="BF99" s="36" t="str">
        <f t="shared" si="91"/>
        <v/>
      </c>
      <c r="BG99" s="36" t="str">
        <f>IF(BA99=0,"",IF(Z99=0,"3,4,5",VLOOKUP(Z99,{1,3;2,4;3,5},2,0))&amp;",")</f>
        <v>4,</v>
      </c>
      <c r="BH99" s="36" t="str">
        <f t="shared" si="92"/>
        <v>6,</v>
      </c>
      <c r="BI99" s="34" t="str">
        <f t="shared" si="93"/>
        <v>4,6</v>
      </c>
      <c r="BJ99" s="34" t="str">
        <f t="shared" si="96"/>
        <v>35,5</v>
      </c>
      <c r="BK99" s="34" t="str">
        <f t="shared" si="94"/>
        <v>0,16,24,36,72,145</v>
      </c>
      <c r="BL99" s="4">
        <f t="shared" si="67"/>
        <v>0</v>
      </c>
      <c r="BM99" s="4">
        <f t="shared" si="68"/>
        <v>16</v>
      </c>
      <c r="BN99" s="4">
        <f t="shared" si="69"/>
        <v>24</v>
      </c>
      <c r="BO99" s="4">
        <f t="shared" si="70"/>
        <v>36</v>
      </c>
      <c r="BP99" s="4">
        <f t="shared" si="71"/>
        <v>72</v>
      </c>
      <c r="BQ99" s="4">
        <f t="shared" si="72"/>
        <v>145</v>
      </c>
      <c r="BR99" s="34" t="str">
        <f t="shared" si="73"/>
        <v>2001,2002,2003,2004,2005,2006</v>
      </c>
      <c r="BS99" s="34" t="str">
        <f t="shared" si="95"/>
        <v>53001,53002,53003,53004,53005,53006</v>
      </c>
      <c r="BT99" s="4">
        <f>VLOOKUP(LOOKUP($Y99,$K$48:$K$55,$L$48:$L$55)&amp;BT$1&amp;$W99,装备额外附加!$M:$O,3,0)</f>
        <v>53001</v>
      </c>
      <c r="BU99" s="4">
        <f>VLOOKUP(LOOKUP($Y99,$K$48:$K$55,$L$48:$L$55)&amp;BU$1&amp;$W99,装备额外附加!$M:$O,3,0)</f>
        <v>53002</v>
      </c>
      <c r="BV99" s="4">
        <f>VLOOKUP(LOOKUP($Y99,$K$48:$K$55,$L$48:$L$55)&amp;BV$1&amp;$W99,装备额外附加!$M:$O,3,0)</f>
        <v>53003</v>
      </c>
      <c r="BW99" s="4">
        <f>VLOOKUP(LOOKUP($Y99,$K$48:$K$55,$L$48:$L$55)&amp;BW$1&amp;$W99,装备额外附加!$M:$O,3,0)</f>
        <v>53004</v>
      </c>
      <c r="BX99" s="4">
        <f>VLOOKUP(LOOKUP($Y99,$K$48:$K$55,$L$48:$L$55)&amp;BX$1&amp;$W99,装备额外附加!$M:$O,3,0)</f>
        <v>53005</v>
      </c>
      <c r="BY99" s="4">
        <f>VLOOKUP(LOOKUP($Y99,$K$48:$K$55,$L$48:$L$55)&amp;BY$1&amp;$W99,装备额外附加!$M:$O,3,0)</f>
        <v>53006</v>
      </c>
    </row>
    <row r="100" spans="18:77">
      <c r="R100" s="4" t="s">
        <v>387</v>
      </c>
      <c r="S100" s="4" t="str">
        <f t="shared" si="74"/>
        <v>107026</v>
      </c>
      <c r="T100" s="4" t="s">
        <v>388</v>
      </c>
      <c r="U100" s="36">
        <v>60</v>
      </c>
      <c r="V100" s="36" t="str">
        <f t="shared" si="75"/>
        <v>手镯</v>
      </c>
      <c r="W100" s="36" t="str">
        <f t="shared" si="76"/>
        <v>手镯</v>
      </c>
      <c r="X100" s="4">
        <f t="shared" si="77"/>
        <v>6</v>
      </c>
      <c r="Y100" s="4">
        <f t="shared" si="78"/>
        <v>66</v>
      </c>
      <c r="Z100" s="4">
        <f t="shared" si="79"/>
        <v>2</v>
      </c>
      <c r="AA100" s="4" t="str">
        <f t="shared" si="80"/>
        <v>112,134,201,336,560,1120</v>
      </c>
      <c r="AB100" s="36">
        <f t="shared" si="81"/>
        <v>140</v>
      </c>
      <c r="AC100" s="36">
        <f t="shared" si="97"/>
        <v>112</v>
      </c>
      <c r="AD100" s="36">
        <f t="shared" si="108"/>
        <v>134</v>
      </c>
      <c r="AE100" s="36">
        <f t="shared" si="108"/>
        <v>201</v>
      </c>
      <c r="AF100" s="36">
        <f t="shared" si="108"/>
        <v>336</v>
      </c>
      <c r="AG100" s="36">
        <f t="shared" si="108"/>
        <v>560</v>
      </c>
      <c r="AH100" s="36">
        <f t="shared" si="101"/>
        <v>1120</v>
      </c>
      <c r="AJ100" s="4" t="str">
        <f t="shared" si="82"/>
        <v>560,672,1008,1680,2800,</v>
      </c>
      <c r="AK100" s="36">
        <f t="shared" si="83"/>
        <v>700</v>
      </c>
      <c r="AL100" s="36">
        <f t="shared" si="109"/>
        <v>560</v>
      </c>
      <c r="AM100" s="36">
        <f t="shared" si="109"/>
        <v>672</v>
      </c>
      <c r="AN100" s="36">
        <f t="shared" si="109"/>
        <v>1008</v>
      </c>
      <c r="AO100" s="36">
        <f t="shared" si="109"/>
        <v>1680</v>
      </c>
      <c r="AP100" s="36">
        <f t="shared" si="109"/>
        <v>2800</v>
      </c>
      <c r="AR100" s="4" t="str">
        <f t="shared" si="84"/>
        <v>44800,53760,80640,134400,224000,</v>
      </c>
      <c r="AS100" s="36">
        <f t="shared" si="85"/>
        <v>56000</v>
      </c>
      <c r="AT100" s="36">
        <f t="shared" si="110"/>
        <v>44800</v>
      </c>
      <c r="AU100" s="36">
        <f t="shared" si="110"/>
        <v>53760</v>
      </c>
      <c r="AV100" s="36">
        <f t="shared" si="110"/>
        <v>80640</v>
      </c>
      <c r="AW100" s="36">
        <f t="shared" si="110"/>
        <v>134400</v>
      </c>
      <c r="AX100" s="36">
        <f t="shared" si="110"/>
        <v>224000</v>
      </c>
      <c r="AZ100" s="4">
        <f t="shared" si="86"/>
        <v>121</v>
      </c>
      <c r="BA100" s="4">
        <f t="shared" si="87"/>
        <v>10</v>
      </c>
      <c r="BB100" s="4">
        <f t="shared" si="88"/>
        <v>0</v>
      </c>
      <c r="BC100" s="35" t="str">
        <f t="shared" si="89"/>
        <v>121,</v>
      </c>
      <c r="BD100" s="35" t="str">
        <f t="shared" si="66"/>
        <v>22,</v>
      </c>
      <c r="BE100" s="35" t="str">
        <f t="shared" si="90"/>
        <v/>
      </c>
      <c r="BF100" s="36" t="str">
        <f t="shared" si="91"/>
        <v>1,</v>
      </c>
      <c r="BG100" s="36" t="str">
        <f>IF(BA100=0,"",IF(Z100=0,"3,4,5",VLOOKUP(Z100,{1,3;2,4;3,5},2,0))&amp;",")</f>
        <v>4,</v>
      </c>
      <c r="BH100" s="36" t="str">
        <f t="shared" si="92"/>
        <v/>
      </c>
      <c r="BI100" s="34" t="str">
        <f t="shared" si="93"/>
        <v>1,4</v>
      </c>
      <c r="BJ100" s="34" t="str">
        <f t="shared" si="96"/>
        <v>121,22</v>
      </c>
      <c r="BK100" s="34" t="str">
        <f t="shared" si="94"/>
        <v>0,16,24,36,72,145</v>
      </c>
      <c r="BL100" s="4">
        <f t="shared" si="67"/>
        <v>0</v>
      </c>
      <c r="BM100" s="4">
        <f t="shared" si="68"/>
        <v>16</v>
      </c>
      <c r="BN100" s="4">
        <f t="shared" si="69"/>
        <v>24</v>
      </c>
      <c r="BO100" s="4">
        <f t="shared" si="70"/>
        <v>36</v>
      </c>
      <c r="BP100" s="4">
        <f t="shared" si="71"/>
        <v>72</v>
      </c>
      <c r="BQ100" s="4">
        <f t="shared" si="72"/>
        <v>145</v>
      </c>
      <c r="BR100" s="34" t="str">
        <f t="shared" si="73"/>
        <v>3001,3002,3003,3004,3005,3006</v>
      </c>
      <c r="BS100" s="34" t="str">
        <f t="shared" si="95"/>
        <v>43001,43002,43003,43004,43005,43006</v>
      </c>
      <c r="BT100" s="4">
        <f>VLOOKUP(LOOKUP($Y100,$K$48:$K$55,$L$48:$L$55)&amp;BT$1&amp;$W100,装备额外附加!$M:$O,3,0)</f>
        <v>43001</v>
      </c>
      <c r="BU100" s="4">
        <f>VLOOKUP(LOOKUP($Y100,$K$48:$K$55,$L$48:$L$55)&amp;BU$1&amp;$W100,装备额外附加!$M:$O,3,0)</f>
        <v>43002</v>
      </c>
      <c r="BV100" s="4">
        <f>VLOOKUP(LOOKUP($Y100,$K$48:$K$55,$L$48:$L$55)&amp;BV$1&amp;$W100,装备额外附加!$M:$O,3,0)</f>
        <v>43003</v>
      </c>
      <c r="BW100" s="4">
        <f>VLOOKUP(LOOKUP($Y100,$K$48:$K$55,$L$48:$L$55)&amp;BW$1&amp;$W100,装备额外附加!$M:$O,3,0)</f>
        <v>43004</v>
      </c>
      <c r="BX100" s="4">
        <f>VLOOKUP(LOOKUP($Y100,$K$48:$K$55,$L$48:$L$55)&amp;BX$1&amp;$W100,装备额外附加!$M:$O,3,0)</f>
        <v>43005</v>
      </c>
      <c r="BY100" s="4">
        <f>VLOOKUP(LOOKUP($Y100,$K$48:$K$55,$L$48:$L$55)&amp;BY$1&amp;$W100,装备额外附加!$M:$O,3,0)</f>
        <v>43006</v>
      </c>
    </row>
    <row r="101" spans="18:77">
      <c r="R101" s="4" t="s">
        <v>389</v>
      </c>
      <c r="S101" s="4" t="str">
        <f t="shared" si="74"/>
        <v>107027</v>
      </c>
      <c r="T101" s="4" t="s">
        <v>390</v>
      </c>
      <c r="U101" s="36">
        <v>60</v>
      </c>
      <c r="V101" s="36" t="str">
        <f t="shared" si="75"/>
        <v>戒指</v>
      </c>
      <c r="W101" s="36" t="str">
        <f t="shared" si="76"/>
        <v>戒指</v>
      </c>
      <c r="X101" s="4">
        <f t="shared" si="77"/>
        <v>7</v>
      </c>
      <c r="Y101" s="4">
        <f t="shared" si="78"/>
        <v>63</v>
      </c>
      <c r="Z101" s="4">
        <f t="shared" si="79"/>
        <v>2</v>
      </c>
      <c r="AA101" s="4" t="str">
        <f t="shared" si="80"/>
        <v>112,134,201,336,560,1120</v>
      </c>
      <c r="AB101" s="36">
        <f t="shared" si="81"/>
        <v>140</v>
      </c>
      <c r="AC101" s="36">
        <f t="shared" si="97"/>
        <v>112</v>
      </c>
      <c r="AD101" s="36">
        <f t="shared" si="108"/>
        <v>134</v>
      </c>
      <c r="AE101" s="36">
        <f t="shared" si="108"/>
        <v>201</v>
      </c>
      <c r="AF101" s="36">
        <f t="shared" si="108"/>
        <v>336</v>
      </c>
      <c r="AG101" s="36">
        <f t="shared" si="108"/>
        <v>560</v>
      </c>
      <c r="AH101" s="36">
        <f t="shared" si="101"/>
        <v>1120</v>
      </c>
      <c r="AJ101" s="4" t="str">
        <f t="shared" si="82"/>
        <v>560,672,1008,1680,2800,</v>
      </c>
      <c r="AK101" s="36">
        <f t="shared" si="83"/>
        <v>700</v>
      </c>
      <c r="AL101" s="36">
        <f t="shared" si="109"/>
        <v>560</v>
      </c>
      <c r="AM101" s="36">
        <f t="shared" si="109"/>
        <v>672</v>
      </c>
      <c r="AN101" s="36">
        <f t="shared" si="109"/>
        <v>1008</v>
      </c>
      <c r="AO101" s="36">
        <f t="shared" si="109"/>
        <v>1680</v>
      </c>
      <c r="AP101" s="36">
        <f t="shared" si="109"/>
        <v>2800</v>
      </c>
      <c r="AR101" s="4" t="str">
        <f t="shared" si="84"/>
        <v>44800,53760,80640,134400,224000,</v>
      </c>
      <c r="AS101" s="36">
        <f t="shared" si="85"/>
        <v>56000</v>
      </c>
      <c r="AT101" s="36">
        <f t="shared" si="110"/>
        <v>44800</v>
      </c>
      <c r="AU101" s="36">
        <f t="shared" si="110"/>
        <v>53760</v>
      </c>
      <c r="AV101" s="36">
        <f t="shared" si="110"/>
        <v>80640</v>
      </c>
      <c r="AW101" s="36">
        <f t="shared" si="110"/>
        <v>134400</v>
      </c>
      <c r="AX101" s="36">
        <f t="shared" si="110"/>
        <v>224000</v>
      </c>
      <c r="AZ101" s="4">
        <f t="shared" si="86"/>
        <v>121</v>
      </c>
      <c r="BA101" s="4">
        <f t="shared" si="87"/>
        <v>10</v>
      </c>
      <c r="BB101" s="4">
        <f t="shared" si="88"/>
        <v>0</v>
      </c>
      <c r="BC101" s="35" t="str">
        <f t="shared" si="89"/>
        <v>121,</v>
      </c>
      <c r="BD101" s="35" t="str">
        <f t="shared" si="66"/>
        <v>22,</v>
      </c>
      <c r="BE101" s="35" t="str">
        <f t="shared" si="90"/>
        <v/>
      </c>
      <c r="BF101" s="36" t="str">
        <f t="shared" si="91"/>
        <v>1,</v>
      </c>
      <c r="BG101" s="36" t="str">
        <f>IF(BA101=0,"",IF(Z101=0,"3,4,5",VLOOKUP(Z101,{1,3;2,4;3,5},2,0))&amp;",")</f>
        <v>4,</v>
      </c>
      <c r="BH101" s="36" t="str">
        <f t="shared" si="92"/>
        <v/>
      </c>
      <c r="BI101" s="34" t="str">
        <f t="shared" si="93"/>
        <v>1,4</v>
      </c>
      <c r="BJ101" s="34" t="str">
        <f t="shared" si="96"/>
        <v>121,22</v>
      </c>
      <c r="BK101" s="34" t="str">
        <f t="shared" si="94"/>
        <v>0,16,24,36,72,145</v>
      </c>
      <c r="BL101" s="4">
        <f t="shared" si="67"/>
        <v>0</v>
      </c>
      <c r="BM101" s="4">
        <f t="shared" si="68"/>
        <v>16</v>
      </c>
      <c r="BN101" s="4">
        <f t="shared" si="69"/>
        <v>24</v>
      </c>
      <c r="BO101" s="4">
        <f t="shared" si="70"/>
        <v>36</v>
      </c>
      <c r="BP101" s="4">
        <f t="shared" si="71"/>
        <v>72</v>
      </c>
      <c r="BQ101" s="4">
        <f t="shared" si="72"/>
        <v>145</v>
      </c>
      <c r="BR101" s="34" t="str">
        <f t="shared" si="73"/>
        <v>4001,4002,4003,4004,4005,4006</v>
      </c>
      <c r="BS101" s="34" t="str">
        <f t="shared" si="95"/>
        <v>33001,33002,33003,33004,33005,33006</v>
      </c>
      <c r="BT101" s="4">
        <f>VLOOKUP(LOOKUP($Y101,$K$48:$K$55,$L$48:$L$55)&amp;BT$1&amp;$W101,装备额外附加!$M:$O,3,0)</f>
        <v>33001</v>
      </c>
      <c r="BU101" s="4">
        <f>VLOOKUP(LOOKUP($Y101,$K$48:$K$55,$L$48:$L$55)&amp;BU$1&amp;$W101,装备额外附加!$M:$O,3,0)</f>
        <v>33002</v>
      </c>
      <c r="BV101" s="4">
        <f>VLOOKUP(LOOKUP($Y101,$K$48:$K$55,$L$48:$L$55)&amp;BV$1&amp;$W101,装备额外附加!$M:$O,3,0)</f>
        <v>33003</v>
      </c>
      <c r="BW101" s="4">
        <f>VLOOKUP(LOOKUP($Y101,$K$48:$K$55,$L$48:$L$55)&amp;BW$1&amp;$W101,装备额外附加!$M:$O,3,0)</f>
        <v>33004</v>
      </c>
      <c r="BX101" s="4">
        <f>VLOOKUP(LOOKUP($Y101,$K$48:$K$55,$L$48:$L$55)&amp;BX$1&amp;$W101,装备额外附加!$M:$O,3,0)</f>
        <v>33005</v>
      </c>
      <c r="BY101" s="4">
        <f>VLOOKUP(LOOKUP($Y101,$K$48:$K$55,$L$48:$L$55)&amp;BY$1&amp;$W101,装备额外附加!$M:$O,3,0)</f>
        <v>33006</v>
      </c>
    </row>
    <row r="102" spans="18:77">
      <c r="R102" s="4" t="s">
        <v>391</v>
      </c>
      <c r="S102" s="4" t="str">
        <f t="shared" si="74"/>
        <v>107038</v>
      </c>
      <c r="T102" s="4" t="s">
        <v>392</v>
      </c>
      <c r="U102" s="36">
        <v>60</v>
      </c>
      <c r="V102" s="36" t="str">
        <f t="shared" si="75"/>
        <v>项链</v>
      </c>
      <c r="W102" s="36" t="str">
        <f t="shared" si="76"/>
        <v>项链</v>
      </c>
      <c r="X102" s="4">
        <f t="shared" si="77"/>
        <v>8</v>
      </c>
      <c r="Y102" s="4">
        <f t="shared" si="78"/>
        <v>64</v>
      </c>
      <c r="Z102" s="4">
        <f t="shared" si="79"/>
        <v>3</v>
      </c>
      <c r="AA102" s="4" t="str">
        <f t="shared" si="80"/>
        <v>126,151,226,378,630,1260</v>
      </c>
      <c r="AB102" s="36">
        <f t="shared" si="81"/>
        <v>140</v>
      </c>
      <c r="AC102" s="36">
        <f t="shared" si="97"/>
        <v>126</v>
      </c>
      <c r="AD102" s="36">
        <f t="shared" si="108"/>
        <v>151</v>
      </c>
      <c r="AE102" s="36">
        <f t="shared" si="108"/>
        <v>226</v>
      </c>
      <c r="AF102" s="36">
        <f t="shared" si="108"/>
        <v>378</v>
      </c>
      <c r="AG102" s="36">
        <f t="shared" si="108"/>
        <v>630</v>
      </c>
      <c r="AH102" s="36">
        <f t="shared" si="101"/>
        <v>1260</v>
      </c>
      <c r="AJ102" s="4" t="str">
        <f t="shared" si="82"/>
        <v>630,756,1134,1890,3150,</v>
      </c>
      <c r="AK102" s="36">
        <f t="shared" si="83"/>
        <v>700</v>
      </c>
      <c r="AL102" s="36">
        <f t="shared" si="109"/>
        <v>630</v>
      </c>
      <c r="AM102" s="36">
        <f t="shared" si="109"/>
        <v>756</v>
      </c>
      <c r="AN102" s="36">
        <f t="shared" si="109"/>
        <v>1134</v>
      </c>
      <c r="AO102" s="36">
        <f t="shared" si="109"/>
        <v>1890</v>
      </c>
      <c r="AP102" s="36">
        <f t="shared" si="109"/>
        <v>3150</v>
      </c>
      <c r="AR102" s="4" t="str">
        <f t="shared" si="84"/>
        <v>50400,60480,90720,151200,252000,</v>
      </c>
      <c r="AS102" s="36">
        <f t="shared" si="85"/>
        <v>56000</v>
      </c>
      <c r="AT102" s="36">
        <f t="shared" si="110"/>
        <v>50400</v>
      </c>
      <c r="AU102" s="36">
        <f t="shared" si="110"/>
        <v>60480</v>
      </c>
      <c r="AV102" s="36">
        <f t="shared" si="110"/>
        <v>90720</v>
      </c>
      <c r="AW102" s="36">
        <f t="shared" si="110"/>
        <v>151200</v>
      </c>
      <c r="AX102" s="36">
        <f t="shared" si="110"/>
        <v>252000</v>
      </c>
      <c r="AZ102" s="4">
        <f t="shared" si="86"/>
        <v>0</v>
      </c>
      <c r="BA102" s="4">
        <f t="shared" si="87"/>
        <v>16</v>
      </c>
      <c r="BB102" s="4">
        <f t="shared" si="88"/>
        <v>5</v>
      </c>
      <c r="BC102" s="35" t="str">
        <f t="shared" si="89"/>
        <v/>
      </c>
      <c r="BD102" s="35" t="str">
        <f t="shared" si="66"/>
        <v>35,</v>
      </c>
      <c r="BE102" s="35" t="str">
        <f t="shared" si="90"/>
        <v>5,</v>
      </c>
      <c r="BF102" s="36" t="str">
        <f t="shared" si="91"/>
        <v/>
      </c>
      <c r="BG102" s="36" t="str">
        <f>IF(BA102=0,"",IF(Z102=0,"3,4,5",VLOOKUP(Z102,{1,3;2,4;3,5},2,0))&amp;",")</f>
        <v>5,</v>
      </c>
      <c r="BH102" s="36" t="str">
        <f t="shared" si="92"/>
        <v>6,</v>
      </c>
      <c r="BI102" s="34" t="str">
        <f t="shared" si="93"/>
        <v>5,6</v>
      </c>
      <c r="BJ102" s="34" t="str">
        <f t="shared" si="96"/>
        <v>35,5</v>
      </c>
      <c r="BK102" s="34" t="str">
        <f t="shared" si="94"/>
        <v>0,16,24,36,72,145</v>
      </c>
      <c r="BL102" s="4">
        <f t="shared" si="67"/>
        <v>0</v>
      </c>
      <c r="BM102" s="4">
        <f t="shared" si="68"/>
        <v>16</v>
      </c>
      <c r="BN102" s="4">
        <f t="shared" si="69"/>
        <v>24</v>
      </c>
      <c r="BO102" s="4">
        <f t="shared" si="70"/>
        <v>36</v>
      </c>
      <c r="BP102" s="4">
        <f t="shared" si="71"/>
        <v>72</v>
      </c>
      <c r="BQ102" s="4">
        <f t="shared" si="72"/>
        <v>145</v>
      </c>
      <c r="BR102" s="34" t="str">
        <f t="shared" si="73"/>
        <v>2001,2002,2003,2004,2005,2006</v>
      </c>
      <c r="BS102" s="34" t="str">
        <f t="shared" si="95"/>
        <v>53001,53002,53003,53004,53005,53006</v>
      </c>
      <c r="BT102" s="4">
        <f>VLOOKUP(LOOKUP($Y102,$K$48:$K$55,$L$48:$L$55)&amp;BT$1&amp;$W102,装备额外附加!$M:$O,3,0)</f>
        <v>53001</v>
      </c>
      <c r="BU102" s="4">
        <f>VLOOKUP(LOOKUP($Y102,$K$48:$K$55,$L$48:$L$55)&amp;BU$1&amp;$W102,装备额外附加!$M:$O,3,0)</f>
        <v>53002</v>
      </c>
      <c r="BV102" s="4">
        <f>VLOOKUP(LOOKUP($Y102,$K$48:$K$55,$L$48:$L$55)&amp;BV$1&amp;$W102,装备额外附加!$M:$O,3,0)</f>
        <v>53003</v>
      </c>
      <c r="BW102" s="4">
        <f>VLOOKUP(LOOKUP($Y102,$K$48:$K$55,$L$48:$L$55)&amp;BW$1&amp;$W102,装备额外附加!$M:$O,3,0)</f>
        <v>53004</v>
      </c>
      <c r="BX102" s="4">
        <f>VLOOKUP(LOOKUP($Y102,$K$48:$K$55,$L$48:$L$55)&amp;BX$1&amp;$W102,装备额外附加!$M:$O,3,0)</f>
        <v>53005</v>
      </c>
      <c r="BY102" s="4">
        <f>VLOOKUP(LOOKUP($Y102,$K$48:$K$55,$L$48:$L$55)&amp;BY$1&amp;$W102,装备额外附加!$M:$O,3,0)</f>
        <v>53006</v>
      </c>
    </row>
    <row r="103" spans="18:77">
      <c r="R103" s="4" t="s">
        <v>393</v>
      </c>
      <c r="S103" s="4" t="str">
        <f t="shared" si="74"/>
        <v>107036</v>
      </c>
      <c r="T103" s="4" t="s">
        <v>394</v>
      </c>
      <c r="U103" s="36">
        <v>60</v>
      </c>
      <c r="V103" s="36" t="str">
        <f t="shared" si="75"/>
        <v>手镯</v>
      </c>
      <c r="W103" s="36" t="str">
        <f t="shared" si="76"/>
        <v>手镯</v>
      </c>
      <c r="X103" s="4">
        <f t="shared" si="77"/>
        <v>6</v>
      </c>
      <c r="Y103" s="4">
        <f t="shared" si="78"/>
        <v>66</v>
      </c>
      <c r="Z103" s="4">
        <f t="shared" si="79"/>
        <v>3</v>
      </c>
      <c r="AA103" s="4" t="str">
        <f t="shared" si="80"/>
        <v>112,134,201,336,560,1120</v>
      </c>
      <c r="AB103" s="36">
        <f t="shared" si="81"/>
        <v>140</v>
      </c>
      <c r="AC103" s="36">
        <f t="shared" ref="AC103:AC134" si="111">INT($AB103*VLOOKUP(AC$1,$B$11:$L$16,11,0)*VLOOKUP($V103,$C$22:$M$29,11,0))</f>
        <v>112</v>
      </c>
      <c r="AD103" s="36">
        <f t="shared" si="108"/>
        <v>134</v>
      </c>
      <c r="AE103" s="36">
        <f t="shared" si="108"/>
        <v>201</v>
      </c>
      <c r="AF103" s="36">
        <f t="shared" si="108"/>
        <v>336</v>
      </c>
      <c r="AG103" s="36">
        <f t="shared" si="108"/>
        <v>560</v>
      </c>
      <c r="AH103" s="36">
        <f t="shared" si="101"/>
        <v>1120</v>
      </c>
      <c r="AJ103" s="4" t="str">
        <f t="shared" si="82"/>
        <v>560,672,1008,1680,2800,</v>
      </c>
      <c r="AK103" s="36">
        <f t="shared" si="83"/>
        <v>700</v>
      </c>
      <c r="AL103" s="36">
        <f t="shared" si="109"/>
        <v>560</v>
      </c>
      <c r="AM103" s="36">
        <f t="shared" si="109"/>
        <v>672</v>
      </c>
      <c r="AN103" s="36">
        <f t="shared" si="109"/>
        <v>1008</v>
      </c>
      <c r="AO103" s="36">
        <f t="shared" si="109"/>
        <v>1680</v>
      </c>
      <c r="AP103" s="36">
        <f t="shared" si="109"/>
        <v>2800</v>
      </c>
      <c r="AR103" s="4" t="str">
        <f t="shared" si="84"/>
        <v>44800,53760,80640,134400,224000,</v>
      </c>
      <c r="AS103" s="36">
        <f t="shared" si="85"/>
        <v>56000</v>
      </c>
      <c r="AT103" s="36">
        <f t="shared" si="110"/>
        <v>44800</v>
      </c>
      <c r="AU103" s="36">
        <f t="shared" si="110"/>
        <v>53760</v>
      </c>
      <c r="AV103" s="36">
        <f t="shared" si="110"/>
        <v>80640</v>
      </c>
      <c r="AW103" s="36">
        <f t="shared" si="110"/>
        <v>134400</v>
      </c>
      <c r="AX103" s="36">
        <f t="shared" si="110"/>
        <v>224000</v>
      </c>
      <c r="AZ103" s="4">
        <f t="shared" si="86"/>
        <v>121</v>
      </c>
      <c r="BA103" s="4">
        <f t="shared" si="87"/>
        <v>10</v>
      </c>
      <c r="BB103" s="4">
        <f t="shared" si="88"/>
        <v>0</v>
      </c>
      <c r="BC103" s="35" t="str">
        <f t="shared" si="89"/>
        <v>121,</v>
      </c>
      <c r="BD103" s="35" t="str">
        <f t="shared" si="66"/>
        <v>22,</v>
      </c>
      <c r="BE103" s="35" t="str">
        <f t="shared" si="90"/>
        <v/>
      </c>
      <c r="BF103" s="36" t="str">
        <f t="shared" si="91"/>
        <v>1,</v>
      </c>
      <c r="BG103" s="36" t="str">
        <f>IF(BA103=0,"",IF(Z103=0,"3,4,5",VLOOKUP(Z103,{1,3;2,4;3,5},2,0))&amp;",")</f>
        <v>5,</v>
      </c>
      <c r="BH103" s="36" t="str">
        <f t="shared" si="92"/>
        <v/>
      </c>
      <c r="BI103" s="34" t="str">
        <f t="shared" si="93"/>
        <v>1,5</v>
      </c>
      <c r="BJ103" s="34" t="str">
        <f t="shared" si="96"/>
        <v>121,22</v>
      </c>
      <c r="BK103" s="34" t="str">
        <f t="shared" si="94"/>
        <v>0,16,24,36,72,145</v>
      </c>
      <c r="BL103" s="4">
        <f t="shared" si="67"/>
        <v>0</v>
      </c>
      <c r="BM103" s="4">
        <f t="shared" si="68"/>
        <v>16</v>
      </c>
      <c r="BN103" s="4">
        <f t="shared" si="69"/>
        <v>24</v>
      </c>
      <c r="BO103" s="4">
        <f t="shared" si="70"/>
        <v>36</v>
      </c>
      <c r="BP103" s="4">
        <f t="shared" si="71"/>
        <v>72</v>
      </c>
      <c r="BQ103" s="4">
        <f t="shared" si="72"/>
        <v>145</v>
      </c>
      <c r="BR103" s="34" t="str">
        <f t="shared" si="73"/>
        <v>3001,3002,3003,3004,3005,3006</v>
      </c>
      <c r="BS103" s="34" t="str">
        <f t="shared" si="95"/>
        <v>43001,43002,43003,43004,43005,43006</v>
      </c>
      <c r="BT103" s="4">
        <f>VLOOKUP(LOOKUP($Y103,$K$48:$K$55,$L$48:$L$55)&amp;BT$1&amp;$W103,装备额外附加!$M:$O,3,0)</f>
        <v>43001</v>
      </c>
      <c r="BU103" s="4">
        <f>VLOOKUP(LOOKUP($Y103,$K$48:$K$55,$L$48:$L$55)&amp;BU$1&amp;$W103,装备额外附加!$M:$O,3,0)</f>
        <v>43002</v>
      </c>
      <c r="BV103" s="4">
        <f>VLOOKUP(LOOKUP($Y103,$K$48:$K$55,$L$48:$L$55)&amp;BV$1&amp;$W103,装备额外附加!$M:$O,3,0)</f>
        <v>43003</v>
      </c>
      <c r="BW103" s="4">
        <f>VLOOKUP(LOOKUP($Y103,$K$48:$K$55,$L$48:$L$55)&amp;BW$1&amp;$W103,装备额外附加!$M:$O,3,0)</f>
        <v>43004</v>
      </c>
      <c r="BX103" s="4">
        <f>VLOOKUP(LOOKUP($Y103,$K$48:$K$55,$L$48:$L$55)&amp;BX$1&amp;$W103,装备额外附加!$M:$O,3,0)</f>
        <v>43005</v>
      </c>
      <c r="BY103" s="4">
        <f>VLOOKUP(LOOKUP($Y103,$K$48:$K$55,$L$48:$L$55)&amp;BY$1&amp;$W103,装备额外附加!$M:$O,3,0)</f>
        <v>43006</v>
      </c>
    </row>
    <row r="104" spans="18:77">
      <c r="R104" s="4" t="s">
        <v>395</v>
      </c>
      <c r="S104" s="4" t="str">
        <f t="shared" si="74"/>
        <v>107037</v>
      </c>
      <c r="T104" s="4" t="s">
        <v>396</v>
      </c>
      <c r="U104" s="36">
        <v>60</v>
      </c>
      <c r="V104" s="36" t="str">
        <f t="shared" si="75"/>
        <v>戒指</v>
      </c>
      <c r="W104" s="36" t="str">
        <f t="shared" si="76"/>
        <v>戒指</v>
      </c>
      <c r="X104" s="4">
        <f t="shared" si="77"/>
        <v>7</v>
      </c>
      <c r="Y104" s="4">
        <f t="shared" si="78"/>
        <v>63</v>
      </c>
      <c r="Z104" s="4">
        <f t="shared" si="79"/>
        <v>3</v>
      </c>
      <c r="AA104" s="4" t="str">
        <f t="shared" si="80"/>
        <v>112,134,201,336,560,1120</v>
      </c>
      <c r="AB104" s="36">
        <f t="shared" si="81"/>
        <v>140</v>
      </c>
      <c r="AC104" s="36">
        <f t="shared" si="111"/>
        <v>112</v>
      </c>
      <c r="AD104" s="36">
        <f t="shared" si="108"/>
        <v>134</v>
      </c>
      <c r="AE104" s="36">
        <f t="shared" si="108"/>
        <v>201</v>
      </c>
      <c r="AF104" s="36">
        <f t="shared" si="108"/>
        <v>336</v>
      </c>
      <c r="AG104" s="36">
        <f t="shared" si="108"/>
        <v>560</v>
      </c>
      <c r="AH104" s="36">
        <f t="shared" si="101"/>
        <v>1120</v>
      </c>
      <c r="AJ104" s="4" t="str">
        <f t="shared" si="82"/>
        <v>560,672,1008,1680,2800,</v>
      </c>
      <c r="AK104" s="36">
        <f t="shared" si="83"/>
        <v>700</v>
      </c>
      <c r="AL104" s="36">
        <f t="shared" si="109"/>
        <v>560</v>
      </c>
      <c r="AM104" s="36">
        <f t="shared" si="109"/>
        <v>672</v>
      </c>
      <c r="AN104" s="36">
        <f t="shared" si="109"/>
        <v>1008</v>
      </c>
      <c r="AO104" s="36">
        <f t="shared" si="109"/>
        <v>1680</v>
      </c>
      <c r="AP104" s="36">
        <f t="shared" si="109"/>
        <v>2800</v>
      </c>
      <c r="AR104" s="4" t="str">
        <f t="shared" si="84"/>
        <v>44800,53760,80640,134400,224000,</v>
      </c>
      <c r="AS104" s="36">
        <f t="shared" si="85"/>
        <v>56000</v>
      </c>
      <c r="AT104" s="36">
        <f t="shared" si="110"/>
        <v>44800</v>
      </c>
      <c r="AU104" s="36">
        <f t="shared" si="110"/>
        <v>53760</v>
      </c>
      <c r="AV104" s="36">
        <f t="shared" si="110"/>
        <v>80640</v>
      </c>
      <c r="AW104" s="36">
        <f t="shared" si="110"/>
        <v>134400</v>
      </c>
      <c r="AX104" s="36">
        <f t="shared" si="110"/>
        <v>224000</v>
      </c>
      <c r="AZ104" s="4">
        <f t="shared" si="86"/>
        <v>121</v>
      </c>
      <c r="BA104" s="4">
        <f t="shared" si="87"/>
        <v>10</v>
      </c>
      <c r="BB104" s="4">
        <f t="shared" si="88"/>
        <v>0</v>
      </c>
      <c r="BC104" s="35" t="str">
        <f t="shared" si="89"/>
        <v>121,</v>
      </c>
      <c r="BD104" s="35" t="str">
        <f t="shared" si="66"/>
        <v>22,</v>
      </c>
      <c r="BE104" s="35" t="str">
        <f t="shared" si="90"/>
        <v/>
      </c>
      <c r="BF104" s="36" t="str">
        <f t="shared" si="91"/>
        <v>1,</v>
      </c>
      <c r="BG104" s="36" t="str">
        <f>IF(BA104=0,"",IF(Z104=0,"3,4,5",VLOOKUP(Z104,{1,3;2,4;3,5},2,0))&amp;",")</f>
        <v>5,</v>
      </c>
      <c r="BH104" s="36" t="str">
        <f t="shared" si="92"/>
        <v/>
      </c>
      <c r="BI104" s="34" t="str">
        <f t="shared" si="93"/>
        <v>1,5</v>
      </c>
      <c r="BJ104" s="34" t="str">
        <f t="shared" si="96"/>
        <v>121,22</v>
      </c>
      <c r="BK104" s="34" t="str">
        <f t="shared" si="94"/>
        <v>0,16,24,36,72,145</v>
      </c>
      <c r="BL104" s="4">
        <f t="shared" si="67"/>
        <v>0</v>
      </c>
      <c r="BM104" s="4">
        <f t="shared" si="68"/>
        <v>16</v>
      </c>
      <c r="BN104" s="4">
        <f t="shared" si="69"/>
        <v>24</v>
      </c>
      <c r="BO104" s="4">
        <f t="shared" si="70"/>
        <v>36</v>
      </c>
      <c r="BP104" s="4">
        <f t="shared" si="71"/>
        <v>72</v>
      </c>
      <c r="BQ104" s="4">
        <f t="shared" si="72"/>
        <v>145</v>
      </c>
      <c r="BR104" s="34" t="str">
        <f t="shared" si="73"/>
        <v>4001,4002,4003,4004,4005,4006</v>
      </c>
      <c r="BS104" s="34" t="str">
        <f t="shared" si="95"/>
        <v>33001,33002,33003,33004,33005,33006</v>
      </c>
      <c r="BT104" s="4">
        <f>VLOOKUP(LOOKUP($Y104,$K$48:$K$55,$L$48:$L$55)&amp;BT$1&amp;$W104,装备额外附加!$M:$O,3,0)</f>
        <v>33001</v>
      </c>
      <c r="BU104" s="4">
        <f>VLOOKUP(LOOKUP($Y104,$K$48:$K$55,$L$48:$L$55)&amp;BU$1&amp;$W104,装备额外附加!$M:$O,3,0)</f>
        <v>33002</v>
      </c>
      <c r="BV104" s="4">
        <f>VLOOKUP(LOOKUP($Y104,$K$48:$K$55,$L$48:$L$55)&amp;BV$1&amp;$W104,装备额外附加!$M:$O,3,0)</f>
        <v>33003</v>
      </c>
      <c r="BW104" s="4">
        <f>VLOOKUP(LOOKUP($Y104,$K$48:$K$55,$L$48:$L$55)&amp;BW$1&amp;$W104,装备额外附加!$M:$O,3,0)</f>
        <v>33004</v>
      </c>
      <c r="BX104" s="4">
        <f>VLOOKUP(LOOKUP($Y104,$K$48:$K$55,$L$48:$L$55)&amp;BX$1&amp;$W104,装备额外附加!$M:$O,3,0)</f>
        <v>33005</v>
      </c>
      <c r="BY104" s="4">
        <f>VLOOKUP(LOOKUP($Y104,$K$48:$K$55,$L$48:$L$55)&amp;BY$1&amp;$W104,装备额外附加!$M:$O,3,0)</f>
        <v>33006</v>
      </c>
    </row>
    <row r="105" spans="18:77">
      <c r="R105" s="4" t="s">
        <v>397</v>
      </c>
      <c r="S105" s="4" t="str">
        <f t="shared" si="74"/>
        <v>108018</v>
      </c>
      <c r="T105" s="4" t="s">
        <v>398</v>
      </c>
      <c r="U105" s="36">
        <v>70</v>
      </c>
      <c r="V105" s="36" t="str">
        <f t="shared" si="75"/>
        <v>项链</v>
      </c>
      <c r="W105" s="36" t="str">
        <f t="shared" si="76"/>
        <v>项链</v>
      </c>
      <c r="X105" s="4">
        <f t="shared" si="77"/>
        <v>8</v>
      </c>
      <c r="Y105" s="4">
        <f t="shared" si="78"/>
        <v>74</v>
      </c>
      <c r="Z105" s="4">
        <f t="shared" si="79"/>
        <v>1</v>
      </c>
      <c r="AA105" s="4" t="str">
        <f t="shared" si="80"/>
        <v>144,172,259,432,720,1440</v>
      </c>
      <c r="AB105" s="36">
        <f t="shared" si="81"/>
        <v>160</v>
      </c>
      <c r="AC105" s="36">
        <f t="shared" si="111"/>
        <v>144</v>
      </c>
      <c r="AD105" s="36">
        <f t="shared" si="108"/>
        <v>172</v>
      </c>
      <c r="AE105" s="36">
        <f t="shared" si="108"/>
        <v>259</v>
      </c>
      <c r="AF105" s="36">
        <f t="shared" si="108"/>
        <v>432</v>
      </c>
      <c r="AG105" s="36">
        <f t="shared" si="108"/>
        <v>720</v>
      </c>
      <c r="AH105" s="36">
        <f t="shared" si="101"/>
        <v>1440</v>
      </c>
      <c r="AJ105" s="4" t="str">
        <f t="shared" si="82"/>
        <v>720,864,1296,2160,3600,</v>
      </c>
      <c r="AK105" s="36">
        <f t="shared" si="83"/>
        <v>800</v>
      </c>
      <c r="AL105" s="36">
        <f t="shared" si="109"/>
        <v>720</v>
      </c>
      <c r="AM105" s="36">
        <f t="shared" si="109"/>
        <v>864</v>
      </c>
      <c r="AN105" s="36">
        <f t="shared" si="109"/>
        <v>1296</v>
      </c>
      <c r="AO105" s="36">
        <f t="shared" si="109"/>
        <v>2160</v>
      </c>
      <c r="AP105" s="36">
        <f t="shared" si="109"/>
        <v>3600</v>
      </c>
      <c r="AR105" s="4" t="str">
        <f t="shared" si="84"/>
        <v>57600,69120,103680,172800,288000,</v>
      </c>
      <c r="AS105" s="36">
        <f t="shared" si="85"/>
        <v>64000</v>
      </c>
      <c r="AT105" s="36">
        <f t="shared" si="110"/>
        <v>57600</v>
      </c>
      <c r="AU105" s="36">
        <f t="shared" si="110"/>
        <v>69120</v>
      </c>
      <c r="AV105" s="36">
        <f t="shared" si="110"/>
        <v>103680</v>
      </c>
      <c r="AW105" s="36">
        <f t="shared" si="110"/>
        <v>172800</v>
      </c>
      <c r="AX105" s="36">
        <f t="shared" si="110"/>
        <v>288000</v>
      </c>
      <c r="AZ105" s="4">
        <f t="shared" si="86"/>
        <v>0</v>
      </c>
      <c r="BA105" s="4">
        <f t="shared" si="87"/>
        <v>22</v>
      </c>
      <c r="BB105" s="4">
        <f t="shared" si="88"/>
        <v>7</v>
      </c>
      <c r="BC105" s="35" t="str">
        <f t="shared" si="89"/>
        <v/>
      </c>
      <c r="BD105" s="35" t="str">
        <f t="shared" si="66"/>
        <v>48,</v>
      </c>
      <c r="BE105" s="35" t="str">
        <f t="shared" si="90"/>
        <v>7,</v>
      </c>
      <c r="BF105" s="36" t="str">
        <f t="shared" si="91"/>
        <v/>
      </c>
      <c r="BG105" s="36" t="str">
        <f>IF(BA105=0,"",IF(Z105=0,"3,4,5",VLOOKUP(Z105,{1,3;2,4;3,5},2,0))&amp;",")</f>
        <v>3,</v>
      </c>
      <c r="BH105" s="36" t="str">
        <f t="shared" si="92"/>
        <v>6,</v>
      </c>
      <c r="BI105" s="34" t="str">
        <f t="shared" si="93"/>
        <v>3,6</v>
      </c>
      <c r="BJ105" s="34" t="str">
        <f t="shared" si="96"/>
        <v>48,7</v>
      </c>
      <c r="BK105" s="34" t="str">
        <f t="shared" si="94"/>
        <v>0,22,33,50,100,200</v>
      </c>
      <c r="BL105" s="4">
        <f t="shared" si="67"/>
        <v>0</v>
      </c>
      <c r="BM105" s="4">
        <f t="shared" si="68"/>
        <v>22</v>
      </c>
      <c r="BN105" s="4">
        <f t="shared" si="69"/>
        <v>33</v>
      </c>
      <c r="BO105" s="4">
        <f t="shared" si="70"/>
        <v>50</v>
      </c>
      <c r="BP105" s="4">
        <f t="shared" si="71"/>
        <v>100</v>
      </c>
      <c r="BQ105" s="4">
        <f t="shared" si="72"/>
        <v>200</v>
      </c>
      <c r="BR105" s="34" t="str">
        <f t="shared" si="73"/>
        <v>2001,2002,2003,2004,2005,2006</v>
      </c>
      <c r="BS105" s="34" t="str">
        <f t="shared" si="95"/>
        <v>53001,53002,53003,53004,53005,53006</v>
      </c>
      <c r="BT105" s="4">
        <f>VLOOKUP(LOOKUP($Y105,$K$48:$K$55,$L$48:$L$55)&amp;BT$1&amp;$W105,装备额外附加!$M:$O,3,0)</f>
        <v>53001</v>
      </c>
      <c r="BU105" s="4">
        <f>VLOOKUP(LOOKUP($Y105,$K$48:$K$55,$L$48:$L$55)&amp;BU$1&amp;$W105,装备额外附加!$M:$O,3,0)</f>
        <v>53002</v>
      </c>
      <c r="BV105" s="4">
        <f>VLOOKUP(LOOKUP($Y105,$K$48:$K$55,$L$48:$L$55)&amp;BV$1&amp;$W105,装备额外附加!$M:$O,3,0)</f>
        <v>53003</v>
      </c>
      <c r="BW105" s="4">
        <f>VLOOKUP(LOOKUP($Y105,$K$48:$K$55,$L$48:$L$55)&amp;BW$1&amp;$W105,装备额外附加!$M:$O,3,0)</f>
        <v>53004</v>
      </c>
      <c r="BX105" s="4">
        <f>VLOOKUP(LOOKUP($Y105,$K$48:$K$55,$L$48:$L$55)&amp;BX$1&amp;$W105,装备额外附加!$M:$O,3,0)</f>
        <v>53005</v>
      </c>
      <c r="BY105" s="4">
        <f>VLOOKUP(LOOKUP($Y105,$K$48:$K$55,$L$48:$L$55)&amp;BY$1&amp;$W105,装备额外附加!$M:$O,3,0)</f>
        <v>53006</v>
      </c>
    </row>
    <row r="106" spans="18:77">
      <c r="R106" s="4" t="s">
        <v>399</v>
      </c>
      <c r="S106" s="4" t="str">
        <f t="shared" si="74"/>
        <v>108016</v>
      </c>
      <c r="T106" s="4" t="s">
        <v>400</v>
      </c>
      <c r="U106" s="36">
        <v>70</v>
      </c>
      <c r="V106" s="36" t="str">
        <f t="shared" si="75"/>
        <v>手镯</v>
      </c>
      <c r="W106" s="36" t="str">
        <f t="shared" si="76"/>
        <v>手镯</v>
      </c>
      <c r="X106" s="4">
        <f t="shared" si="77"/>
        <v>6</v>
      </c>
      <c r="Y106" s="4">
        <f t="shared" si="78"/>
        <v>76</v>
      </c>
      <c r="Z106" s="4">
        <f t="shared" si="79"/>
        <v>1</v>
      </c>
      <c r="AA106" s="4" t="str">
        <f t="shared" si="80"/>
        <v>128,153,230,384,640,1280</v>
      </c>
      <c r="AB106" s="36">
        <f t="shared" si="81"/>
        <v>160</v>
      </c>
      <c r="AC106" s="36">
        <f t="shared" si="111"/>
        <v>128</v>
      </c>
      <c r="AD106" s="36">
        <f t="shared" si="108"/>
        <v>153</v>
      </c>
      <c r="AE106" s="36">
        <f t="shared" si="108"/>
        <v>230</v>
      </c>
      <c r="AF106" s="36">
        <f t="shared" si="108"/>
        <v>384</v>
      </c>
      <c r="AG106" s="36">
        <f t="shared" si="108"/>
        <v>640</v>
      </c>
      <c r="AH106" s="36">
        <f t="shared" si="101"/>
        <v>1280</v>
      </c>
      <c r="AJ106" s="4" t="str">
        <f t="shared" si="82"/>
        <v>640,768,1152,1920,3200,</v>
      </c>
      <c r="AK106" s="36">
        <f t="shared" si="83"/>
        <v>800</v>
      </c>
      <c r="AL106" s="36">
        <f t="shared" si="109"/>
        <v>640</v>
      </c>
      <c r="AM106" s="36">
        <f t="shared" si="109"/>
        <v>768</v>
      </c>
      <c r="AN106" s="36">
        <f t="shared" si="109"/>
        <v>1152</v>
      </c>
      <c r="AO106" s="36">
        <f t="shared" si="109"/>
        <v>1920</v>
      </c>
      <c r="AP106" s="36">
        <f t="shared" si="109"/>
        <v>3200</v>
      </c>
      <c r="AR106" s="4" t="str">
        <f t="shared" si="84"/>
        <v>51200,61440,92160,153600,256000,</v>
      </c>
      <c r="AS106" s="36">
        <f t="shared" si="85"/>
        <v>64000</v>
      </c>
      <c r="AT106" s="36">
        <f t="shared" si="110"/>
        <v>51200</v>
      </c>
      <c r="AU106" s="36">
        <f t="shared" si="110"/>
        <v>61440</v>
      </c>
      <c r="AV106" s="36">
        <f t="shared" si="110"/>
        <v>92160</v>
      </c>
      <c r="AW106" s="36">
        <f t="shared" si="110"/>
        <v>153600</v>
      </c>
      <c r="AX106" s="36">
        <f t="shared" si="110"/>
        <v>256000</v>
      </c>
      <c r="AZ106" s="4">
        <f t="shared" si="86"/>
        <v>167</v>
      </c>
      <c r="BA106" s="4">
        <f t="shared" si="87"/>
        <v>14</v>
      </c>
      <c r="BB106" s="4">
        <f t="shared" si="88"/>
        <v>0</v>
      </c>
      <c r="BC106" s="35" t="str">
        <f t="shared" si="89"/>
        <v>167,</v>
      </c>
      <c r="BD106" s="35" t="str">
        <f t="shared" si="66"/>
        <v>30,</v>
      </c>
      <c r="BE106" s="35" t="str">
        <f t="shared" si="90"/>
        <v/>
      </c>
      <c r="BF106" s="36" t="str">
        <f t="shared" si="91"/>
        <v>1,</v>
      </c>
      <c r="BG106" s="36" t="str">
        <f>IF(BA106=0,"",IF(Z106=0,"3,4,5",VLOOKUP(Z106,{1,3;2,4;3,5},2,0))&amp;",")</f>
        <v>3,</v>
      </c>
      <c r="BH106" s="36" t="str">
        <f t="shared" si="92"/>
        <v/>
      </c>
      <c r="BI106" s="34" t="str">
        <f t="shared" si="93"/>
        <v>1,3</v>
      </c>
      <c r="BJ106" s="34" t="str">
        <f t="shared" si="96"/>
        <v>167,30</v>
      </c>
      <c r="BK106" s="34" t="str">
        <f t="shared" si="94"/>
        <v>0,22,33,50,100,200</v>
      </c>
      <c r="BL106" s="4">
        <f t="shared" si="67"/>
        <v>0</v>
      </c>
      <c r="BM106" s="4">
        <f t="shared" si="68"/>
        <v>22</v>
      </c>
      <c r="BN106" s="4">
        <f t="shared" si="69"/>
        <v>33</v>
      </c>
      <c r="BO106" s="4">
        <f t="shared" si="70"/>
        <v>50</v>
      </c>
      <c r="BP106" s="4">
        <f t="shared" si="71"/>
        <v>100</v>
      </c>
      <c r="BQ106" s="4">
        <f t="shared" si="72"/>
        <v>200</v>
      </c>
      <c r="BR106" s="34" t="str">
        <f t="shared" si="73"/>
        <v>3001,3002,3003,3004,3005,3006</v>
      </c>
      <c r="BS106" s="34" t="str">
        <f t="shared" si="95"/>
        <v>43001,43002,43003,43004,43005,43006</v>
      </c>
      <c r="BT106" s="4">
        <f>VLOOKUP(LOOKUP($Y106,$K$48:$K$55,$L$48:$L$55)&amp;BT$1&amp;$W106,装备额外附加!$M:$O,3,0)</f>
        <v>43001</v>
      </c>
      <c r="BU106" s="4">
        <f>VLOOKUP(LOOKUP($Y106,$K$48:$K$55,$L$48:$L$55)&amp;BU$1&amp;$W106,装备额外附加!$M:$O,3,0)</f>
        <v>43002</v>
      </c>
      <c r="BV106" s="4">
        <f>VLOOKUP(LOOKUP($Y106,$K$48:$K$55,$L$48:$L$55)&amp;BV$1&amp;$W106,装备额外附加!$M:$O,3,0)</f>
        <v>43003</v>
      </c>
      <c r="BW106" s="4">
        <f>VLOOKUP(LOOKUP($Y106,$K$48:$K$55,$L$48:$L$55)&amp;BW$1&amp;$W106,装备额外附加!$M:$O,3,0)</f>
        <v>43004</v>
      </c>
      <c r="BX106" s="4">
        <f>VLOOKUP(LOOKUP($Y106,$K$48:$K$55,$L$48:$L$55)&amp;BX$1&amp;$W106,装备额外附加!$M:$O,3,0)</f>
        <v>43005</v>
      </c>
      <c r="BY106" s="4">
        <f>VLOOKUP(LOOKUP($Y106,$K$48:$K$55,$L$48:$L$55)&amp;BY$1&amp;$W106,装备额外附加!$M:$O,3,0)</f>
        <v>43006</v>
      </c>
    </row>
    <row r="107" spans="18:77">
      <c r="R107" s="4" t="s">
        <v>401</v>
      </c>
      <c r="S107" s="4" t="str">
        <f t="shared" si="74"/>
        <v>108017</v>
      </c>
      <c r="T107" s="4" t="s">
        <v>402</v>
      </c>
      <c r="U107" s="36">
        <v>70</v>
      </c>
      <c r="V107" s="36" t="str">
        <f t="shared" si="75"/>
        <v>戒指</v>
      </c>
      <c r="W107" s="36" t="str">
        <f t="shared" si="76"/>
        <v>戒指</v>
      </c>
      <c r="X107" s="4">
        <f t="shared" si="77"/>
        <v>7</v>
      </c>
      <c r="Y107" s="4">
        <f t="shared" si="78"/>
        <v>73</v>
      </c>
      <c r="Z107" s="4">
        <f t="shared" si="79"/>
        <v>1</v>
      </c>
      <c r="AA107" s="4" t="str">
        <f t="shared" si="80"/>
        <v>128,153,230,384,640,1280</v>
      </c>
      <c r="AB107" s="36">
        <f t="shared" si="81"/>
        <v>160</v>
      </c>
      <c r="AC107" s="36">
        <f t="shared" si="111"/>
        <v>128</v>
      </c>
      <c r="AD107" s="36">
        <f t="shared" si="108"/>
        <v>153</v>
      </c>
      <c r="AE107" s="36">
        <f t="shared" si="108"/>
        <v>230</v>
      </c>
      <c r="AF107" s="36">
        <f t="shared" si="108"/>
        <v>384</v>
      </c>
      <c r="AG107" s="36">
        <f t="shared" si="108"/>
        <v>640</v>
      </c>
      <c r="AH107" s="36">
        <f t="shared" si="101"/>
        <v>1280</v>
      </c>
      <c r="AJ107" s="4" t="str">
        <f t="shared" si="82"/>
        <v>640,768,1152,1920,3200,</v>
      </c>
      <c r="AK107" s="36">
        <f t="shared" si="83"/>
        <v>800</v>
      </c>
      <c r="AL107" s="36">
        <f t="shared" si="109"/>
        <v>640</v>
      </c>
      <c r="AM107" s="36">
        <f t="shared" si="109"/>
        <v>768</v>
      </c>
      <c r="AN107" s="36">
        <f t="shared" si="109"/>
        <v>1152</v>
      </c>
      <c r="AO107" s="36">
        <f t="shared" si="109"/>
        <v>1920</v>
      </c>
      <c r="AP107" s="36">
        <f t="shared" si="109"/>
        <v>3200</v>
      </c>
      <c r="AR107" s="4" t="str">
        <f t="shared" si="84"/>
        <v>51200,61440,92160,153600,256000,</v>
      </c>
      <c r="AS107" s="36">
        <f t="shared" si="85"/>
        <v>64000</v>
      </c>
      <c r="AT107" s="36">
        <f t="shared" si="110"/>
        <v>51200</v>
      </c>
      <c r="AU107" s="36">
        <f t="shared" si="110"/>
        <v>61440</v>
      </c>
      <c r="AV107" s="36">
        <f t="shared" si="110"/>
        <v>92160</v>
      </c>
      <c r="AW107" s="36">
        <f t="shared" si="110"/>
        <v>153600</v>
      </c>
      <c r="AX107" s="36">
        <f t="shared" si="110"/>
        <v>256000</v>
      </c>
      <c r="AZ107" s="4">
        <f t="shared" si="86"/>
        <v>167</v>
      </c>
      <c r="BA107" s="4">
        <f t="shared" si="87"/>
        <v>14</v>
      </c>
      <c r="BB107" s="4">
        <f t="shared" si="88"/>
        <v>0</v>
      </c>
      <c r="BC107" s="35" t="str">
        <f t="shared" si="89"/>
        <v>167,</v>
      </c>
      <c r="BD107" s="35" t="str">
        <f t="shared" si="66"/>
        <v>30,</v>
      </c>
      <c r="BE107" s="35" t="str">
        <f t="shared" si="90"/>
        <v/>
      </c>
      <c r="BF107" s="36" t="str">
        <f t="shared" si="91"/>
        <v>1,</v>
      </c>
      <c r="BG107" s="36" t="str">
        <f>IF(BA107=0,"",IF(Z107=0,"3,4,5",VLOOKUP(Z107,{1,3;2,4;3,5},2,0))&amp;",")</f>
        <v>3,</v>
      </c>
      <c r="BH107" s="36" t="str">
        <f t="shared" si="92"/>
        <v/>
      </c>
      <c r="BI107" s="34" t="str">
        <f t="shared" si="93"/>
        <v>1,3</v>
      </c>
      <c r="BJ107" s="34" t="str">
        <f t="shared" si="96"/>
        <v>167,30</v>
      </c>
      <c r="BK107" s="34" t="str">
        <f t="shared" si="94"/>
        <v>0,22,33,50,100,200</v>
      </c>
      <c r="BL107" s="4">
        <f t="shared" si="67"/>
        <v>0</v>
      </c>
      <c r="BM107" s="4">
        <f t="shared" si="68"/>
        <v>22</v>
      </c>
      <c r="BN107" s="4">
        <f t="shared" si="69"/>
        <v>33</v>
      </c>
      <c r="BO107" s="4">
        <f t="shared" si="70"/>
        <v>50</v>
      </c>
      <c r="BP107" s="4">
        <f t="shared" si="71"/>
        <v>100</v>
      </c>
      <c r="BQ107" s="4">
        <f t="shared" si="72"/>
        <v>200</v>
      </c>
      <c r="BR107" s="34" t="str">
        <f t="shared" si="73"/>
        <v>4001,4002,4003,4004,4005,4006</v>
      </c>
      <c r="BS107" s="34" t="str">
        <f t="shared" si="95"/>
        <v>33001,33002,33003,33004,33005,33006</v>
      </c>
      <c r="BT107" s="4">
        <f>VLOOKUP(LOOKUP($Y107,$K$48:$K$55,$L$48:$L$55)&amp;BT$1&amp;$W107,装备额外附加!$M:$O,3,0)</f>
        <v>33001</v>
      </c>
      <c r="BU107" s="4">
        <f>VLOOKUP(LOOKUP($Y107,$K$48:$K$55,$L$48:$L$55)&amp;BU$1&amp;$W107,装备额外附加!$M:$O,3,0)</f>
        <v>33002</v>
      </c>
      <c r="BV107" s="4">
        <f>VLOOKUP(LOOKUP($Y107,$K$48:$K$55,$L$48:$L$55)&amp;BV$1&amp;$W107,装备额外附加!$M:$O,3,0)</f>
        <v>33003</v>
      </c>
      <c r="BW107" s="4">
        <f>VLOOKUP(LOOKUP($Y107,$K$48:$K$55,$L$48:$L$55)&amp;BW$1&amp;$W107,装备额外附加!$M:$O,3,0)</f>
        <v>33004</v>
      </c>
      <c r="BX107" s="4">
        <f>VLOOKUP(LOOKUP($Y107,$K$48:$K$55,$L$48:$L$55)&amp;BX$1&amp;$W107,装备额外附加!$M:$O,3,0)</f>
        <v>33005</v>
      </c>
      <c r="BY107" s="4">
        <f>VLOOKUP(LOOKUP($Y107,$K$48:$K$55,$L$48:$L$55)&amp;BY$1&amp;$W107,装备额外附加!$M:$O,3,0)</f>
        <v>33006</v>
      </c>
    </row>
    <row r="108" spans="18:77">
      <c r="R108" s="4" t="s">
        <v>403</v>
      </c>
      <c r="S108" s="4" t="str">
        <f t="shared" si="74"/>
        <v>108028</v>
      </c>
      <c r="T108" s="4" t="s">
        <v>404</v>
      </c>
      <c r="U108" s="36">
        <v>70</v>
      </c>
      <c r="V108" s="36" t="str">
        <f t="shared" si="75"/>
        <v>项链</v>
      </c>
      <c r="W108" s="36" t="str">
        <f t="shared" si="76"/>
        <v>项链</v>
      </c>
      <c r="X108" s="4">
        <f t="shared" si="77"/>
        <v>8</v>
      </c>
      <c r="Y108" s="4">
        <f t="shared" si="78"/>
        <v>74</v>
      </c>
      <c r="Z108" s="4">
        <f t="shared" si="79"/>
        <v>2</v>
      </c>
      <c r="AA108" s="4" t="str">
        <f t="shared" si="80"/>
        <v>144,172,259,432,720,1440</v>
      </c>
      <c r="AB108" s="36">
        <f t="shared" si="81"/>
        <v>160</v>
      </c>
      <c r="AC108" s="36">
        <f t="shared" si="111"/>
        <v>144</v>
      </c>
      <c r="AD108" s="36">
        <f t="shared" si="108"/>
        <v>172</v>
      </c>
      <c r="AE108" s="36">
        <f t="shared" si="108"/>
        <v>259</v>
      </c>
      <c r="AF108" s="36">
        <f t="shared" si="108"/>
        <v>432</v>
      </c>
      <c r="AG108" s="36">
        <f t="shared" si="108"/>
        <v>720</v>
      </c>
      <c r="AH108" s="36">
        <f t="shared" si="101"/>
        <v>1440</v>
      </c>
      <c r="AJ108" s="4" t="str">
        <f t="shared" si="82"/>
        <v>720,864,1296,2160,3600,</v>
      </c>
      <c r="AK108" s="36">
        <f t="shared" si="83"/>
        <v>800</v>
      </c>
      <c r="AL108" s="36">
        <f t="shared" si="109"/>
        <v>720</v>
      </c>
      <c r="AM108" s="36">
        <f t="shared" si="109"/>
        <v>864</v>
      </c>
      <c r="AN108" s="36">
        <f t="shared" si="109"/>
        <v>1296</v>
      </c>
      <c r="AO108" s="36">
        <f t="shared" si="109"/>
        <v>2160</v>
      </c>
      <c r="AP108" s="36">
        <f t="shared" si="109"/>
        <v>3600</v>
      </c>
      <c r="AR108" s="4" t="str">
        <f t="shared" si="84"/>
        <v>57600,69120,103680,172800,288000,</v>
      </c>
      <c r="AS108" s="36">
        <f t="shared" si="85"/>
        <v>64000</v>
      </c>
      <c r="AT108" s="36">
        <f t="shared" si="110"/>
        <v>57600</v>
      </c>
      <c r="AU108" s="36">
        <f t="shared" si="110"/>
        <v>69120</v>
      </c>
      <c r="AV108" s="36">
        <f t="shared" si="110"/>
        <v>103680</v>
      </c>
      <c r="AW108" s="36">
        <f t="shared" si="110"/>
        <v>172800</v>
      </c>
      <c r="AX108" s="36">
        <f t="shared" si="110"/>
        <v>288000</v>
      </c>
      <c r="AZ108" s="4">
        <f t="shared" si="86"/>
        <v>0</v>
      </c>
      <c r="BA108" s="4">
        <f t="shared" si="87"/>
        <v>22</v>
      </c>
      <c r="BB108" s="4">
        <f t="shared" si="88"/>
        <v>7</v>
      </c>
      <c r="BC108" s="35" t="str">
        <f t="shared" si="89"/>
        <v/>
      </c>
      <c r="BD108" s="35" t="str">
        <f t="shared" si="66"/>
        <v>48,</v>
      </c>
      <c r="BE108" s="35" t="str">
        <f t="shared" si="90"/>
        <v>7,</v>
      </c>
      <c r="BF108" s="36" t="str">
        <f t="shared" si="91"/>
        <v/>
      </c>
      <c r="BG108" s="36" t="str">
        <f>IF(BA108=0,"",IF(Z108=0,"3,4,5",VLOOKUP(Z108,{1,3;2,4;3,5},2,0))&amp;",")</f>
        <v>4,</v>
      </c>
      <c r="BH108" s="36" t="str">
        <f t="shared" si="92"/>
        <v>6,</v>
      </c>
      <c r="BI108" s="34" t="str">
        <f t="shared" si="93"/>
        <v>4,6</v>
      </c>
      <c r="BJ108" s="34" t="str">
        <f t="shared" si="96"/>
        <v>48,7</v>
      </c>
      <c r="BK108" s="34" t="str">
        <f t="shared" si="94"/>
        <v>0,22,33,50,100,200</v>
      </c>
      <c r="BL108" s="4">
        <f t="shared" si="67"/>
        <v>0</v>
      </c>
      <c r="BM108" s="4">
        <f t="shared" si="68"/>
        <v>22</v>
      </c>
      <c r="BN108" s="4">
        <f t="shared" si="69"/>
        <v>33</v>
      </c>
      <c r="BO108" s="4">
        <f t="shared" si="70"/>
        <v>50</v>
      </c>
      <c r="BP108" s="4">
        <f t="shared" si="71"/>
        <v>100</v>
      </c>
      <c r="BQ108" s="4">
        <f t="shared" si="72"/>
        <v>200</v>
      </c>
      <c r="BR108" s="34" t="str">
        <f t="shared" si="73"/>
        <v>2001,2002,2003,2004,2005,2006</v>
      </c>
      <c r="BS108" s="34" t="str">
        <f t="shared" si="95"/>
        <v>53001,53002,53003,53004,53005,53006</v>
      </c>
      <c r="BT108" s="4">
        <f>VLOOKUP(LOOKUP($Y108,$K$48:$K$55,$L$48:$L$55)&amp;BT$1&amp;$W108,装备额外附加!$M:$O,3,0)</f>
        <v>53001</v>
      </c>
      <c r="BU108" s="4">
        <f>VLOOKUP(LOOKUP($Y108,$K$48:$K$55,$L$48:$L$55)&amp;BU$1&amp;$W108,装备额外附加!$M:$O,3,0)</f>
        <v>53002</v>
      </c>
      <c r="BV108" s="4">
        <f>VLOOKUP(LOOKUP($Y108,$K$48:$K$55,$L$48:$L$55)&amp;BV$1&amp;$W108,装备额外附加!$M:$O,3,0)</f>
        <v>53003</v>
      </c>
      <c r="BW108" s="4">
        <f>VLOOKUP(LOOKUP($Y108,$K$48:$K$55,$L$48:$L$55)&amp;BW$1&amp;$W108,装备额外附加!$M:$O,3,0)</f>
        <v>53004</v>
      </c>
      <c r="BX108" s="4">
        <f>VLOOKUP(LOOKUP($Y108,$K$48:$K$55,$L$48:$L$55)&amp;BX$1&amp;$W108,装备额外附加!$M:$O,3,0)</f>
        <v>53005</v>
      </c>
      <c r="BY108" s="4">
        <f>VLOOKUP(LOOKUP($Y108,$K$48:$K$55,$L$48:$L$55)&amp;BY$1&amp;$W108,装备额外附加!$M:$O,3,0)</f>
        <v>53006</v>
      </c>
    </row>
    <row r="109" spans="18:77">
      <c r="R109" s="4" t="s">
        <v>405</v>
      </c>
      <c r="S109" s="4" t="str">
        <f t="shared" si="74"/>
        <v>108026</v>
      </c>
      <c r="T109" s="4" t="s">
        <v>406</v>
      </c>
      <c r="U109" s="36">
        <v>70</v>
      </c>
      <c r="V109" s="36" t="str">
        <f t="shared" si="75"/>
        <v>手镯</v>
      </c>
      <c r="W109" s="36" t="str">
        <f t="shared" si="76"/>
        <v>手镯</v>
      </c>
      <c r="X109" s="4">
        <f t="shared" si="77"/>
        <v>6</v>
      </c>
      <c r="Y109" s="4">
        <f t="shared" si="78"/>
        <v>76</v>
      </c>
      <c r="Z109" s="4">
        <f t="shared" si="79"/>
        <v>2</v>
      </c>
      <c r="AA109" s="4" t="str">
        <f t="shared" si="80"/>
        <v>128,153,230,384,640,1280</v>
      </c>
      <c r="AB109" s="36">
        <f t="shared" si="81"/>
        <v>160</v>
      </c>
      <c r="AC109" s="36">
        <f t="shared" si="111"/>
        <v>128</v>
      </c>
      <c r="AD109" s="36">
        <f t="shared" si="108"/>
        <v>153</v>
      </c>
      <c r="AE109" s="36">
        <f t="shared" si="108"/>
        <v>230</v>
      </c>
      <c r="AF109" s="36">
        <f t="shared" si="108"/>
        <v>384</v>
      </c>
      <c r="AG109" s="36">
        <f t="shared" si="108"/>
        <v>640</v>
      </c>
      <c r="AH109" s="36">
        <f t="shared" si="101"/>
        <v>1280</v>
      </c>
      <c r="AJ109" s="4" t="str">
        <f t="shared" si="82"/>
        <v>640,768,1152,1920,3200,</v>
      </c>
      <c r="AK109" s="36">
        <f t="shared" si="83"/>
        <v>800</v>
      </c>
      <c r="AL109" s="36">
        <f t="shared" si="109"/>
        <v>640</v>
      </c>
      <c r="AM109" s="36">
        <f t="shared" si="109"/>
        <v>768</v>
      </c>
      <c r="AN109" s="36">
        <f t="shared" si="109"/>
        <v>1152</v>
      </c>
      <c r="AO109" s="36">
        <f t="shared" si="109"/>
        <v>1920</v>
      </c>
      <c r="AP109" s="36">
        <f t="shared" si="109"/>
        <v>3200</v>
      </c>
      <c r="AR109" s="4" t="str">
        <f t="shared" si="84"/>
        <v>51200,61440,92160,153600,256000,</v>
      </c>
      <c r="AS109" s="36">
        <f t="shared" si="85"/>
        <v>64000</v>
      </c>
      <c r="AT109" s="36">
        <f t="shared" si="110"/>
        <v>51200</v>
      </c>
      <c r="AU109" s="36">
        <f t="shared" si="110"/>
        <v>61440</v>
      </c>
      <c r="AV109" s="36">
        <f t="shared" si="110"/>
        <v>92160</v>
      </c>
      <c r="AW109" s="36">
        <f t="shared" si="110"/>
        <v>153600</v>
      </c>
      <c r="AX109" s="36">
        <f t="shared" si="110"/>
        <v>256000</v>
      </c>
      <c r="AZ109" s="4">
        <f t="shared" si="86"/>
        <v>167</v>
      </c>
      <c r="BA109" s="4">
        <f t="shared" si="87"/>
        <v>14</v>
      </c>
      <c r="BB109" s="4">
        <f t="shared" si="88"/>
        <v>0</v>
      </c>
      <c r="BC109" s="35" t="str">
        <f t="shared" si="89"/>
        <v>167,</v>
      </c>
      <c r="BD109" s="35" t="str">
        <f t="shared" si="66"/>
        <v>30,</v>
      </c>
      <c r="BE109" s="35" t="str">
        <f t="shared" si="90"/>
        <v/>
      </c>
      <c r="BF109" s="36" t="str">
        <f t="shared" si="91"/>
        <v>1,</v>
      </c>
      <c r="BG109" s="36" t="str">
        <f>IF(BA109=0,"",IF(Z109=0,"3,4,5",VLOOKUP(Z109,{1,3;2,4;3,5},2,0))&amp;",")</f>
        <v>4,</v>
      </c>
      <c r="BH109" s="36" t="str">
        <f t="shared" si="92"/>
        <v/>
      </c>
      <c r="BI109" s="34" t="str">
        <f t="shared" si="93"/>
        <v>1,4</v>
      </c>
      <c r="BJ109" s="34" t="str">
        <f t="shared" si="96"/>
        <v>167,30</v>
      </c>
      <c r="BK109" s="34" t="str">
        <f t="shared" si="94"/>
        <v>0,22,33,50,100,200</v>
      </c>
      <c r="BL109" s="4">
        <f t="shared" si="67"/>
        <v>0</v>
      </c>
      <c r="BM109" s="4">
        <f t="shared" si="68"/>
        <v>22</v>
      </c>
      <c r="BN109" s="4">
        <f t="shared" si="69"/>
        <v>33</v>
      </c>
      <c r="BO109" s="4">
        <f t="shared" si="70"/>
        <v>50</v>
      </c>
      <c r="BP109" s="4">
        <f t="shared" si="71"/>
        <v>100</v>
      </c>
      <c r="BQ109" s="4">
        <f t="shared" si="72"/>
        <v>200</v>
      </c>
      <c r="BR109" s="34" t="str">
        <f t="shared" si="73"/>
        <v>3001,3002,3003,3004,3005,3006</v>
      </c>
      <c r="BS109" s="34" t="str">
        <f t="shared" si="95"/>
        <v>43001,43002,43003,43004,43005,43006</v>
      </c>
      <c r="BT109" s="4">
        <f>VLOOKUP(LOOKUP($Y109,$K$48:$K$55,$L$48:$L$55)&amp;BT$1&amp;$W109,装备额外附加!$M:$O,3,0)</f>
        <v>43001</v>
      </c>
      <c r="BU109" s="4">
        <f>VLOOKUP(LOOKUP($Y109,$K$48:$K$55,$L$48:$L$55)&amp;BU$1&amp;$W109,装备额外附加!$M:$O,3,0)</f>
        <v>43002</v>
      </c>
      <c r="BV109" s="4">
        <f>VLOOKUP(LOOKUP($Y109,$K$48:$K$55,$L$48:$L$55)&amp;BV$1&amp;$W109,装备额外附加!$M:$O,3,0)</f>
        <v>43003</v>
      </c>
      <c r="BW109" s="4">
        <f>VLOOKUP(LOOKUP($Y109,$K$48:$K$55,$L$48:$L$55)&amp;BW$1&amp;$W109,装备额外附加!$M:$O,3,0)</f>
        <v>43004</v>
      </c>
      <c r="BX109" s="4">
        <f>VLOOKUP(LOOKUP($Y109,$K$48:$K$55,$L$48:$L$55)&amp;BX$1&amp;$W109,装备额外附加!$M:$O,3,0)</f>
        <v>43005</v>
      </c>
      <c r="BY109" s="4">
        <f>VLOOKUP(LOOKUP($Y109,$K$48:$K$55,$L$48:$L$55)&amp;BY$1&amp;$W109,装备额外附加!$M:$O,3,0)</f>
        <v>43006</v>
      </c>
    </row>
    <row r="110" spans="18:77">
      <c r="R110" s="4" t="s">
        <v>407</v>
      </c>
      <c r="S110" s="4" t="str">
        <f t="shared" si="74"/>
        <v>108027</v>
      </c>
      <c r="T110" s="4" t="s">
        <v>408</v>
      </c>
      <c r="U110" s="36">
        <v>70</v>
      </c>
      <c r="V110" s="36" t="str">
        <f t="shared" si="75"/>
        <v>戒指</v>
      </c>
      <c r="W110" s="36" t="str">
        <f t="shared" si="76"/>
        <v>戒指</v>
      </c>
      <c r="X110" s="4">
        <f t="shared" si="77"/>
        <v>7</v>
      </c>
      <c r="Y110" s="4">
        <f t="shared" si="78"/>
        <v>73</v>
      </c>
      <c r="Z110" s="4">
        <f t="shared" si="79"/>
        <v>2</v>
      </c>
      <c r="AA110" s="4" t="str">
        <f t="shared" si="80"/>
        <v>128,153,230,384,640,1280</v>
      </c>
      <c r="AB110" s="36">
        <f t="shared" si="81"/>
        <v>160</v>
      </c>
      <c r="AC110" s="36">
        <f t="shared" si="111"/>
        <v>128</v>
      </c>
      <c r="AD110" s="36">
        <f t="shared" si="108"/>
        <v>153</v>
      </c>
      <c r="AE110" s="36">
        <f t="shared" si="108"/>
        <v>230</v>
      </c>
      <c r="AF110" s="36">
        <f t="shared" si="108"/>
        <v>384</v>
      </c>
      <c r="AG110" s="36">
        <f t="shared" si="108"/>
        <v>640</v>
      </c>
      <c r="AH110" s="36">
        <f t="shared" si="101"/>
        <v>1280</v>
      </c>
      <c r="AJ110" s="4" t="str">
        <f t="shared" si="82"/>
        <v>640,768,1152,1920,3200,</v>
      </c>
      <c r="AK110" s="36">
        <f t="shared" si="83"/>
        <v>800</v>
      </c>
      <c r="AL110" s="36">
        <f t="shared" si="109"/>
        <v>640</v>
      </c>
      <c r="AM110" s="36">
        <f t="shared" si="109"/>
        <v>768</v>
      </c>
      <c r="AN110" s="36">
        <f t="shared" si="109"/>
        <v>1152</v>
      </c>
      <c r="AO110" s="36">
        <f t="shared" si="109"/>
        <v>1920</v>
      </c>
      <c r="AP110" s="36">
        <f t="shared" si="109"/>
        <v>3200</v>
      </c>
      <c r="AR110" s="4" t="str">
        <f t="shared" si="84"/>
        <v>51200,61440,92160,153600,256000,</v>
      </c>
      <c r="AS110" s="36">
        <f t="shared" si="85"/>
        <v>64000</v>
      </c>
      <c r="AT110" s="36">
        <f t="shared" si="110"/>
        <v>51200</v>
      </c>
      <c r="AU110" s="36">
        <f t="shared" si="110"/>
        <v>61440</v>
      </c>
      <c r="AV110" s="36">
        <f t="shared" si="110"/>
        <v>92160</v>
      </c>
      <c r="AW110" s="36">
        <f t="shared" si="110"/>
        <v>153600</v>
      </c>
      <c r="AX110" s="36">
        <f t="shared" si="110"/>
        <v>256000</v>
      </c>
      <c r="AZ110" s="4">
        <f t="shared" si="86"/>
        <v>167</v>
      </c>
      <c r="BA110" s="4">
        <f t="shared" si="87"/>
        <v>14</v>
      </c>
      <c r="BB110" s="4">
        <f t="shared" si="88"/>
        <v>0</v>
      </c>
      <c r="BC110" s="35" t="str">
        <f t="shared" si="89"/>
        <v>167,</v>
      </c>
      <c r="BD110" s="35" t="str">
        <f t="shared" si="66"/>
        <v>30,</v>
      </c>
      <c r="BE110" s="35" t="str">
        <f t="shared" si="90"/>
        <v/>
      </c>
      <c r="BF110" s="36" t="str">
        <f t="shared" si="91"/>
        <v>1,</v>
      </c>
      <c r="BG110" s="36" t="str">
        <f>IF(BA110=0,"",IF(Z110=0,"3,4,5",VLOOKUP(Z110,{1,3;2,4;3,5},2,0))&amp;",")</f>
        <v>4,</v>
      </c>
      <c r="BH110" s="36" t="str">
        <f t="shared" si="92"/>
        <v/>
      </c>
      <c r="BI110" s="34" t="str">
        <f t="shared" si="93"/>
        <v>1,4</v>
      </c>
      <c r="BJ110" s="34" t="str">
        <f t="shared" si="96"/>
        <v>167,30</v>
      </c>
      <c r="BK110" s="34" t="str">
        <f t="shared" si="94"/>
        <v>0,22,33,50,100,200</v>
      </c>
      <c r="BL110" s="4">
        <f t="shared" si="67"/>
        <v>0</v>
      </c>
      <c r="BM110" s="4">
        <f t="shared" si="68"/>
        <v>22</v>
      </c>
      <c r="BN110" s="4">
        <f t="shared" si="69"/>
        <v>33</v>
      </c>
      <c r="BO110" s="4">
        <f t="shared" si="70"/>
        <v>50</v>
      </c>
      <c r="BP110" s="4">
        <f t="shared" si="71"/>
        <v>100</v>
      </c>
      <c r="BQ110" s="4">
        <f t="shared" si="72"/>
        <v>200</v>
      </c>
      <c r="BR110" s="34" t="str">
        <f t="shared" si="73"/>
        <v>4001,4002,4003,4004,4005,4006</v>
      </c>
      <c r="BS110" s="34" t="str">
        <f t="shared" si="95"/>
        <v>33001,33002,33003,33004,33005,33006</v>
      </c>
      <c r="BT110" s="4">
        <f>VLOOKUP(LOOKUP($Y110,$K$48:$K$55,$L$48:$L$55)&amp;BT$1&amp;$W110,装备额外附加!$M:$O,3,0)</f>
        <v>33001</v>
      </c>
      <c r="BU110" s="4">
        <f>VLOOKUP(LOOKUP($Y110,$K$48:$K$55,$L$48:$L$55)&amp;BU$1&amp;$W110,装备额外附加!$M:$O,3,0)</f>
        <v>33002</v>
      </c>
      <c r="BV110" s="4">
        <f>VLOOKUP(LOOKUP($Y110,$K$48:$K$55,$L$48:$L$55)&amp;BV$1&amp;$W110,装备额外附加!$M:$O,3,0)</f>
        <v>33003</v>
      </c>
      <c r="BW110" s="4">
        <f>VLOOKUP(LOOKUP($Y110,$K$48:$K$55,$L$48:$L$55)&amp;BW$1&amp;$W110,装备额外附加!$M:$O,3,0)</f>
        <v>33004</v>
      </c>
      <c r="BX110" s="4">
        <f>VLOOKUP(LOOKUP($Y110,$K$48:$K$55,$L$48:$L$55)&amp;BX$1&amp;$W110,装备额外附加!$M:$O,3,0)</f>
        <v>33005</v>
      </c>
      <c r="BY110" s="4">
        <f>VLOOKUP(LOOKUP($Y110,$K$48:$K$55,$L$48:$L$55)&amp;BY$1&amp;$W110,装备额外附加!$M:$O,3,0)</f>
        <v>33006</v>
      </c>
    </row>
    <row r="111" spans="18:77">
      <c r="R111" s="4" t="s">
        <v>409</v>
      </c>
      <c r="S111" s="4" t="str">
        <f t="shared" si="74"/>
        <v>108038</v>
      </c>
      <c r="T111" s="4" t="s">
        <v>410</v>
      </c>
      <c r="U111" s="36">
        <v>70</v>
      </c>
      <c r="V111" s="36" t="str">
        <f t="shared" si="75"/>
        <v>项链</v>
      </c>
      <c r="W111" s="36" t="str">
        <f t="shared" si="76"/>
        <v>项链</v>
      </c>
      <c r="X111" s="4">
        <f t="shared" si="77"/>
        <v>8</v>
      </c>
      <c r="Y111" s="4">
        <f t="shared" si="78"/>
        <v>74</v>
      </c>
      <c r="Z111" s="4">
        <f t="shared" si="79"/>
        <v>3</v>
      </c>
      <c r="AA111" s="4" t="str">
        <f t="shared" si="80"/>
        <v>144,172,259,432,720,1440</v>
      </c>
      <c r="AB111" s="36">
        <f t="shared" si="81"/>
        <v>160</v>
      </c>
      <c r="AC111" s="36">
        <f t="shared" si="111"/>
        <v>144</v>
      </c>
      <c r="AD111" s="36">
        <f t="shared" si="108"/>
        <v>172</v>
      </c>
      <c r="AE111" s="36">
        <f t="shared" si="108"/>
        <v>259</v>
      </c>
      <c r="AF111" s="36">
        <f t="shared" si="108"/>
        <v>432</v>
      </c>
      <c r="AG111" s="36">
        <f t="shared" si="108"/>
        <v>720</v>
      </c>
      <c r="AH111" s="36">
        <f t="shared" si="101"/>
        <v>1440</v>
      </c>
      <c r="AJ111" s="4" t="str">
        <f t="shared" si="82"/>
        <v>720,864,1296,2160,3600,</v>
      </c>
      <c r="AK111" s="36">
        <f t="shared" si="83"/>
        <v>800</v>
      </c>
      <c r="AL111" s="36">
        <f t="shared" si="109"/>
        <v>720</v>
      </c>
      <c r="AM111" s="36">
        <f t="shared" si="109"/>
        <v>864</v>
      </c>
      <c r="AN111" s="36">
        <f t="shared" si="109"/>
        <v>1296</v>
      </c>
      <c r="AO111" s="36">
        <f t="shared" si="109"/>
        <v>2160</v>
      </c>
      <c r="AP111" s="36">
        <f t="shared" si="109"/>
        <v>3600</v>
      </c>
      <c r="AR111" s="4" t="str">
        <f t="shared" si="84"/>
        <v>57600,69120,103680,172800,288000,</v>
      </c>
      <c r="AS111" s="36">
        <f t="shared" si="85"/>
        <v>64000</v>
      </c>
      <c r="AT111" s="36">
        <f t="shared" si="110"/>
        <v>57600</v>
      </c>
      <c r="AU111" s="36">
        <f t="shared" si="110"/>
        <v>69120</v>
      </c>
      <c r="AV111" s="36">
        <f t="shared" si="110"/>
        <v>103680</v>
      </c>
      <c r="AW111" s="36">
        <f t="shared" si="110"/>
        <v>172800</v>
      </c>
      <c r="AX111" s="36">
        <f t="shared" si="110"/>
        <v>288000</v>
      </c>
      <c r="AZ111" s="4">
        <f t="shared" si="86"/>
        <v>0</v>
      </c>
      <c r="BA111" s="4">
        <f t="shared" si="87"/>
        <v>22</v>
      </c>
      <c r="BB111" s="4">
        <f t="shared" si="88"/>
        <v>7</v>
      </c>
      <c r="BC111" s="35" t="str">
        <f t="shared" si="89"/>
        <v/>
      </c>
      <c r="BD111" s="35" t="str">
        <f t="shared" si="66"/>
        <v>48,</v>
      </c>
      <c r="BE111" s="35" t="str">
        <f t="shared" si="90"/>
        <v>7,</v>
      </c>
      <c r="BF111" s="36" t="str">
        <f t="shared" si="91"/>
        <v/>
      </c>
      <c r="BG111" s="36" t="str">
        <f>IF(BA111=0,"",IF(Z111=0,"3,4,5",VLOOKUP(Z111,{1,3;2,4;3,5},2,0))&amp;",")</f>
        <v>5,</v>
      </c>
      <c r="BH111" s="36" t="str">
        <f t="shared" si="92"/>
        <v>6,</v>
      </c>
      <c r="BI111" s="34" t="str">
        <f t="shared" si="93"/>
        <v>5,6</v>
      </c>
      <c r="BJ111" s="34" t="str">
        <f t="shared" si="96"/>
        <v>48,7</v>
      </c>
      <c r="BK111" s="34" t="str">
        <f t="shared" si="94"/>
        <v>0,22,33,50,100,200</v>
      </c>
      <c r="BL111" s="4">
        <f t="shared" si="67"/>
        <v>0</v>
      </c>
      <c r="BM111" s="4">
        <f t="shared" si="68"/>
        <v>22</v>
      </c>
      <c r="BN111" s="4">
        <f t="shared" si="69"/>
        <v>33</v>
      </c>
      <c r="BO111" s="4">
        <f t="shared" si="70"/>
        <v>50</v>
      </c>
      <c r="BP111" s="4">
        <f t="shared" si="71"/>
        <v>100</v>
      </c>
      <c r="BQ111" s="4">
        <f t="shared" si="72"/>
        <v>200</v>
      </c>
      <c r="BR111" s="34" t="str">
        <f t="shared" si="73"/>
        <v>2001,2002,2003,2004,2005,2006</v>
      </c>
      <c r="BS111" s="34" t="str">
        <f t="shared" si="95"/>
        <v>53001,53002,53003,53004,53005,53006</v>
      </c>
      <c r="BT111" s="4">
        <f>VLOOKUP(LOOKUP($Y111,$K$48:$K$55,$L$48:$L$55)&amp;BT$1&amp;$W111,装备额外附加!$M:$O,3,0)</f>
        <v>53001</v>
      </c>
      <c r="BU111" s="4">
        <f>VLOOKUP(LOOKUP($Y111,$K$48:$K$55,$L$48:$L$55)&amp;BU$1&amp;$W111,装备额外附加!$M:$O,3,0)</f>
        <v>53002</v>
      </c>
      <c r="BV111" s="4">
        <f>VLOOKUP(LOOKUP($Y111,$K$48:$K$55,$L$48:$L$55)&amp;BV$1&amp;$W111,装备额外附加!$M:$O,3,0)</f>
        <v>53003</v>
      </c>
      <c r="BW111" s="4">
        <f>VLOOKUP(LOOKUP($Y111,$K$48:$K$55,$L$48:$L$55)&amp;BW$1&amp;$W111,装备额外附加!$M:$O,3,0)</f>
        <v>53004</v>
      </c>
      <c r="BX111" s="4">
        <f>VLOOKUP(LOOKUP($Y111,$K$48:$K$55,$L$48:$L$55)&amp;BX$1&amp;$W111,装备额外附加!$M:$O,3,0)</f>
        <v>53005</v>
      </c>
      <c r="BY111" s="4">
        <f>VLOOKUP(LOOKUP($Y111,$K$48:$K$55,$L$48:$L$55)&amp;BY$1&amp;$W111,装备额外附加!$M:$O,3,0)</f>
        <v>53006</v>
      </c>
    </row>
    <row r="112" spans="18:77">
      <c r="R112" s="4" t="s">
        <v>411</v>
      </c>
      <c r="S112" s="4" t="str">
        <f t="shared" si="74"/>
        <v>108036</v>
      </c>
      <c r="T112" s="4" t="s">
        <v>412</v>
      </c>
      <c r="U112" s="36">
        <v>70</v>
      </c>
      <c r="V112" s="36" t="str">
        <f t="shared" si="75"/>
        <v>手镯</v>
      </c>
      <c r="W112" s="36" t="str">
        <f t="shared" si="76"/>
        <v>手镯</v>
      </c>
      <c r="X112" s="4">
        <f t="shared" si="77"/>
        <v>6</v>
      </c>
      <c r="Y112" s="4">
        <f t="shared" si="78"/>
        <v>76</v>
      </c>
      <c r="Z112" s="4">
        <f t="shared" si="79"/>
        <v>3</v>
      </c>
      <c r="AA112" s="4" t="str">
        <f t="shared" si="80"/>
        <v>128,153,230,384,640,1280</v>
      </c>
      <c r="AB112" s="36">
        <f t="shared" si="81"/>
        <v>160</v>
      </c>
      <c r="AC112" s="36">
        <f t="shared" si="111"/>
        <v>128</v>
      </c>
      <c r="AD112" s="36">
        <f t="shared" si="108"/>
        <v>153</v>
      </c>
      <c r="AE112" s="36">
        <f t="shared" si="108"/>
        <v>230</v>
      </c>
      <c r="AF112" s="36">
        <f t="shared" si="108"/>
        <v>384</v>
      </c>
      <c r="AG112" s="36">
        <f t="shared" si="108"/>
        <v>640</v>
      </c>
      <c r="AH112" s="36">
        <f t="shared" si="101"/>
        <v>1280</v>
      </c>
      <c r="AJ112" s="4" t="str">
        <f t="shared" si="82"/>
        <v>640,768,1152,1920,3200,</v>
      </c>
      <c r="AK112" s="36">
        <f t="shared" si="83"/>
        <v>800</v>
      </c>
      <c r="AL112" s="36">
        <f t="shared" si="109"/>
        <v>640</v>
      </c>
      <c r="AM112" s="36">
        <f t="shared" si="109"/>
        <v>768</v>
      </c>
      <c r="AN112" s="36">
        <f t="shared" si="109"/>
        <v>1152</v>
      </c>
      <c r="AO112" s="36">
        <f t="shared" si="109"/>
        <v>1920</v>
      </c>
      <c r="AP112" s="36">
        <f t="shared" si="109"/>
        <v>3200</v>
      </c>
      <c r="AR112" s="4" t="str">
        <f t="shared" si="84"/>
        <v>51200,61440,92160,153600,256000,</v>
      </c>
      <c r="AS112" s="36">
        <f t="shared" si="85"/>
        <v>64000</v>
      </c>
      <c r="AT112" s="36">
        <f t="shared" si="110"/>
        <v>51200</v>
      </c>
      <c r="AU112" s="36">
        <f t="shared" si="110"/>
        <v>61440</v>
      </c>
      <c r="AV112" s="36">
        <f t="shared" si="110"/>
        <v>92160</v>
      </c>
      <c r="AW112" s="36">
        <f t="shared" si="110"/>
        <v>153600</v>
      </c>
      <c r="AX112" s="36">
        <f t="shared" si="110"/>
        <v>256000</v>
      </c>
      <c r="AZ112" s="4">
        <f t="shared" si="86"/>
        <v>167</v>
      </c>
      <c r="BA112" s="4">
        <f t="shared" si="87"/>
        <v>14</v>
      </c>
      <c r="BB112" s="4">
        <f t="shared" si="88"/>
        <v>0</v>
      </c>
      <c r="BC112" s="35" t="str">
        <f t="shared" si="89"/>
        <v>167,</v>
      </c>
      <c r="BD112" s="35" t="str">
        <f t="shared" si="66"/>
        <v>30,</v>
      </c>
      <c r="BE112" s="35" t="str">
        <f t="shared" si="90"/>
        <v/>
      </c>
      <c r="BF112" s="36" t="str">
        <f t="shared" si="91"/>
        <v>1,</v>
      </c>
      <c r="BG112" s="36" t="str">
        <f>IF(BA112=0,"",IF(Z112=0,"3,4,5",VLOOKUP(Z112,{1,3;2,4;3,5},2,0))&amp;",")</f>
        <v>5,</v>
      </c>
      <c r="BH112" s="36" t="str">
        <f t="shared" si="92"/>
        <v/>
      </c>
      <c r="BI112" s="34" t="str">
        <f t="shared" si="93"/>
        <v>1,5</v>
      </c>
      <c r="BJ112" s="34" t="str">
        <f t="shared" si="96"/>
        <v>167,30</v>
      </c>
      <c r="BK112" s="34" t="str">
        <f t="shared" si="94"/>
        <v>0,22,33,50,100,200</v>
      </c>
      <c r="BL112" s="4">
        <f t="shared" si="67"/>
        <v>0</v>
      </c>
      <c r="BM112" s="4">
        <f t="shared" si="68"/>
        <v>22</v>
      </c>
      <c r="BN112" s="4">
        <f t="shared" si="69"/>
        <v>33</v>
      </c>
      <c r="BO112" s="4">
        <f t="shared" si="70"/>
        <v>50</v>
      </c>
      <c r="BP112" s="4">
        <f t="shared" si="71"/>
        <v>100</v>
      </c>
      <c r="BQ112" s="4">
        <f t="shared" si="72"/>
        <v>200</v>
      </c>
      <c r="BR112" s="34" t="str">
        <f t="shared" si="73"/>
        <v>3001,3002,3003,3004,3005,3006</v>
      </c>
      <c r="BS112" s="34" t="str">
        <f t="shared" si="95"/>
        <v>43001,43002,43003,43004,43005,43006</v>
      </c>
      <c r="BT112" s="4">
        <f>VLOOKUP(LOOKUP($Y112,$K$48:$K$55,$L$48:$L$55)&amp;BT$1&amp;$W112,装备额外附加!$M:$O,3,0)</f>
        <v>43001</v>
      </c>
      <c r="BU112" s="4">
        <f>VLOOKUP(LOOKUP($Y112,$K$48:$K$55,$L$48:$L$55)&amp;BU$1&amp;$W112,装备额外附加!$M:$O,3,0)</f>
        <v>43002</v>
      </c>
      <c r="BV112" s="4">
        <f>VLOOKUP(LOOKUP($Y112,$K$48:$K$55,$L$48:$L$55)&amp;BV$1&amp;$W112,装备额外附加!$M:$O,3,0)</f>
        <v>43003</v>
      </c>
      <c r="BW112" s="4">
        <f>VLOOKUP(LOOKUP($Y112,$K$48:$K$55,$L$48:$L$55)&amp;BW$1&amp;$W112,装备额外附加!$M:$O,3,0)</f>
        <v>43004</v>
      </c>
      <c r="BX112" s="4">
        <f>VLOOKUP(LOOKUP($Y112,$K$48:$K$55,$L$48:$L$55)&amp;BX$1&amp;$W112,装备额外附加!$M:$O,3,0)</f>
        <v>43005</v>
      </c>
      <c r="BY112" s="4">
        <f>VLOOKUP(LOOKUP($Y112,$K$48:$K$55,$L$48:$L$55)&amp;BY$1&amp;$W112,装备额外附加!$M:$O,3,0)</f>
        <v>43006</v>
      </c>
    </row>
    <row r="113" spans="18:77">
      <c r="R113" s="4" t="s">
        <v>413</v>
      </c>
      <c r="S113" s="4" t="str">
        <f t="shared" si="74"/>
        <v>108037</v>
      </c>
      <c r="T113" s="4" t="s">
        <v>414</v>
      </c>
      <c r="U113" s="36">
        <v>70</v>
      </c>
      <c r="V113" s="36" t="str">
        <f t="shared" si="75"/>
        <v>戒指</v>
      </c>
      <c r="W113" s="36" t="str">
        <f t="shared" si="76"/>
        <v>戒指</v>
      </c>
      <c r="X113" s="4">
        <f t="shared" si="77"/>
        <v>7</v>
      </c>
      <c r="Y113" s="4">
        <f t="shared" si="78"/>
        <v>73</v>
      </c>
      <c r="Z113" s="4">
        <f t="shared" si="79"/>
        <v>3</v>
      </c>
      <c r="AA113" s="4" t="str">
        <f t="shared" si="80"/>
        <v>128,153,230,384,640,1280</v>
      </c>
      <c r="AB113" s="36">
        <f t="shared" si="81"/>
        <v>160</v>
      </c>
      <c r="AC113" s="36">
        <f t="shared" si="111"/>
        <v>128</v>
      </c>
      <c r="AD113" s="36">
        <f t="shared" si="108"/>
        <v>153</v>
      </c>
      <c r="AE113" s="36">
        <f t="shared" si="108"/>
        <v>230</v>
      </c>
      <c r="AF113" s="36">
        <f t="shared" si="108"/>
        <v>384</v>
      </c>
      <c r="AG113" s="36">
        <f t="shared" si="108"/>
        <v>640</v>
      </c>
      <c r="AH113" s="36">
        <f t="shared" si="101"/>
        <v>1280</v>
      </c>
      <c r="AJ113" s="4" t="str">
        <f t="shared" si="82"/>
        <v>640,768,1152,1920,3200,</v>
      </c>
      <c r="AK113" s="36">
        <f t="shared" si="83"/>
        <v>800</v>
      </c>
      <c r="AL113" s="36">
        <f t="shared" si="109"/>
        <v>640</v>
      </c>
      <c r="AM113" s="36">
        <f t="shared" si="109"/>
        <v>768</v>
      </c>
      <c r="AN113" s="36">
        <f t="shared" si="109"/>
        <v>1152</v>
      </c>
      <c r="AO113" s="36">
        <f t="shared" si="109"/>
        <v>1920</v>
      </c>
      <c r="AP113" s="36">
        <f t="shared" si="109"/>
        <v>3200</v>
      </c>
      <c r="AR113" s="4" t="str">
        <f t="shared" si="84"/>
        <v>51200,61440,92160,153600,256000,</v>
      </c>
      <c r="AS113" s="36">
        <f t="shared" si="85"/>
        <v>64000</v>
      </c>
      <c r="AT113" s="36">
        <f t="shared" si="110"/>
        <v>51200</v>
      </c>
      <c r="AU113" s="36">
        <f t="shared" si="110"/>
        <v>61440</v>
      </c>
      <c r="AV113" s="36">
        <f t="shared" si="110"/>
        <v>92160</v>
      </c>
      <c r="AW113" s="36">
        <f t="shared" si="110"/>
        <v>153600</v>
      </c>
      <c r="AX113" s="36">
        <f t="shared" si="110"/>
        <v>256000</v>
      </c>
      <c r="AZ113" s="4">
        <f t="shared" si="86"/>
        <v>167</v>
      </c>
      <c r="BA113" s="4">
        <f t="shared" si="87"/>
        <v>14</v>
      </c>
      <c r="BB113" s="4">
        <f t="shared" si="88"/>
        <v>0</v>
      </c>
      <c r="BC113" s="35" t="str">
        <f t="shared" si="89"/>
        <v>167,</v>
      </c>
      <c r="BD113" s="35" t="str">
        <f t="shared" si="66"/>
        <v>30,</v>
      </c>
      <c r="BE113" s="35" t="str">
        <f t="shared" si="90"/>
        <v/>
      </c>
      <c r="BF113" s="36" t="str">
        <f t="shared" si="91"/>
        <v>1,</v>
      </c>
      <c r="BG113" s="36" t="str">
        <f>IF(BA113=0,"",IF(Z113=0,"3,4,5",VLOOKUP(Z113,{1,3;2,4;3,5},2,0))&amp;",")</f>
        <v>5,</v>
      </c>
      <c r="BH113" s="36" t="str">
        <f t="shared" si="92"/>
        <v/>
      </c>
      <c r="BI113" s="34" t="str">
        <f t="shared" si="93"/>
        <v>1,5</v>
      </c>
      <c r="BJ113" s="34" t="str">
        <f t="shared" si="96"/>
        <v>167,30</v>
      </c>
      <c r="BK113" s="34" t="str">
        <f t="shared" si="94"/>
        <v>0,22,33,50,100,200</v>
      </c>
      <c r="BL113" s="4">
        <f t="shared" si="67"/>
        <v>0</v>
      </c>
      <c r="BM113" s="4">
        <f t="shared" si="68"/>
        <v>22</v>
      </c>
      <c r="BN113" s="4">
        <f t="shared" si="69"/>
        <v>33</v>
      </c>
      <c r="BO113" s="4">
        <f t="shared" si="70"/>
        <v>50</v>
      </c>
      <c r="BP113" s="4">
        <f t="shared" si="71"/>
        <v>100</v>
      </c>
      <c r="BQ113" s="4">
        <f t="shared" si="72"/>
        <v>200</v>
      </c>
      <c r="BR113" s="34" t="str">
        <f t="shared" si="73"/>
        <v>4001,4002,4003,4004,4005,4006</v>
      </c>
      <c r="BS113" s="34" t="str">
        <f t="shared" si="95"/>
        <v>33001,33002,33003,33004,33005,33006</v>
      </c>
      <c r="BT113" s="4">
        <f>VLOOKUP(LOOKUP($Y113,$K$48:$K$55,$L$48:$L$55)&amp;BT$1&amp;$W113,装备额外附加!$M:$O,3,0)</f>
        <v>33001</v>
      </c>
      <c r="BU113" s="4">
        <f>VLOOKUP(LOOKUP($Y113,$K$48:$K$55,$L$48:$L$55)&amp;BU$1&amp;$W113,装备额外附加!$M:$O,3,0)</f>
        <v>33002</v>
      </c>
      <c r="BV113" s="4">
        <f>VLOOKUP(LOOKUP($Y113,$K$48:$K$55,$L$48:$L$55)&amp;BV$1&amp;$W113,装备额外附加!$M:$O,3,0)</f>
        <v>33003</v>
      </c>
      <c r="BW113" s="4">
        <f>VLOOKUP(LOOKUP($Y113,$K$48:$K$55,$L$48:$L$55)&amp;BW$1&amp;$W113,装备额外附加!$M:$O,3,0)</f>
        <v>33004</v>
      </c>
      <c r="BX113" s="4">
        <f>VLOOKUP(LOOKUP($Y113,$K$48:$K$55,$L$48:$L$55)&amp;BX$1&amp;$W113,装备额外附加!$M:$O,3,0)</f>
        <v>33005</v>
      </c>
      <c r="BY113" s="4">
        <f>VLOOKUP(LOOKUP($Y113,$K$48:$K$55,$L$48:$L$55)&amp;BY$1&amp;$W113,装备额外附加!$M:$O,3,0)</f>
        <v>33006</v>
      </c>
    </row>
    <row r="114" spans="18:77">
      <c r="R114" s="4" t="s">
        <v>415</v>
      </c>
      <c r="S114" s="4" t="str">
        <f t="shared" si="74"/>
        <v>103011</v>
      </c>
      <c r="T114" s="4" t="s">
        <v>416</v>
      </c>
      <c r="U114" s="36">
        <v>20</v>
      </c>
      <c r="V114" s="36" t="str">
        <f t="shared" si="75"/>
        <v>武器</v>
      </c>
      <c r="W114" s="36" t="str">
        <f t="shared" si="76"/>
        <v>武器</v>
      </c>
      <c r="X114" s="4">
        <f t="shared" si="77"/>
        <v>1</v>
      </c>
      <c r="Y114" s="4">
        <f t="shared" si="78"/>
        <v>21</v>
      </c>
      <c r="Z114" s="4">
        <f t="shared" si="79"/>
        <v>1</v>
      </c>
      <c r="AA114" s="4" t="str">
        <f t="shared" si="80"/>
        <v>60,72,108,180,300,600</v>
      </c>
      <c r="AB114" s="36">
        <f t="shared" si="81"/>
        <v>60</v>
      </c>
      <c r="AC114" s="36">
        <f t="shared" si="111"/>
        <v>60</v>
      </c>
      <c r="AD114" s="36">
        <f t="shared" si="108"/>
        <v>72</v>
      </c>
      <c r="AE114" s="36">
        <f t="shared" si="108"/>
        <v>108</v>
      </c>
      <c r="AF114" s="36">
        <f t="shared" si="108"/>
        <v>180</v>
      </c>
      <c r="AG114" s="36">
        <f t="shared" si="108"/>
        <v>300</v>
      </c>
      <c r="AH114" s="36">
        <f t="shared" ref="AH114:AH145" si="112">INT($AB114*VLOOKUP(AH$1,$B$11:$L$16,11,0)*VLOOKUP($V114,$C$22:$M$29,11,0))</f>
        <v>600</v>
      </c>
      <c r="AJ114" s="4" t="str">
        <f t="shared" si="82"/>
        <v>300,360,540,900,1500,</v>
      </c>
      <c r="AK114" s="36">
        <f t="shared" si="83"/>
        <v>300</v>
      </c>
      <c r="AL114" s="36">
        <f t="shared" si="109"/>
        <v>300</v>
      </c>
      <c r="AM114" s="36">
        <f t="shared" si="109"/>
        <v>360</v>
      </c>
      <c r="AN114" s="36">
        <f t="shared" si="109"/>
        <v>540</v>
      </c>
      <c r="AO114" s="36">
        <f t="shared" si="109"/>
        <v>900</v>
      </c>
      <c r="AP114" s="36">
        <f t="shared" si="109"/>
        <v>1500</v>
      </c>
      <c r="AR114" s="4" t="str">
        <f t="shared" si="84"/>
        <v>24000,28800,43200,72000,120000,</v>
      </c>
      <c r="AS114" s="36">
        <f t="shared" si="85"/>
        <v>24000</v>
      </c>
      <c r="AT114" s="36">
        <f t="shared" si="110"/>
        <v>24000</v>
      </c>
      <c r="AU114" s="36">
        <f t="shared" si="110"/>
        <v>28800</v>
      </c>
      <c r="AV114" s="36">
        <f t="shared" si="110"/>
        <v>43200</v>
      </c>
      <c r="AW114" s="36">
        <f t="shared" si="110"/>
        <v>72000</v>
      </c>
      <c r="AX114" s="36">
        <f t="shared" si="110"/>
        <v>120000</v>
      </c>
      <c r="AZ114" s="4">
        <f t="shared" si="86"/>
        <v>0</v>
      </c>
      <c r="BA114" s="4">
        <f t="shared" si="87"/>
        <v>9</v>
      </c>
      <c r="BB114" s="4">
        <f t="shared" si="88"/>
        <v>0</v>
      </c>
      <c r="BC114" s="35" t="str">
        <f t="shared" si="89"/>
        <v/>
      </c>
      <c r="BD114" s="35" t="str">
        <f t="shared" si="66"/>
        <v>19,</v>
      </c>
      <c r="BE114" s="35" t="str">
        <f t="shared" si="90"/>
        <v/>
      </c>
      <c r="BF114" s="36" t="str">
        <f t="shared" si="91"/>
        <v/>
      </c>
      <c r="BG114" s="36" t="str">
        <f>IF(BA114=0,"",IF(Z114=0,"3,4,5",VLOOKUP(Z114,{1,3;2,4;3,5},2,0))&amp;",")</f>
        <v>3,</v>
      </c>
      <c r="BH114" s="36" t="str">
        <f t="shared" si="92"/>
        <v/>
      </c>
      <c r="BI114" s="34" t="str">
        <f t="shared" si="93"/>
        <v>3</v>
      </c>
      <c r="BJ114" s="34" t="str">
        <f t="shared" si="96"/>
        <v>19</v>
      </c>
      <c r="BK114" s="34" t="str">
        <f t="shared" si="94"/>
        <v>0,6,10,15,31,63</v>
      </c>
      <c r="BL114" s="4">
        <f t="shared" si="67"/>
        <v>0</v>
      </c>
      <c r="BM114" s="4">
        <f t="shared" si="68"/>
        <v>6</v>
      </c>
      <c r="BN114" s="4">
        <f t="shared" si="69"/>
        <v>10</v>
      </c>
      <c r="BO114" s="4">
        <f t="shared" si="70"/>
        <v>15</v>
      </c>
      <c r="BP114" s="4">
        <f t="shared" si="71"/>
        <v>31</v>
      </c>
      <c r="BQ114" s="4">
        <f t="shared" si="72"/>
        <v>63</v>
      </c>
      <c r="BR114" s="34" t="str">
        <f t="shared" si="73"/>
        <v>1001,1002,1003,1004,1005,1006</v>
      </c>
      <c r="BS114" s="34" t="str">
        <f t="shared" si="95"/>
        <v>11001,11002,11003,11004,11005,11006</v>
      </c>
      <c r="BT114" s="4">
        <f>VLOOKUP(LOOKUP($Y114,$K$48:$K$55,$L$48:$L$55)&amp;BT$1&amp;$W114,装备额外附加!$M:$O,3,0)</f>
        <v>11001</v>
      </c>
      <c r="BU114" s="4">
        <f>VLOOKUP(LOOKUP($Y114,$K$48:$K$55,$L$48:$L$55)&amp;BU$1&amp;$W114,装备额外附加!$M:$O,3,0)</f>
        <v>11002</v>
      </c>
      <c r="BV114" s="4">
        <f>VLOOKUP(LOOKUP($Y114,$K$48:$K$55,$L$48:$L$55)&amp;BV$1&amp;$W114,装备额外附加!$M:$O,3,0)</f>
        <v>11003</v>
      </c>
      <c r="BW114" s="4">
        <f>VLOOKUP(LOOKUP($Y114,$K$48:$K$55,$L$48:$L$55)&amp;BW$1&amp;$W114,装备额外附加!$M:$O,3,0)</f>
        <v>11004</v>
      </c>
      <c r="BX114" s="4">
        <f>VLOOKUP(LOOKUP($Y114,$K$48:$K$55,$L$48:$L$55)&amp;BX$1&amp;$W114,装备额外附加!$M:$O,3,0)</f>
        <v>11005</v>
      </c>
      <c r="BY114" s="4">
        <f>VLOOKUP(LOOKUP($Y114,$K$48:$K$55,$L$48:$L$55)&amp;BY$1&amp;$W114,装备额外附加!$M:$O,3,0)</f>
        <v>11006</v>
      </c>
    </row>
    <row r="115" spans="18:77">
      <c r="R115" s="4" t="s">
        <v>417</v>
      </c>
      <c r="S115" s="4" t="str">
        <f t="shared" si="74"/>
        <v>103012</v>
      </c>
      <c r="T115" s="4" t="s">
        <v>418</v>
      </c>
      <c r="U115" s="36">
        <v>20</v>
      </c>
      <c r="V115" s="36" t="str">
        <f t="shared" si="75"/>
        <v>头盔</v>
      </c>
      <c r="W115" s="36" t="str">
        <f t="shared" si="76"/>
        <v>护甲</v>
      </c>
      <c r="X115" s="4">
        <f t="shared" si="77"/>
        <v>2</v>
      </c>
      <c r="Y115" s="4">
        <f t="shared" si="78"/>
        <v>27</v>
      </c>
      <c r="Z115" s="4">
        <f t="shared" si="79"/>
        <v>1</v>
      </c>
      <c r="AA115" s="4" t="str">
        <f t="shared" si="80"/>
        <v>54,64,97,162,270,540</v>
      </c>
      <c r="AB115" s="36">
        <f t="shared" si="81"/>
        <v>60</v>
      </c>
      <c r="AC115" s="36">
        <f t="shared" si="111"/>
        <v>54</v>
      </c>
      <c r="AD115" s="36">
        <f t="shared" si="108"/>
        <v>64</v>
      </c>
      <c r="AE115" s="36">
        <f t="shared" si="108"/>
        <v>97</v>
      </c>
      <c r="AF115" s="36">
        <f t="shared" si="108"/>
        <v>162</v>
      </c>
      <c r="AG115" s="36">
        <f t="shared" si="108"/>
        <v>270</v>
      </c>
      <c r="AH115" s="36">
        <f t="shared" si="112"/>
        <v>540</v>
      </c>
      <c r="AJ115" s="4" t="str">
        <f t="shared" si="82"/>
        <v>270,324,486,810,1350,</v>
      </c>
      <c r="AK115" s="36">
        <f t="shared" si="83"/>
        <v>300</v>
      </c>
      <c r="AL115" s="36">
        <f t="shared" si="109"/>
        <v>270</v>
      </c>
      <c r="AM115" s="36">
        <f t="shared" si="109"/>
        <v>324</v>
      </c>
      <c r="AN115" s="36">
        <f t="shared" si="109"/>
        <v>486</v>
      </c>
      <c r="AO115" s="36">
        <f t="shared" si="109"/>
        <v>810</v>
      </c>
      <c r="AP115" s="36">
        <f t="shared" si="109"/>
        <v>1350</v>
      </c>
      <c r="AR115" s="4" t="str">
        <f t="shared" si="84"/>
        <v>21600,25920,38880,64800,108000,</v>
      </c>
      <c r="AS115" s="36">
        <f t="shared" si="85"/>
        <v>24000</v>
      </c>
      <c r="AT115" s="36">
        <f t="shared" si="110"/>
        <v>21600</v>
      </c>
      <c r="AU115" s="36">
        <f t="shared" si="110"/>
        <v>25920</v>
      </c>
      <c r="AV115" s="36">
        <f t="shared" si="110"/>
        <v>38880</v>
      </c>
      <c r="AW115" s="36">
        <f t="shared" si="110"/>
        <v>64800</v>
      </c>
      <c r="AX115" s="36">
        <f t="shared" si="110"/>
        <v>108000</v>
      </c>
      <c r="AZ115" s="4">
        <f t="shared" si="86"/>
        <v>0</v>
      </c>
      <c r="BA115" s="4">
        <f t="shared" si="87"/>
        <v>4</v>
      </c>
      <c r="BB115" s="4">
        <f t="shared" si="88"/>
        <v>3</v>
      </c>
      <c r="BC115" s="35" t="str">
        <f t="shared" si="89"/>
        <v/>
      </c>
      <c r="BD115" s="35" t="str">
        <f t="shared" si="66"/>
        <v>8,</v>
      </c>
      <c r="BE115" s="35" t="str">
        <f t="shared" si="90"/>
        <v>3,</v>
      </c>
      <c r="BF115" s="36" t="str">
        <f t="shared" si="91"/>
        <v/>
      </c>
      <c r="BG115" s="36" t="str">
        <f>IF(BA115=0,"",IF(Z115=0,"3,4,5",VLOOKUP(Z115,{1,3;2,4;3,5},2,0))&amp;",")</f>
        <v>3,</v>
      </c>
      <c r="BH115" s="36" t="str">
        <f t="shared" si="92"/>
        <v>6,</v>
      </c>
      <c r="BI115" s="34" t="str">
        <f t="shared" si="93"/>
        <v>3,6</v>
      </c>
      <c r="BJ115" s="34" t="str">
        <f t="shared" si="96"/>
        <v>8,3</v>
      </c>
      <c r="BK115" s="34" t="str">
        <f t="shared" si="94"/>
        <v>0,4,7,10,21,42</v>
      </c>
      <c r="BL115" s="4">
        <f t="shared" si="67"/>
        <v>0</v>
      </c>
      <c r="BM115" s="4">
        <f t="shared" si="68"/>
        <v>4</v>
      </c>
      <c r="BN115" s="4">
        <f t="shared" si="69"/>
        <v>7</v>
      </c>
      <c r="BO115" s="4">
        <f t="shared" si="70"/>
        <v>10</v>
      </c>
      <c r="BP115" s="4">
        <f t="shared" si="71"/>
        <v>21</v>
      </c>
      <c r="BQ115" s="4">
        <f t="shared" si="72"/>
        <v>42</v>
      </c>
      <c r="BR115" s="34" t="str">
        <f t="shared" si="73"/>
        <v>2001,2002,2003,2004,2005,2006</v>
      </c>
      <c r="BS115" s="34" t="str">
        <f t="shared" si="95"/>
        <v>21001,21002,21003,21004,21005,21006</v>
      </c>
      <c r="BT115" s="4">
        <f>VLOOKUP(LOOKUP($Y115,$K$48:$K$55,$L$48:$L$55)&amp;BT$1&amp;$W115,装备额外附加!$M:$O,3,0)</f>
        <v>21001</v>
      </c>
      <c r="BU115" s="4">
        <f>VLOOKUP(LOOKUP($Y115,$K$48:$K$55,$L$48:$L$55)&amp;BU$1&amp;$W115,装备额外附加!$M:$O,3,0)</f>
        <v>21002</v>
      </c>
      <c r="BV115" s="4">
        <f>VLOOKUP(LOOKUP($Y115,$K$48:$K$55,$L$48:$L$55)&amp;BV$1&amp;$W115,装备额外附加!$M:$O,3,0)</f>
        <v>21003</v>
      </c>
      <c r="BW115" s="4">
        <f>VLOOKUP(LOOKUP($Y115,$K$48:$K$55,$L$48:$L$55)&amp;BW$1&amp;$W115,装备额外附加!$M:$O,3,0)</f>
        <v>21004</v>
      </c>
      <c r="BX115" s="4">
        <f>VLOOKUP(LOOKUP($Y115,$K$48:$K$55,$L$48:$L$55)&amp;BX$1&amp;$W115,装备额外附加!$M:$O,3,0)</f>
        <v>21005</v>
      </c>
      <c r="BY115" s="4">
        <f>VLOOKUP(LOOKUP($Y115,$K$48:$K$55,$L$48:$L$55)&amp;BY$1&amp;$W115,装备额外附加!$M:$O,3,0)</f>
        <v>21006</v>
      </c>
    </row>
    <row r="116" spans="18:77">
      <c r="R116" s="4" t="s">
        <v>419</v>
      </c>
      <c r="S116" s="4" t="str">
        <f t="shared" si="74"/>
        <v>103013</v>
      </c>
      <c r="T116" s="4" t="s">
        <v>420</v>
      </c>
      <c r="U116" s="36">
        <v>20</v>
      </c>
      <c r="V116" s="36" t="str">
        <f t="shared" si="75"/>
        <v>衣服</v>
      </c>
      <c r="W116" s="36" t="str">
        <f t="shared" si="76"/>
        <v>护甲</v>
      </c>
      <c r="X116" s="4">
        <f t="shared" si="77"/>
        <v>3</v>
      </c>
      <c r="Y116" s="4">
        <f t="shared" si="78"/>
        <v>25</v>
      </c>
      <c r="Z116" s="4">
        <f t="shared" si="79"/>
        <v>1</v>
      </c>
      <c r="AA116" s="4" t="str">
        <f t="shared" si="80"/>
        <v>54,64,97,162,270,540</v>
      </c>
      <c r="AB116" s="36">
        <f t="shared" si="81"/>
        <v>60</v>
      </c>
      <c r="AC116" s="36">
        <f t="shared" si="111"/>
        <v>54</v>
      </c>
      <c r="AD116" s="36">
        <f t="shared" si="108"/>
        <v>64</v>
      </c>
      <c r="AE116" s="36">
        <f t="shared" si="108"/>
        <v>97</v>
      </c>
      <c r="AF116" s="36">
        <f t="shared" si="108"/>
        <v>162</v>
      </c>
      <c r="AG116" s="36">
        <f t="shared" si="108"/>
        <v>270</v>
      </c>
      <c r="AH116" s="36">
        <f t="shared" si="112"/>
        <v>540</v>
      </c>
      <c r="AJ116" s="4" t="str">
        <f t="shared" si="82"/>
        <v>270,324,486,810,1350,</v>
      </c>
      <c r="AK116" s="36">
        <f t="shared" si="83"/>
        <v>300</v>
      </c>
      <c r="AL116" s="36">
        <f t="shared" si="109"/>
        <v>270</v>
      </c>
      <c r="AM116" s="36">
        <f t="shared" si="109"/>
        <v>324</v>
      </c>
      <c r="AN116" s="36">
        <f t="shared" si="109"/>
        <v>486</v>
      </c>
      <c r="AO116" s="36">
        <f t="shared" si="109"/>
        <v>810</v>
      </c>
      <c r="AP116" s="36">
        <f t="shared" si="109"/>
        <v>1350</v>
      </c>
      <c r="AR116" s="4" t="str">
        <f t="shared" si="84"/>
        <v>21600,25920,38880,64800,108000,</v>
      </c>
      <c r="AS116" s="36">
        <f t="shared" si="85"/>
        <v>24000</v>
      </c>
      <c r="AT116" s="36">
        <f t="shared" si="110"/>
        <v>21600</v>
      </c>
      <c r="AU116" s="36">
        <f t="shared" si="110"/>
        <v>25920</v>
      </c>
      <c r="AV116" s="36">
        <f t="shared" si="110"/>
        <v>38880</v>
      </c>
      <c r="AW116" s="36">
        <f t="shared" si="110"/>
        <v>64800</v>
      </c>
      <c r="AX116" s="36">
        <f t="shared" si="110"/>
        <v>108000</v>
      </c>
      <c r="AZ116" s="4">
        <f t="shared" si="86"/>
        <v>70</v>
      </c>
      <c r="BA116" s="4">
        <f t="shared" si="87"/>
        <v>0</v>
      </c>
      <c r="BB116" s="4">
        <f t="shared" si="88"/>
        <v>3</v>
      </c>
      <c r="BC116" s="35" t="str">
        <f t="shared" si="89"/>
        <v>70,</v>
      </c>
      <c r="BD116" s="35" t="str">
        <f t="shared" si="66"/>
        <v/>
      </c>
      <c r="BE116" s="35" t="str">
        <f t="shared" si="90"/>
        <v>3,</v>
      </c>
      <c r="BF116" s="36" t="str">
        <f t="shared" si="91"/>
        <v>1,</v>
      </c>
      <c r="BG116" s="36" t="str">
        <f>IF(BA116=0,"",IF(Z116=0,"3,4,5",VLOOKUP(Z116,{1,3;2,4;3,5},2,0))&amp;",")</f>
        <v/>
      </c>
      <c r="BH116" s="36" t="str">
        <f t="shared" si="92"/>
        <v>6,</v>
      </c>
      <c r="BI116" s="34" t="str">
        <f t="shared" si="93"/>
        <v>1,6</v>
      </c>
      <c r="BJ116" s="34" t="str">
        <f t="shared" si="96"/>
        <v>70,3</v>
      </c>
      <c r="BK116" s="34" t="str">
        <f t="shared" si="94"/>
        <v>0,4,7,10,21,42</v>
      </c>
      <c r="BL116" s="4">
        <f t="shared" si="67"/>
        <v>0</v>
      </c>
      <c r="BM116" s="4">
        <f t="shared" si="68"/>
        <v>4</v>
      </c>
      <c r="BN116" s="4">
        <f t="shared" si="69"/>
        <v>7</v>
      </c>
      <c r="BO116" s="4">
        <f t="shared" si="70"/>
        <v>10</v>
      </c>
      <c r="BP116" s="4">
        <f t="shared" si="71"/>
        <v>21</v>
      </c>
      <c r="BQ116" s="4">
        <f t="shared" si="72"/>
        <v>42</v>
      </c>
      <c r="BR116" s="34" t="str">
        <f t="shared" si="73"/>
        <v>2001,2002,2003,2004,2005,2006</v>
      </c>
      <c r="BS116" s="34" t="str">
        <f t="shared" si="95"/>
        <v>21001,21002,21003,21004,21005,21006</v>
      </c>
      <c r="BT116" s="4">
        <f>VLOOKUP(LOOKUP($Y116,$K$48:$K$55,$L$48:$L$55)&amp;BT$1&amp;$W116,装备额外附加!$M:$O,3,0)</f>
        <v>21001</v>
      </c>
      <c r="BU116" s="4">
        <f>VLOOKUP(LOOKUP($Y116,$K$48:$K$55,$L$48:$L$55)&amp;BU$1&amp;$W116,装备额外附加!$M:$O,3,0)</f>
        <v>21002</v>
      </c>
      <c r="BV116" s="4">
        <f>VLOOKUP(LOOKUP($Y116,$K$48:$K$55,$L$48:$L$55)&amp;BV$1&amp;$W116,装备额外附加!$M:$O,3,0)</f>
        <v>21003</v>
      </c>
      <c r="BW116" s="4">
        <f>VLOOKUP(LOOKUP($Y116,$K$48:$K$55,$L$48:$L$55)&amp;BW$1&amp;$W116,装备额外附加!$M:$O,3,0)</f>
        <v>21004</v>
      </c>
      <c r="BX116" s="4">
        <f>VLOOKUP(LOOKUP($Y116,$K$48:$K$55,$L$48:$L$55)&amp;BX$1&amp;$W116,装备额外附加!$M:$O,3,0)</f>
        <v>21005</v>
      </c>
      <c r="BY116" s="4">
        <f>VLOOKUP(LOOKUP($Y116,$K$48:$K$55,$L$48:$L$55)&amp;BY$1&amp;$W116,装备额外附加!$M:$O,3,0)</f>
        <v>21006</v>
      </c>
    </row>
    <row r="117" spans="18:77">
      <c r="R117" s="4" t="s">
        <v>421</v>
      </c>
      <c r="S117" s="4" t="str">
        <f t="shared" si="74"/>
        <v>103014</v>
      </c>
      <c r="T117" s="4" t="s">
        <v>422</v>
      </c>
      <c r="U117" s="36">
        <v>20</v>
      </c>
      <c r="V117" s="36" t="str">
        <f t="shared" si="75"/>
        <v>腰带</v>
      </c>
      <c r="W117" s="36" t="str">
        <f t="shared" si="76"/>
        <v>护甲</v>
      </c>
      <c r="X117" s="4">
        <f t="shared" si="77"/>
        <v>4</v>
      </c>
      <c r="Y117" s="4">
        <f t="shared" si="78"/>
        <v>28</v>
      </c>
      <c r="Z117" s="4">
        <f t="shared" si="79"/>
        <v>1</v>
      </c>
      <c r="AA117" s="4" t="str">
        <f t="shared" si="80"/>
        <v>48,57,86,144,240,480</v>
      </c>
      <c r="AB117" s="36">
        <f t="shared" si="81"/>
        <v>60</v>
      </c>
      <c r="AC117" s="36">
        <f t="shared" si="111"/>
        <v>48</v>
      </c>
      <c r="AD117" s="36">
        <f t="shared" si="108"/>
        <v>57</v>
      </c>
      <c r="AE117" s="36">
        <f t="shared" si="108"/>
        <v>86</v>
      </c>
      <c r="AF117" s="36">
        <f t="shared" si="108"/>
        <v>144</v>
      </c>
      <c r="AG117" s="36">
        <f t="shared" si="108"/>
        <v>240</v>
      </c>
      <c r="AH117" s="36">
        <f t="shared" si="112"/>
        <v>480</v>
      </c>
      <c r="AJ117" s="4" t="str">
        <f t="shared" si="82"/>
        <v>240,288,432,720,1200,</v>
      </c>
      <c r="AK117" s="36">
        <f t="shared" si="83"/>
        <v>300</v>
      </c>
      <c r="AL117" s="36">
        <f t="shared" si="109"/>
        <v>240</v>
      </c>
      <c r="AM117" s="36">
        <f t="shared" si="109"/>
        <v>288</v>
      </c>
      <c r="AN117" s="36">
        <f t="shared" si="109"/>
        <v>432</v>
      </c>
      <c r="AO117" s="36">
        <f t="shared" si="109"/>
        <v>720</v>
      </c>
      <c r="AP117" s="36">
        <f t="shared" si="109"/>
        <v>1200</v>
      </c>
      <c r="AR117" s="4" t="str">
        <f t="shared" si="84"/>
        <v>19200,23040,34560,57600,96000,</v>
      </c>
      <c r="AS117" s="36">
        <f t="shared" si="85"/>
        <v>24000</v>
      </c>
      <c r="AT117" s="36">
        <f t="shared" si="110"/>
        <v>19200</v>
      </c>
      <c r="AU117" s="36">
        <f t="shared" si="110"/>
        <v>23040</v>
      </c>
      <c r="AV117" s="36">
        <f t="shared" si="110"/>
        <v>34560</v>
      </c>
      <c r="AW117" s="36">
        <f t="shared" si="110"/>
        <v>57600</v>
      </c>
      <c r="AX117" s="36">
        <f t="shared" si="110"/>
        <v>96000</v>
      </c>
      <c r="AZ117" s="4">
        <f t="shared" si="86"/>
        <v>35</v>
      </c>
      <c r="BA117" s="4">
        <f t="shared" si="87"/>
        <v>0</v>
      </c>
      <c r="BB117" s="4">
        <f t="shared" si="88"/>
        <v>3</v>
      </c>
      <c r="BC117" s="35" t="str">
        <f t="shared" si="89"/>
        <v>35,</v>
      </c>
      <c r="BD117" s="35" t="str">
        <f t="shared" si="66"/>
        <v/>
      </c>
      <c r="BE117" s="35" t="str">
        <f t="shared" si="90"/>
        <v>3,</v>
      </c>
      <c r="BF117" s="36" t="str">
        <f t="shared" si="91"/>
        <v>1,</v>
      </c>
      <c r="BG117" s="36" t="str">
        <f>IF(BA117=0,"",IF(Z117=0,"3,4,5",VLOOKUP(Z117,{1,3;2,4;3,5},2,0))&amp;",")</f>
        <v/>
      </c>
      <c r="BH117" s="36" t="str">
        <f t="shared" si="92"/>
        <v>6,</v>
      </c>
      <c r="BI117" s="34" t="str">
        <f t="shared" si="93"/>
        <v>1,6</v>
      </c>
      <c r="BJ117" s="34" t="str">
        <f t="shared" si="96"/>
        <v>35,3</v>
      </c>
      <c r="BK117" s="34" t="str">
        <f t="shared" si="94"/>
        <v>0,4,7,10,21,42</v>
      </c>
      <c r="BL117" s="4">
        <f t="shared" si="67"/>
        <v>0</v>
      </c>
      <c r="BM117" s="4">
        <f t="shared" si="68"/>
        <v>4</v>
      </c>
      <c r="BN117" s="4">
        <f t="shared" si="69"/>
        <v>7</v>
      </c>
      <c r="BO117" s="4">
        <f t="shared" si="70"/>
        <v>10</v>
      </c>
      <c r="BP117" s="4">
        <f t="shared" si="71"/>
        <v>21</v>
      </c>
      <c r="BQ117" s="4">
        <f t="shared" si="72"/>
        <v>42</v>
      </c>
      <c r="BR117" s="34" t="str">
        <f t="shared" si="73"/>
        <v>2001,2002,2003,2004,2005,2006</v>
      </c>
      <c r="BS117" s="34" t="str">
        <f t="shared" si="95"/>
        <v>21001,21002,21003,21004,21005,21006</v>
      </c>
      <c r="BT117" s="4">
        <f>VLOOKUP(LOOKUP($Y117,$K$48:$K$55,$L$48:$L$55)&amp;BT$1&amp;$W117,装备额外附加!$M:$O,3,0)</f>
        <v>21001</v>
      </c>
      <c r="BU117" s="4">
        <f>VLOOKUP(LOOKUP($Y117,$K$48:$K$55,$L$48:$L$55)&amp;BU$1&amp;$W117,装备额外附加!$M:$O,3,0)</f>
        <v>21002</v>
      </c>
      <c r="BV117" s="4">
        <f>VLOOKUP(LOOKUP($Y117,$K$48:$K$55,$L$48:$L$55)&amp;BV$1&amp;$W117,装备额外附加!$M:$O,3,0)</f>
        <v>21003</v>
      </c>
      <c r="BW117" s="4">
        <f>VLOOKUP(LOOKUP($Y117,$K$48:$K$55,$L$48:$L$55)&amp;BW$1&amp;$W117,装备额外附加!$M:$O,3,0)</f>
        <v>21004</v>
      </c>
      <c r="BX117" s="4">
        <f>VLOOKUP(LOOKUP($Y117,$K$48:$K$55,$L$48:$L$55)&amp;BX$1&amp;$W117,装备额外附加!$M:$O,3,0)</f>
        <v>21005</v>
      </c>
      <c r="BY117" s="4">
        <f>VLOOKUP(LOOKUP($Y117,$K$48:$K$55,$L$48:$L$55)&amp;BY$1&amp;$W117,装备额外附加!$M:$O,3,0)</f>
        <v>21006</v>
      </c>
    </row>
    <row r="118" spans="18:77">
      <c r="R118" s="4" t="s">
        <v>423</v>
      </c>
      <c r="S118" s="4" t="str">
        <f t="shared" si="74"/>
        <v>103015</v>
      </c>
      <c r="T118" s="4" t="s">
        <v>424</v>
      </c>
      <c r="U118" s="36">
        <v>20</v>
      </c>
      <c r="V118" s="36" t="str">
        <f t="shared" si="75"/>
        <v>鞋子</v>
      </c>
      <c r="W118" s="36" t="str">
        <f t="shared" si="76"/>
        <v>护甲</v>
      </c>
      <c r="X118" s="4">
        <f t="shared" si="77"/>
        <v>5</v>
      </c>
      <c r="Y118" s="4">
        <f t="shared" si="78"/>
        <v>22</v>
      </c>
      <c r="Z118" s="4">
        <f t="shared" si="79"/>
        <v>1</v>
      </c>
      <c r="AA118" s="4" t="str">
        <f t="shared" si="80"/>
        <v>48,57,86,144,240,480</v>
      </c>
      <c r="AB118" s="36">
        <f t="shared" si="81"/>
        <v>60</v>
      </c>
      <c r="AC118" s="36">
        <f t="shared" si="111"/>
        <v>48</v>
      </c>
      <c r="AD118" s="36">
        <f t="shared" ref="AD118:AG137" si="113">INT($AB118*VLOOKUP(AD$1,$B$11:$L$16,11,0)*VLOOKUP($V118,$C$22:$M$29,11,0))</f>
        <v>57</v>
      </c>
      <c r="AE118" s="36">
        <f t="shared" si="113"/>
        <v>86</v>
      </c>
      <c r="AF118" s="36">
        <f t="shared" si="113"/>
        <v>144</v>
      </c>
      <c r="AG118" s="36">
        <f t="shared" si="113"/>
        <v>240</v>
      </c>
      <c r="AH118" s="36">
        <f t="shared" si="112"/>
        <v>480</v>
      </c>
      <c r="AJ118" s="4" t="str">
        <f t="shared" si="82"/>
        <v>240,288,432,720,1200,</v>
      </c>
      <c r="AK118" s="36">
        <f t="shared" si="83"/>
        <v>300</v>
      </c>
      <c r="AL118" s="36">
        <f t="shared" si="109"/>
        <v>240</v>
      </c>
      <c r="AM118" s="36">
        <f t="shared" si="109"/>
        <v>288</v>
      </c>
      <c r="AN118" s="36">
        <f t="shared" si="109"/>
        <v>432</v>
      </c>
      <c r="AO118" s="36">
        <f t="shared" si="109"/>
        <v>720</v>
      </c>
      <c r="AP118" s="36">
        <f t="shared" si="109"/>
        <v>1200</v>
      </c>
      <c r="AR118" s="4" t="str">
        <f t="shared" si="84"/>
        <v>19200,23040,34560,57600,96000,</v>
      </c>
      <c r="AS118" s="36">
        <f t="shared" si="85"/>
        <v>24000</v>
      </c>
      <c r="AT118" s="36">
        <f t="shared" si="110"/>
        <v>19200</v>
      </c>
      <c r="AU118" s="36">
        <f t="shared" si="110"/>
        <v>23040</v>
      </c>
      <c r="AV118" s="36">
        <f t="shared" si="110"/>
        <v>34560</v>
      </c>
      <c r="AW118" s="36">
        <f t="shared" si="110"/>
        <v>57600</v>
      </c>
      <c r="AX118" s="36">
        <f t="shared" si="110"/>
        <v>96000</v>
      </c>
      <c r="AZ118" s="4">
        <f t="shared" si="86"/>
        <v>35</v>
      </c>
      <c r="BA118" s="4">
        <f t="shared" si="87"/>
        <v>0</v>
      </c>
      <c r="BB118" s="4">
        <f t="shared" si="88"/>
        <v>3</v>
      </c>
      <c r="BC118" s="35" t="str">
        <f t="shared" si="89"/>
        <v>35,</v>
      </c>
      <c r="BD118" s="35" t="str">
        <f t="shared" si="66"/>
        <v/>
      </c>
      <c r="BE118" s="35" t="str">
        <f t="shared" si="90"/>
        <v>3,</v>
      </c>
      <c r="BF118" s="36" t="str">
        <f t="shared" si="91"/>
        <v>1,</v>
      </c>
      <c r="BG118" s="36" t="str">
        <f>IF(BA118=0,"",IF(Z118=0,"3,4,5",VLOOKUP(Z118,{1,3;2,4;3,5},2,0))&amp;",")</f>
        <v/>
      </c>
      <c r="BH118" s="36" t="str">
        <f t="shared" si="92"/>
        <v>6,</v>
      </c>
      <c r="BI118" s="34" t="str">
        <f t="shared" si="93"/>
        <v>1,6</v>
      </c>
      <c r="BJ118" s="34" t="str">
        <f t="shared" si="96"/>
        <v>35,3</v>
      </c>
      <c r="BK118" s="34" t="str">
        <f t="shared" si="94"/>
        <v>0,4,7,10,21,42</v>
      </c>
      <c r="BL118" s="4">
        <f t="shared" si="67"/>
        <v>0</v>
      </c>
      <c r="BM118" s="4">
        <f t="shared" si="68"/>
        <v>4</v>
      </c>
      <c r="BN118" s="4">
        <f t="shared" si="69"/>
        <v>7</v>
      </c>
      <c r="BO118" s="4">
        <f t="shared" si="70"/>
        <v>10</v>
      </c>
      <c r="BP118" s="4">
        <f t="shared" si="71"/>
        <v>21</v>
      </c>
      <c r="BQ118" s="4">
        <f t="shared" si="72"/>
        <v>42</v>
      </c>
      <c r="BR118" s="34" t="str">
        <f t="shared" si="73"/>
        <v>2001,2002,2003,2004,2005,2006</v>
      </c>
      <c r="BS118" s="34" t="str">
        <f t="shared" si="95"/>
        <v>21001,21002,21003,21004,21005,21006</v>
      </c>
      <c r="BT118" s="4">
        <f>VLOOKUP(LOOKUP($Y118,$K$48:$K$55,$L$48:$L$55)&amp;BT$1&amp;$W118,装备额外附加!$M:$O,3,0)</f>
        <v>21001</v>
      </c>
      <c r="BU118" s="4">
        <f>VLOOKUP(LOOKUP($Y118,$K$48:$K$55,$L$48:$L$55)&amp;BU$1&amp;$W118,装备额外附加!$M:$O,3,0)</f>
        <v>21002</v>
      </c>
      <c r="BV118" s="4">
        <f>VLOOKUP(LOOKUP($Y118,$K$48:$K$55,$L$48:$L$55)&amp;BV$1&amp;$W118,装备额外附加!$M:$O,3,0)</f>
        <v>21003</v>
      </c>
      <c r="BW118" s="4">
        <f>VLOOKUP(LOOKUP($Y118,$K$48:$K$55,$L$48:$L$55)&amp;BW$1&amp;$W118,装备额外附加!$M:$O,3,0)</f>
        <v>21004</v>
      </c>
      <c r="BX118" s="4">
        <f>VLOOKUP(LOOKUP($Y118,$K$48:$K$55,$L$48:$L$55)&amp;BX$1&amp;$W118,装备额外附加!$M:$O,3,0)</f>
        <v>21005</v>
      </c>
      <c r="BY118" s="4">
        <f>VLOOKUP(LOOKUP($Y118,$K$48:$K$55,$L$48:$L$55)&amp;BY$1&amp;$W118,装备额外附加!$M:$O,3,0)</f>
        <v>21006</v>
      </c>
    </row>
    <row r="119" spans="18:77">
      <c r="R119" s="4" t="s">
        <v>425</v>
      </c>
      <c r="S119" s="4" t="str">
        <f t="shared" si="74"/>
        <v>104011</v>
      </c>
      <c r="T119" s="4" t="s">
        <v>426</v>
      </c>
      <c r="U119" s="36">
        <v>30</v>
      </c>
      <c r="V119" s="36" t="str">
        <f t="shared" si="75"/>
        <v>武器</v>
      </c>
      <c r="W119" s="36" t="str">
        <f t="shared" si="76"/>
        <v>武器</v>
      </c>
      <c r="X119" s="4">
        <f t="shared" si="77"/>
        <v>1</v>
      </c>
      <c r="Y119" s="4">
        <f t="shared" si="78"/>
        <v>31</v>
      </c>
      <c r="Z119" s="4">
        <f t="shared" si="79"/>
        <v>1</v>
      </c>
      <c r="AA119" s="4" t="str">
        <f t="shared" si="80"/>
        <v>80,96,144,240,400,800</v>
      </c>
      <c r="AB119" s="36">
        <f t="shared" si="81"/>
        <v>80</v>
      </c>
      <c r="AC119" s="36">
        <f t="shared" si="111"/>
        <v>80</v>
      </c>
      <c r="AD119" s="36">
        <f t="shared" si="113"/>
        <v>96</v>
      </c>
      <c r="AE119" s="36">
        <f t="shared" si="113"/>
        <v>144</v>
      </c>
      <c r="AF119" s="36">
        <f t="shared" si="113"/>
        <v>240</v>
      </c>
      <c r="AG119" s="36">
        <f t="shared" si="113"/>
        <v>400</v>
      </c>
      <c r="AH119" s="36">
        <f t="shared" si="112"/>
        <v>800</v>
      </c>
      <c r="AJ119" s="4" t="str">
        <f t="shared" si="82"/>
        <v>400,480,720,1200,2000,</v>
      </c>
      <c r="AK119" s="36">
        <f t="shared" si="83"/>
        <v>400</v>
      </c>
      <c r="AL119" s="36">
        <f t="shared" si="109"/>
        <v>400</v>
      </c>
      <c r="AM119" s="36">
        <f t="shared" si="109"/>
        <v>480</v>
      </c>
      <c r="AN119" s="36">
        <f t="shared" si="109"/>
        <v>720</v>
      </c>
      <c r="AO119" s="36">
        <f t="shared" si="109"/>
        <v>1200</v>
      </c>
      <c r="AP119" s="36">
        <f t="shared" si="109"/>
        <v>2000</v>
      </c>
      <c r="AR119" s="4" t="str">
        <f t="shared" si="84"/>
        <v>32000,38400,57600,96000,160000,</v>
      </c>
      <c r="AS119" s="36">
        <f t="shared" si="85"/>
        <v>32000</v>
      </c>
      <c r="AT119" s="36">
        <f t="shared" si="110"/>
        <v>32000</v>
      </c>
      <c r="AU119" s="36">
        <f t="shared" si="110"/>
        <v>38400</v>
      </c>
      <c r="AV119" s="36">
        <f t="shared" si="110"/>
        <v>57600</v>
      </c>
      <c r="AW119" s="36">
        <f t="shared" si="110"/>
        <v>96000</v>
      </c>
      <c r="AX119" s="36">
        <f t="shared" si="110"/>
        <v>160000</v>
      </c>
      <c r="AZ119" s="4">
        <f t="shared" si="86"/>
        <v>0</v>
      </c>
      <c r="BA119" s="4">
        <f t="shared" si="87"/>
        <v>12</v>
      </c>
      <c r="BB119" s="4">
        <f t="shared" si="88"/>
        <v>0</v>
      </c>
      <c r="BC119" s="35" t="str">
        <f t="shared" si="89"/>
        <v/>
      </c>
      <c r="BD119" s="35" t="str">
        <f t="shared" si="66"/>
        <v>26,</v>
      </c>
      <c r="BE119" s="35" t="str">
        <f t="shared" si="90"/>
        <v/>
      </c>
      <c r="BF119" s="36" t="str">
        <f t="shared" si="91"/>
        <v/>
      </c>
      <c r="BG119" s="36" t="str">
        <f>IF(BA119=0,"",IF(Z119=0,"3,4,5",VLOOKUP(Z119,{1,3;2,4;3,5},2,0))&amp;",")</f>
        <v>3,</v>
      </c>
      <c r="BH119" s="36" t="str">
        <f t="shared" si="92"/>
        <v/>
      </c>
      <c r="BI119" s="34" t="str">
        <f t="shared" si="93"/>
        <v>3</v>
      </c>
      <c r="BJ119" s="34" t="str">
        <f t="shared" si="96"/>
        <v>26</v>
      </c>
      <c r="BK119" s="34" t="str">
        <f t="shared" si="94"/>
        <v>0,9,13,21,42,84</v>
      </c>
      <c r="BL119" s="4">
        <f t="shared" si="67"/>
        <v>0</v>
      </c>
      <c r="BM119" s="4">
        <f t="shared" si="68"/>
        <v>9</v>
      </c>
      <c r="BN119" s="4">
        <f t="shared" si="69"/>
        <v>13</v>
      </c>
      <c r="BO119" s="4">
        <f t="shared" si="70"/>
        <v>21</v>
      </c>
      <c r="BP119" s="4">
        <f t="shared" si="71"/>
        <v>42</v>
      </c>
      <c r="BQ119" s="4">
        <f t="shared" si="72"/>
        <v>84</v>
      </c>
      <c r="BR119" s="34" t="str">
        <f t="shared" si="73"/>
        <v>1001,1002,1003,1004,1005,1006</v>
      </c>
      <c r="BS119" s="34" t="str">
        <f t="shared" si="95"/>
        <v>11001,11002,11003,11004,11005,11006</v>
      </c>
      <c r="BT119" s="4">
        <f>VLOOKUP(LOOKUP($Y119,$K$48:$K$55,$L$48:$L$55)&amp;BT$1&amp;$W119,装备额外附加!$M:$O,3,0)</f>
        <v>11001</v>
      </c>
      <c r="BU119" s="4">
        <f>VLOOKUP(LOOKUP($Y119,$K$48:$K$55,$L$48:$L$55)&amp;BU$1&amp;$W119,装备额外附加!$M:$O,3,0)</f>
        <v>11002</v>
      </c>
      <c r="BV119" s="4">
        <f>VLOOKUP(LOOKUP($Y119,$K$48:$K$55,$L$48:$L$55)&amp;BV$1&amp;$W119,装备额外附加!$M:$O,3,0)</f>
        <v>11003</v>
      </c>
      <c r="BW119" s="4">
        <f>VLOOKUP(LOOKUP($Y119,$K$48:$K$55,$L$48:$L$55)&amp;BW$1&amp;$W119,装备额外附加!$M:$O,3,0)</f>
        <v>11004</v>
      </c>
      <c r="BX119" s="4">
        <f>VLOOKUP(LOOKUP($Y119,$K$48:$K$55,$L$48:$L$55)&amp;BX$1&amp;$W119,装备额外附加!$M:$O,3,0)</f>
        <v>11005</v>
      </c>
      <c r="BY119" s="4">
        <f>VLOOKUP(LOOKUP($Y119,$K$48:$K$55,$L$48:$L$55)&amp;BY$1&amp;$W119,装备额外附加!$M:$O,3,0)</f>
        <v>11006</v>
      </c>
    </row>
    <row r="120" spans="18:77">
      <c r="R120" s="4" t="s">
        <v>427</v>
      </c>
      <c r="S120" s="4" t="str">
        <f t="shared" si="74"/>
        <v>104012</v>
      </c>
      <c r="T120" s="4" t="s">
        <v>428</v>
      </c>
      <c r="U120" s="36">
        <v>30</v>
      </c>
      <c r="V120" s="36" t="str">
        <f t="shared" si="75"/>
        <v>头盔</v>
      </c>
      <c r="W120" s="36" t="str">
        <f t="shared" si="76"/>
        <v>护甲</v>
      </c>
      <c r="X120" s="4">
        <f t="shared" si="77"/>
        <v>2</v>
      </c>
      <c r="Y120" s="4">
        <f t="shared" si="78"/>
        <v>37</v>
      </c>
      <c r="Z120" s="4">
        <f t="shared" si="79"/>
        <v>1</v>
      </c>
      <c r="AA120" s="4" t="str">
        <f t="shared" si="80"/>
        <v>72,86,129,216,360,720</v>
      </c>
      <c r="AB120" s="36">
        <f t="shared" si="81"/>
        <v>80</v>
      </c>
      <c r="AC120" s="36">
        <f t="shared" si="111"/>
        <v>72</v>
      </c>
      <c r="AD120" s="36">
        <f t="shared" si="113"/>
        <v>86</v>
      </c>
      <c r="AE120" s="36">
        <f t="shared" si="113"/>
        <v>129</v>
      </c>
      <c r="AF120" s="36">
        <f t="shared" si="113"/>
        <v>216</v>
      </c>
      <c r="AG120" s="36">
        <f t="shared" si="113"/>
        <v>360</v>
      </c>
      <c r="AH120" s="36">
        <f t="shared" si="112"/>
        <v>720</v>
      </c>
      <c r="AJ120" s="4" t="str">
        <f t="shared" si="82"/>
        <v>360,432,648,1080,1800,</v>
      </c>
      <c r="AK120" s="36">
        <f t="shared" si="83"/>
        <v>400</v>
      </c>
      <c r="AL120" s="36">
        <f t="shared" si="109"/>
        <v>360</v>
      </c>
      <c r="AM120" s="36">
        <f t="shared" si="109"/>
        <v>432</v>
      </c>
      <c r="AN120" s="36">
        <f t="shared" si="109"/>
        <v>648</v>
      </c>
      <c r="AO120" s="36">
        <f t="shared" si="109"/>
        <v>1080</v>
      </c>
      <c r="AP120" s="36">
        <f t="shared" si="109"/>
        <v>1800</v>
      </c>
      <c r="AR120" s="4" t="str">
        <f t="shared" si="84"/>
        <v>28800,34560,51840,86400,144000,</v>
      </c>
      <c r="AS120" s="36">
        <f t="shared" si="85"/>
        <v>32000</v>
      </c>
      <c r="AT120" s="36">
        <f t="shared" si="110"/>
        <v>28800</v>
      </c>
      <c r="AU120" s="36">
        <f t="shared" si="110"/>
        <v>34560</v>
      </c>
      <c r="AV120" s="36">
        <f t="shared" si="110"/>
        <v>51840</v>
      </c>
      <c r="AW120" s="36">
        <f t="shared" si="110"/>
        <v>86400</v>
      </c>
      <c r="AX120" s="36">
        <f t="shared" si="110"/>
        <v>144000</v>
      </c>
      <c r="AZ120" s="4">
        <f t="shared" si="86"/>
        <v>0</v>
      </c>
      <c r="BA120" s="4">
        <f t="shared" si="87"/>
        <v>6</v>
      </c>
      <c r="BB120" s="4">
        <f t="shared" si="88"/>
        <v>5</v>
      </c>
      <c r="BC120" s="35" t="str">
        <f t="shared" si="89"/>
        <v/>
      </c>
      <c r="BD120" s="35" t="str">
        <f t="shared" si="66"/>
        <v>13,</v>
      </c>
      <c r="BE120" s="35" t="str">
        <f t="shared" si="90"/>
        <v>5,</v>
      </c>
      <c r="BF120" s="36" t="str">
        <f t="shared" si="91"/>
        <v/>
      </c>
      <c r="BG120" s="36" t="str">
        <f>IF(BA120=0,"",IF(Z120=0,"3,4,5",VLOOKUP(Z120,{1,3;2,4;3,5},2,0))&amp;",")</f>
        <v>3,</v>
      </c>
      <c r="BH120" s="36" t="str">
        <f t="shared" si="92"/>
        <v>6,</v>
      </c>
      <c r="BI120" s="34" t="str">
        <f t="shared" si="93"/>
        <v>3,6</v>
      </c>
      <c r="BJ120" s="34" t="str">
        <f t="shared" si="96"/>
        <v>13,5</v>
      </c>
      <c r="BK120" s="34" t="str">
        <f t="shared" si="94"/>
        <v>0,6,9,14,28,56</v>
      </c>
      <c r="BL120" s="4">
        <f t="shared" si="67"/>
        <v>0</v>
      </c>
      <c r="BM120" s="4">
        <f t="shared" si="68"/>
        <v>6</v>
      </c>
      <c r="BN120" s="4">
        <f t="shared" si="69"/>
        <v>9</v>
      </c>
      <c r="BO120" s="4">
        <f t="shared" si="70"/>
        <v>14</v>
      </c>
      <c r="BP120" s="4">
        <f t="shared" si="71"/>
        <v>28</v>
      </c>
      <c r="BQ120" s="4">
        <f t="shared" si="72"/>
        <v>56</v>
      </c>
      <c r="BR120" s="34" t="str">
        <f t="shared" si="73"/>
        <v>2001,2002,2003,2004,2005,2006</v>
      </c>
      <c r="BS120" s="34" t="str">
        <f t="shared" si="95"/>
        <v>21001,21002,21003,21004,21005,21006</v>
      </c>
      <c r="BT120" s="4">
        <f>VLOOKUP(LOOKUP($Y120,$K$48:$K$55,$L$48:$L$55)&amp;BT$1&amp;$W120,装备额外附加!$M:$O,3,0)</f>
        <v>21001</v>
      </c>
      <c r="BU120" s="4">
        <f>VLOOKUP(LOOKUP($Y120,$K$48:$K$55,$L$48:$L$55)&amp;BU$1&amp;$W120,装备额外附加!$M:$O,3,0)</f>
        <v>21002</v>
      </c>
      <c r="BV120" s="4">
        <f>VLOOKUP(LOOKUP($Y120,$K$48:$K$55,$L$48:$L$55)&amp;BV$1&amp;$W120,装备额外附加!$M:$O,3,0)</f>
        <v>21003</v>
      </c>
      <c r="BW120" s="4">
        <f>VLOOKUP(LOOKUP($Y120,$K$48:$K$55,$L$48:$L$55)&amp;BW$1&amp;$W120,装备额外附加!$M:$O,3,0)</f>
        <v>21004</v>
      </c>
      <c r="BX120" s="4">
        <f>VLOOKUP(LOOKUP($Y120,$K$48:$K$55,$L$48:$L$55)&amp;BX$1&amp;$W120,装备额外附加!$M:$O,3,0)</f>
        <v>21005</v>
      </c>
      <c r="BY120" s="4">
        <f>VLOOKUP(LOOKUP($Y120,$K$48:$K$55,$L$48:$L$55)&amp;BY$1&amp;$W120,装备额外附加!$M:$O,3,0)</f>
        <v>21006</v>
      </c>
    </row>
    <row r="121" spans="18:77">
      <c r="R121" s="4" t="s">
        <v>429</v>
      </c>
      <c r="S121" s="4" t="str">
        <f t="shared" si="74"/>
        <v>104013</v>
      </c>
      <c r="T121" s="4" t="s">
        <v>430</v>
      </c>
      <c r="U121" s="36">
        <v>30</v>
      </c>
      <c r="V121" s="36" t="str">
        <f t="shared" si="75"/>
        <v>衣服</v>
      </c>
      <c r="W121" s="36" t="str">
        <f t="shared" si="76"/>
        <v>护甲</v>
      </c>
      <c r="X121" s="4">
        <f t="shared" si="77"/>
        <v>3</v>
      </c>
      <c r="Y121" s="4">
        <f t="shared" si="78"/>
        <v>35</v>
      </c>
      <c r="Z121" s="4">
        <f t="shared" si="79"/>
        <v>1</v>
      </c>
      <c r="AA121" s="4" t="str">
        <f t="shared" si="80"/>
        <v>72,86,129,216,360,720</v>
      </c>
      <c r="AB121" s="36">
        <f t="shared" si="81"/>
        <v>80</v>
      </c>
      <c r="AC121" s="36">
        <f t="shared" si="111"/>
        <v>72</v>
      </c>
      <c r="AD121" s="36">
        <f t="shared" si="113"/>
        <v>86</v>
      </c>
      <c r="AE121" s="36">
        <f t="shared" si="113"/>
        <v>129</v>
      </c>
      <c r="AF121" s="36">
        <f t="shared" si="113"/>
        <v>216</v>
      </c>
      <c r="AG121" s="36">
        <f t="shared" si="113"/>
        <v>360</v>
      </c>
      <c r="AH121" s="36">
        <f t="shared" si="112"/>
        <v>720</v>
      </c>
      <c r="AJ121" s="4" t="str">
        <f t="shared" si="82"/>
        <v>360,432,648,1080,1800,</v>
      </c>
      <c r="AK121" s="36">
        <f t="shared" si="83"/>
        <v>400</v>
      </c>
      <c r="AL121" s="36">
        <f t="shared" si="109"/>
        <v>360</v>
      </c>
      <c r="AM121" s="36">
        <f t="shared" si="109"/>
        <v>432</v>
      </c>
      <c r="AN121" s="36">
        <f t="shared" si="109"/>
        <v>648</v>
      </c>
      <c r="AO121" s="36">
        <f t="shared" si="109"/>
        <v>1080</v>
      </c>
      <c r="AP121" s="36">
        <f t="shared" si="109"/>
        <v>1800</v>
      </c>
      <c r="AR121" s="4" t="str">
        <f t="shared" si="84"/>
        <v>28800,34560,51840,86400,144000,</v>
      </c>
      <c r="AS121" s="36">
        <f t="shared" si="85"/>
        <v>32000</v>
      </c>
      <c r="AT121" s="36">
        <f t="shared" si="110"/>
        <v>28800</v>
      </c>
      <c r="AU121" s="36">
        <f t="shared" si="110"/>
        <v>34560</v>
      </c>
      <c r="AV121" s="36">
        <f t="shared" si="110"/>
        <v>51840</v>
      </c>
      <c r="AW121" s="36">
        <f t="shared" si="110"/>
        <v>86400</v>
      </c>
      <c r="AX121" s="36">
        <f t="shared" si="110"/>
        <v>144000</v>
      </c>
      <c r="AZ121" s="4">
        <f t="shared" si="86"/>
        <v>94</v>
      </c>
      <c r="BA121" s="4">
        <f t="shared" si="87"/>
        <v>0</v>
      </c>
      <c r="BB121" s="4">
        <f t="shared" si="88"/>
        <v>5</v>
      </c>
      <c r="BC121" s="35" t="str">
        <f t="shared" si="89"/>
        <v>94,</v>
      </c>
      <c r="BD121" s="35" t="str">
        <f t="shared" si="66"/>
        <v/>
      </c>
      <c r="BE121" s="35" t="str">
        <f t="shared" si="90"/>
        <v>5,</v>
      </c>
      <c r="BF121" s="36" t="str">
        <f t="shared" si="91"/>
        <v>1,</v>
      </c>
      <c r="BG121" s="36" t="str">
        <f>IF(BA121=0,"",IF(Z121=0,"3,4,5",VLOOKUP(Z121,{1,3;2,4;3,5},2,0))&amp;",")</f>
        <v/>
      </c>
      <c r="BH121" s="36" t="str">
        <f t="shared" si="92"/>
        <v>6,</v>
      </c>
      <c r="BI121" s="34" t="str">
        <f t="shared" si="93"/>
        <v>1,6</v>
      </c>
      <c r="BJ121" s="34" t="str">
        <f t="shared" si="96"/>
        <v>94,5</v>
      </c>
      <c r="BK121" s="34" t="str">
        <f t="shared" si="94"/>
        <v>0,6,9,14,28,56</v>
      </c>
      <c r="BL121" s="4">
        <f t="shared" si="67"/>
        <v>0</v>
      </c>
      <c r="BM121" s="4">
        <f t="shared" si="68"/>
        <v>6</v>
      </c>
      <c r="BN121" s="4">
        <f t="shared" si="69"/>
        <v>9</v>
      </c>
      <c r="BO121" s="4">
        <f t="shared" si="70"/>
        <v>14</v>
      </c>
      <c r="BP121" s="4">
        <f t="shared" si="71"/>
        <v>28</v>
      </c>
      <c r="BQ121" s="4">
        <f t="shared" si="72"/>
        <v>56</v>
      </c>
      <c r="BR121" s="34" t="str">
        <f t="shared" si="73"/>
        <v>2001,2002,2003,2004,2005,2006</v>
      </c>
      <c r="BS121" s="34" t="str">
        <f t="shared" si="95"/>
        <v>21001,21002,21003,21004,21005,21006</v>
      </c>
      <c r="BT121" s="4">
        <f>VLOOKUP(LOOKUP($Y121,$K$48:$K$55,$L$48:$L$55)&amp;BT$1&amp;$W121,装备额外附加!$M:$O,3,0)</f>
        <v>21001</v>
      </c>
      <c r="BU121" s="4">
        <f>VLOOKUP(LOOKUP($Y121,$K$48:$K$55,$L$48:$L$55)&amp;BU$1&amp;$W121,装备额外附加!$M:$O,3,0)</f>
        <v>21002</v>
      </c>
      <c r="BV121" s="4">
        <f>VLOOKUP(LOOKUP($Y121,$K$48:$K$55,$L$48:$L$55)&amp;BV$1&amp;$W121,装备额外附加!$M:$O,3,0)</f>
        <v>21003</v>
      </c>
      <c r="BW121" s="4">
        <f>VLOOKUP(LOOKUP($Y121,$K$48:$K$55,$L$48:$L$55)&amp;BW$1&amp;$W121,装备额外附加!$M:$O,3,0)</f>
        <v>21004</v>
      </c>
      <c r="BX121" s="4">
        <f>VLOOKUP(LOOKUP($Y121,$K$48:$K$55,$L$48:$L$55)&amp;BX$1&amp;$W121,装备额外附加!$M:$O,3,0)</f>
        <v>21005</v>
      </c>
      <c r="BY121" s="4">
        <f>VLOOKUP(LOOKUP($Y121,$K$48:$K$55,$L$48:$L$55)&amp;BY$1&amp;$W121,装备额外附加!$M:$O,3,0)</f>
        <v>21006</v>
      </c>
    </row>
    <row r="122" spans="18:77">
      <c r="R122" s="4" t="s">
        <v>431</v>
      </c>
      <c r="S122" s="4" t="str">
        <f t="shared" si="74"/>
        <v>104014</v>
      </c>
      <c r="T122" s="4" t="s">
        <v>432</v>
      </c>
      <c r="U122" s="36">
        <v>30</v>
      </c>
      <c r="V122" s="36" t="str">
        <f t="shared" si="75"/>
        <v>腰带</v>
      </c>
      <c r="W122" s="36" t="str">
        <f t="shared" si="76"/>
        <v>护甲</v>
      </c>
      <c r="X122" s="4">
        <f t="shared" si="77"/>
        <v>4</v>
      </c>
      <c r="Y122" s="4">
        <f t="shared" si="78"/>
        <v>38</v>
      </c>
      <c r="Z122" s="4">
        <f t="shared" si="79"/>
        <v>1</v>
      </c>
      <c r="AA122" s="4" t="str">
        <f t="shared" si="80"/>
        <v>64,76,115,192,320,640</v>
      </c>
      <c r="AB122" s="36">
        <f t="shared" si="81"/>
        <v>80</v>
      </c>
      <c r="AC122" s="36">
        <f t="shared" si="111"/>
        <v>64</v>
      </c>
      <c r="AD122" s="36">
        <f t="shared" si="113"/>
        <v>76</v>
      </c>
      <c r="AE122" s="36">
        <f t="shared" si="113"/>
        <v>115</v>
      </c>
      <c r="AF122" s="36">
        <f t="shared" si="113"/>
        <v>192</v>
      </c>
      <c r="AG122" s="36">
        <f t="shared" si="113"/>
        <v>320</v>
      </c>
      <c r="AH122" s="36">
        <f t="shared" si="112"/>
        <v>640</v>
      </c>
      <c r="AJ122" s="4" t="str">
        <f t="shared" si="82"/>
        <v>320,384,576,960,1600,</v>
      </c>
      <c r="AK122" s="36">
        <f t="shared" si="83"/>
        <v>400</v>
      </c>
      <c r="AL122" s="36">
        <f t="shared" si="109"/>
        <v>320</v>
      </c>
      <c r="AM122" s="36">
        <f t="shared" si="109"/>
        <v>384</v>
      </c>
      <c r="AN122" s="36">
        <f t="shared" si="109"/>
        <v>576</v>
      </c>
      <c r="AO122" s="36">
        <f t="shared" si="109"/>
        <v>960</v>
      </c>
      <c r="AP122" s="36">
        <f t="shared" si="109"/>
        <v>1600</v>
      </c>
      <c r="AR122" s="4" t="str">
        <f t="shared" si="84"/>
        <v>25600,30720,46080,76800,128000,</v>
      </c>
      <c r="AS122" s="36">
        <f t="shared" si="85"/>
        <v>32000</v>
      </c>
      <c r="AT122" s="36">
        <f t="shared" si="110"/>
        <v>25600</v>
      </c>
      <c r="AU122" s="36">
        <f t="shared" si="110"/>
        <v>30720</v>
      </c>
      <c r="AV122" s="36">
        <f t="shared" si="110"/>
        <v>46080</v>
      </c>
      <c r="AW122" s="36">
        <f t="shared" si="110"/>
        <v>76800</v>
      </c>
      <c r="AX122" s="36">
        <f t="shared" si="110"/>
        <v>128000</v>
      </c>
      <c r="AZ122" s="4">
        <f t="shared" si="86"/>
        <v>47</v>
      </c>
      <c r="BA122" s="4">
        <f t="shared" si="87"/>
        <v>0</v>
      </c>
      <c r="BB122" s="4">
        <f t="shared" si="88"/>
        <v>4</v>
      </c>
      <c r="BC122" s="35" t="str">
        <f t="shared" si="89"/>
        <v>47,</v>
      </c>
      <c r="BD122" s="35" t="str">
        <f t="shared" si="66"/>
        <v/>
      </c>
      <c r="BE122" s="35" t="str">
        <f t="shared" si="90"/>
        <v>4,</v>
      </c>
      <c r="BF122" s="36" t="str">
        <f t="shared" si="91"/>
        <v>1,</v>
      </c>
      <c r="BG122" s="36" t="str">
        <f>IF(BA122=0,"",IF(Z122=0,"3,4,5",VLOOKUP(Z122,{1,3;2,4;3,5},2,0))&amp;",")</f>
        <v/>
      </c>
      <c r="BH122" s="36" t="str">
        <f t="shared" si="92"/>
        <v>6,</v>
      </c>
      <c r="BI122" s="34" t="str">
        <f t="shared" si="93"/>
        <v>1,6</v>
      </c>
      <c r="BJ122" s="34" t="str">
        <f t="shared" si="96"/>
        <v>47,4</v>
      </c>
      <c r="BK122" s="34" t="str">
        <f t="shared" si="94"/>
        <v>0,6,9,14,28,56</v>
      </c>
      <c r="BL122" s="4">
        <f t="shared" si="67"/>
        <v>0</v>
      </c>
      <c r="BM122" s="4">
        <f t="shared" si="68"/>
        <v>6</v>
      </c>
      <c r="BN122" s="4">
        <f t="shared" si="69"/>
        <v>9</v>
      </c>
      <c r="BO122" s="4">
        <f t="shared" si="70"/>
        <v>14</v>
      </c>
      <c r="BP122" s="4">
        <f t="shared" si="71"/>
        <v>28</v>
      </c>
      <c r="BQ122" s="4">
        <f t="shared" si="72"/>
        <v>56</v>
      </c>
      <c r="BR122" s="34" t="str">
        <f t="shared" si="73"/>
        <v>2001,2002,2003,2004,2005,2006</v>
      </c>
      <c r="BS122" s="34" t="str">
        <f t="shared" si="95"/>
        <v>21001,21002,21003,21004,21005,21006</v>
      </c>
      <c r="BT122" s="4">
        <f>VLOOKUP(LOOKUP($Y122,$K$48:$K$55,$L$48:$L$55)&amp;BT$1&amp;$W122,装备额外附加!$M:$O,3,0)</f>
        <v>21001</v>
      </c>
      <c r="BU122" s="4">
        <f>VLOOKUP(LOOKUP($Y122,$K$48:$K$55,$L$48:$L$55)&amp;BU$1&amp;$W122,装备额外附加!$M:$O,3,0)</f>
        <v>21002</v>
      </c>
      <c r="BV122" s="4">
        <f>VLOOKUP(LOOKUP($Y122,$K$48:$K$55,$L$48:$L$55)&amp;BV$1&amp;$W122,装备额外附加!$M:$O,3,0)</f>
        <v>21003</v>
      </c>
      <c r="BW122" s="4">
        <f>VLOOKUP(LOOKUP($Y122,$K$48:$K$55,$L$48:$L$55)&amp;BW$1&amp;$W122,装备额外附加!$M:$O,3,0)</f>
        <v>21004</v>
      </c>
      <c r="BX122" s="4">
        <f>VLOOKUP(LOOKUP($Y122,$K$48:$K$55,$L$48:$L$55)&amp;BX$1&amp;$W122,装备额外附加!$M:$O,3,0)</f>
        <v>21005</v>
      </c>
      <c r="BY122" s="4">
        <f>VLOOKUP(LOOKUP($Y122,$K$48:$K$55,$L$48:$L$55)&amp;BY$1&amp;$W122,装备额外附加!$M:$O,3,0)</f>
        <v>21006</v>
      </c>
    </row>
    <row r="123" spans="18:77">
      <c r="R123" s="4" t="s">
        <v>433</v>
      </c>
      <c r="S123" s="4" t="str">
        <f t="shared" si="74"/>
        <v>104015</v>
      </c>
      <c r="T123" s="4" t="s">
        <v>434</v>
      </c>
      <c r="U123" s="36">
        <v>30</v>
      </c>
      <c r="V123" s="36" t="str">
        <f t="shared" si="75"/>
        <v>鞋子</v>
      </c>
      <c r="W123" s="36" t="str">
        <f t="shared" si="76"/>
        <v>护甲</v>
      </c>
      <c r="X123" s="4">
        <f t="shared" si="77"/>
        <v>5</v>
      </c>
      <c r="Y123" s="4">
        <f t="shared" si="78"/>
        <v>32</v>
      </c>
      <c r="Z123" s="4">
        <f t="shared" si="79"/>
        <v>1</v>
      </c>
      <c r="AA123" s="4" t="str">
        <f t="shared" si="80"/>
        <v>64,76,115,192,320,640</v>
      </c>
      <c r="AB123" s="36">
        <f t="shared" si="81"/>
        <v>80</v>
      </c>
      <c r="AC123" s="36">
        <f t="shared" si="111"/>
        <v>64</v>
      </c>
      <c r="AD123" s="36">
        <f t="shared" si="113"/>
        <v>76</v>
      </c>
      <c r="AE123" s="36">
        <f t="shared" si="113"/>
        <v>115</v>
      </c>
      <c r="AF123" s="36">
        <f t="shared" si="113"/>
        <v>192</v>
      </c>
      <c r="AG123" s="36">
        <f t="shared" si="113"/>
        <v>320</v>
      </c>
      <c r="AH123" s="36">
        <f t="shared" si="112"/>
        <v>640</v>
      </c>
      <c r="AJ123" s="4" t="str">
        <f t="shared" si="82"/>
        <v>320,384,576,960,1600,</v>
      </c>
      <c r="AK123" s="36">
        <f t="shared" si="83"/>
        <v>400</v>
      </c>
      <c r="AL123" s="36">
        <f t="shared" si="109"/>
        <v>320</v>
      </c>
      <c r="AM123" s="36">
        <f t="shared" si="109"/>
        <v>384</v>
      </c>
      <c r="AN123" s="36">
        <f t="shared" si="109"/>
        <v>576</v>
      </c>
      <c r="AO123" s="36">
        <f t="shared" si="109"/>
        <v>960</v>
      </c>
      <c r="AP123" s="36">
        <f t="shared" si="109"/>
        <v>1600</v>
      </c>
      <c r="AR123" s="4" t="str">
        <f t="shared" si="84"/>
        <v>25600,30720,46080,76800,128000,</v>
      </c>
      <c r="AS123" s="36">
        <f t="shared" si="85"/>
        <v>32000</v>
      </c>
      <c r="AT123" s="36">
        <f t="shared" si="110"/>
        <v>25600</v>
      </c>
      <c r="AU123" s="36">
        <f t="shared" si="110"/>
        <v>30720</v>
      </c>
      <c r="AV123" s="36">
        <f t="shared" si="110"/>
        <v>46080</v>
      </c>
      <c r="AW123" s="36">
        <f t="shared" si="110"/>
        <v>76800</v>
      </c>
      <c r="AX123" s="36">
        <f t="shared" si="110"/>
        <v>128000</v>
      </c>
      <c r="AZ123" s="4">
        <f t="shared" si="86"/>
        <v>47</v>
      </c>
      <c r="BA123" s="4">
        <f t="shared" si="87"/>
        <v>0</v>
      </c>
      <c r="BB123" s="4">
        <f t="shared" si="88"/>
        <v>4</v>
      </c>
      <c r="BC123" s="35" t="str">
        <f t="shared" si="89"/>
        <v>47,</v>
      </c>
      <c r="BD123" s="35" t="str">
        <f t="shared" si="66"/>
        <v/>
      </c>
      <c r="BE123" s="35" t="str">
        <f t="shared" si="90"/>
        <v>4,</v>
      </c>
      <c r="BF123" s="36" t="str">
        <f t="shared" si="91"/>
        <v>1,</v>
      </c>
      <c r="BG123" s="36" t="str">
        <f>IF(BA123=0,"",IF(Z123=0,"3,4,5",VLOOKUP(Z123,{1,3;2,4;3,5},2,0))&amp;",")</f>
        <v/>
      </c>
      <c r="BH123" s="36" t="str">
        <f t="shared" si="92"/>
        <v>6,</v>
      </c>
      <c r="BI123" s="34" t="str">
        <f t="shared" si="93"/>
        <v>1,6</v>
      </c>
      <c r="BJ123" s="34" t="str">
        <f t="shared" si="96"/>
        <v>47,4</v>
      </c>
      <c r="BK123" s="34" t="str">
        <f t="shared" si="94"/>
        <v>0,6,9,14,28,56</v>
      </c>
      <c r="BL123" s="4">
        <f t="shared" si="67"/>
        <v>0</v>
      </c>
      <c r="BM123" s="4">
        <f t="shared" si="68"/>
        <v>6</v>
      </c>
      <c r="BN123" s="4">
        <f t="shared" si="69"/>
        <v>9</v>
      </c>
      <c r="BO123" s="4">
        <f t="shared" si="70"/>
        <v>14</v>
      </c>
      <c r="BP123" s="4">
        <f t="shared" si="71"/>
        <v>28</v>
      </c>
      <c r="BQ123" s="4">
        <f t="shared" si="72"/>
        <v>56</v>
      </c>
      <c r="BR123" s="34" t="str">
        <f t="shared" si="73"/>
        <v>2001,2002,2003,2004,2005,2006</v>
      </c>
      <c r="BS123" s="34" t="str">
        <f t="shared" si="95"/>
        <v>21001,21002,21003,21004,21005,21006</v>
      </c>
      <c r="BT123" s="4">
        <f>VLOOKUP(LOOKUP($Y123,$K$48:$K$55,$L$48:$L$55)&amp;BT$1&amp;$W123,装备额外附加!$M:$O,3,0)</f>
        <v>21001</v>
      </c>
      <c r="BU123" s="4">
        <f>VLOOKUP(LOOKUP($Y123,$K$48:$K$55,$L$48:$L$55)&amp;BU$1&amp;$W123,装备额外附加!$M:$O,3,0)</f>
        <v>21002</v>
      </c>
      <c r="BV123" s="4">
        <f>VLOOKUP(LOOKUP($Y123,$K$48:$K$55,$L$48:$L$55)&amp;BV$1&amp;$W123,装备额外附加!$M:$O,3,0)</f>
        <v>21003</v>
      </c>
      <c r="BW123" s="4">
        <f>VLOOKUP(LOOKUP($Y123,$K$48:$K$55,$L$48:$L$55)&amp;BW$1&amp;$W123,装备额外附加!$M:$O,3,0)</f>
        <v>21004</v>
      </c>
      <c r="BX123" s="4">
        <f>VLOOKUP(LOOKUP($Y123,$K$48:$K$55,$L$48:$L$55)&amp;BX$1&amp;$W123,装备额外附加!$M:$O,3,0)</f>
        <v>21005</v>
      </c>
      <c r="BY123" s="4">
        <f>VLOOKUP(LOOKUP($Y123,$K$48:$K$55,$L$48:$L$55)&amp;BY$1&amp;$W123,装备额外附加!$M:$O,3,0)</f>
        <v>21006</v>
      </c>
    </row>
    <row r="124" spans="18:77">
      <c r="R124" s="4" t="s">
        <v>435</v>
      </c>
      <c r="S124" s="4" t="str">
        <f t="shared" si="74"/>
        <v>105011</v>
      </c>
      <c r="T124" s="4" t="s">
        <v>436</v>
      </c>
      <c r="U124" s="36">
        <v>40</v>
      </c>
      <c r="V124" s="36" t="str">
        <f t="shared" si="75"/>
        <v>武器</v>
      </c>
      <c r="W124" s="36" t="str">
        <f t="shared" si="76"/>
        <v>武器</v>
      </c>
      <c r="X124" s="4">
        <f t="shared" si="77"/>
        <v>1</v>
      </c>
      <c r="Y124" s="4">
        <f t="shared" si="78"/>
        <v>41</v>
      </c>
      <c r="Z124" s="4">
        <f t="shared" si="79"/>
        <v>1</v>
      </c>
      <c r="AA124" s="4" t="str">
        <f t="shared" si="80"/>
        <v>100,120,180,300,500,1000</v>
      </c>
      <c r="AB124" s="36">
        <f t="shared" si="81"/>
        <v>100</v>
      </c>
      <c r="AC124" s="36">
        <f t="shared" si="111"/>
        <v>100</v>
      </c>
      <c r="AD124" s="36">
        <f t="shared" si="113"/>
        <v>120</v>
      </c>
      <c r="AE124" s="36">
        <f t="shared" si="113"/>
        <v>180</v>
      </c>
      <c r="AF124" s="36">
        <f t="shared" si="113"/>
        <v>300</v>
      </c>
      <c r="AG124" s="36">
        <f t="shared" si="113"/>
        <v>500</v>
      </c>
      <c r="AH124" s="36">
        <f t="shared" si="112"/>
        <v>1000</v>
      </c>
      <c r="AJ124" s="4" t="str">
        <f t="shared" si="82"/>
        <v>500,600,900,1500,2500,</v>
      </c>
      <c r="AK124" s="36">
        <f t="shared" si="83"/>
        <v>500</v>
      </c>
      <c r="AL124" s="36">
        <f t="shared" si="109"/>
        <v>500</v>
      </c>
      <c r="AM124" s="36">
        <f t="shared" si="109"/>
        <v>600</v>
      </c>
      <c r="AN124" s="36">
        <f t="shared" si="109"/>
        <v>900</v>
      </c>
      <c r="AO124" s="36">
        <f t="shared" si="109"/>
        <v>1500</v>
      </c>
      <c r="AP124" s="36">
        <f t="shared" si="109"/>
        <v>2500</v>
      </c>
      <c r="AR124" s="4" t="str">
        <f t="shared" si="84"/>
        <v>40000,48000,72000,120000,200000,</v>
      </c>
      <c r="AS124" s="36">
        <f t="shared" si="85"/>
        <v>40000</v>
      </c>
      <c r="AT124" s="36">
        <f t="shared" si="110"/>
        <v>40000</v>
      </c>
      <c r="AU124" s="36">
        <f t="shared" si="110"/>
        <v>48000</v>
      </c>
      <c r="AV124" s="36">
        <f t="shared" si="110"/>
        <v>72000</v>
      </c>
      <c r="AW124" s="36">
        <f t="shared" si="110"/>
        <v>120000</v>
      </c>
      <c r="AX124" s="36">
        <f t="shared" si="110"/>
        <v>200000</v>
      </c>
      <c r="AZ124" s="4">
        <f t="shared" si="86"/>
        <v>0</v>
      </c>
      <c r="BA124" s="4">
        <f t="shared" si="87"/>
        <v>17</v>
      </c>
      <c r="BB124" s="4">
        <f t="shared" si="88"/>
        <v>0</v>
      </c>
      <c r="BC124" s="35" t="str">
        <f t="shared" si="89"/>
        <v/>
      </c>
      <c r="BD124" s="35" t="str">
        <f t="shared" si="66"/>
        <v>37,</v>
      </c>
      <c r="BE124" s="35" t="str">
        <f t="shared" si="90"/>
        <v/>
      </c>
      <c r="BF124" s="36" t="str">
        <f t="shared" si="91"/>
        <v/>
      </c>
      <c r="BG124" s="36" t="str">
        <f>IF(BA124=0,"",IF(Z124=0,"3,4,5",VLOOKUP(Z124,{1,3;2,4;3,5},2,0))&amp;",")</f>
        <v>3,</v>
      </c>
      <c r="BH124" s="36" t="str">
        <f t="shared" si="92"/>
        <v/>
      </c>
      <c r="BI124" s="34" t="str">
        <f t="shared" si="93"/>
        <v>3</v>
      </c>
      <c r="BJ124" s="34" t="str">
        <f t="shared" si="96"/>
        <v>37</v>
      </c>
      <c r="BK124" s="34" t="str">
        <f t="shared" si="94"/>
        <v>0,12,18,28,57,115</v>
      </c>
      <c r="BL124" s="4">
        <f t="shared" si="67"/>
        <v>0</v>
      </c>
      <c r="BM124" s="4">
        <f t="shared" si="68"/>
        <v>12</v>
      </c>
      <c r="BN124" s="4">
        <f t="shared" si="69"/>
        <v>18</v>
      </c>
      <c r="BO124" s="4">
        <f t="shared" si="70"/>
        <v>28</v>
      </c>
      <c r="BP124" s="4">
        <f t="shared" si="71"/>
        <v>57</v>
      </c>
      <c r="BQ124" s="4">
        <f t="shared" si="72"/>
        <v>115</v>
      </c>
      <c r="BR124" s="34" t="str">
        <f t="shared" si="73"/>
        <v>1001,1002,1003,1004,1005,1006</v>
      </c>
      <c r="BS124" s="34" t="str">
        <f t="shared" si="95"/>
        <v>12001,12002,12003,12004,12005,12006</v>
      </c>
      <c r="BT124" s="4">
        <f>VLOOKUP(LOOKUP($Y124,$K$48:$K$55,$L$48:$L$55)&amp;BT$1&amp;$W124,装备额外附加!$M:$O,3,0)</f>
        <v>12001</v>
      </c>
      <c r="BU124" s="4">
        <f>VLOOKUP(LOOKUP($Y124,$K$48:$K$55,$L$48:$L$55)&amp;BU$1&amp;$W124,装备额外附加!$M:$O,3,0)</f>
        <v>12002</v>
      </c>
      <c r="BV124" s="4">
        <f>VLOOKUP(LOOKUP($Y124,$K$48:$K$55,$L$48:$L$55)&amp;BV$1&amp;$W124,装备额外附加!$M:$O,3,0)</f>
        <v>12003</v>
      </c>
      <c r="BW124" s="4">
        <f>VLOOKUP(LOOKUP($Y124,$K$48:$K$55,$L$48:$L$55)&amp;BW$1&amp;$W124,装备额外附加!$M:$O,3,0)</f>
        <v>12004</v>
      </c>
      <c r="BX124" s="4">
        <f>VLOOKUP(LOOKUP($Y124,$K$48:$K$55,$L$48:$L$55)&amp;BX$1&amp;$W124,装备额外附加!$M:$O,3,0)</f>
        <v>12005</v>
      </c>
      <c r="BY124" s="4">
        <f>VLOOKUP(LOOKUP($Y124,$K$48:$K$55,$L$48:$L$55)&amp;BY$1&amp;$W124,装备额外附加!$M:$O,3,0)</f>
        <v>12006</v>
      </c>
    </row>
    <row r="125" spans="18:77">
      <c r="R125" s="4" t="s">
        <v>437</v>
      </c>
      <c r="S125" s="4" t="str">
        <f t="shared" si="74"/>
        <v>105012</v>
      </c>
      <c r="T125" s="4" t="s">
        <v>438</v>
      </c>
      <c r="U125" s="36">
        <v>40</v>
      </c>
      <c r="V125" s="36" t="str">
        <f t="shared" si="75"/>
        <v>头盔</v>
      </c>
      <c r="W125" s="36" t="str">
        <f t="shared" si="76"/>
        <v>护甲</v>
      </c>
      <c r="X125" s="4">
        <f t="shared" si="77"/>
        <v>2</v>
      </c>
      <c r="Y125" s="4">
        <f t="shared" si="78"/>
        <v>47</v>
      </c>
      <c r="Z125" s="4">
        <f t="shared" si="79"/>
        <v>1</v>
      </c>
      <c r="AA125" s="4" t="str">
        <f t="shared" si="80"/>
        <v>90,108,162,270,450,900</v>
      </c>
      <c r="AB125" s="36">
        <f t="shared" si="81"/>
        <v>100</v>
      </c>
      <c r="AC125" s="36">
        <f t="shared" si="111"/>
        <v>90</v>
      </c>
      <c r="AD125" s="36">
        <f t="shared" si="113"/>
        <v>108</v>
      </c>
      <c r="AE125" s="36">
        <f t="shared" si="113"/>
        <v>162</v>
      </c>
      <c r="AF125" s="36">
        <f t="shared" si="113"/>
        <v>270</v>
      </c>
      <c r="AG125" s="36">
        <f t="shared" si="113"/>
        <v>450</v>
      </c>
      <c r="AH125" s="36">
        <f t="shared" si="112"/>
        <v>900</v>
      </c>
      <c r="AJ125" s="4" t="str">
        <f t="shared" si="82"/>
        <v>450,540,810,1350,2250,</v>
      </c>
      <c r="AK125" s="36">
        <f t="shared" si="83"/>
        <v>500</v>
      </c>
      <c r="AL125" s="36">
        <f t="shared" si="109"/>
        <v>450</v>
      </c>
      <c r="AM125" s="36">
        <f t="shared" si="109"/>
        <v>540</v>
      </c>
      <c r="AN125" s="36">
        <f t="shared" si="109"/>
        <v>810</v>
      </c>
      <c r="AO125" s="36">
        <f t="shared" si="109"/>
        <v>1350</v>
      </c>
      <c r="AP125" s="36">
        <f t="shared" si="109"/>
        <v>2250</v>
      </c>
      <c r="AR125" s="4" t="str">
        <f t="shared" si="84"/>
        <v>36000,43200,64800,108000,180000,</v>
      </c>
      <c r="AS125" s="36">
        <f t="shared" si="85"/>
        <v>40000</v>
      </c>
      <c r="AT125" s="36">
        <f t="shared" si="110"/>
        <v>36000</v>
      </c>
      <c r="AU125" s="36">
        <f t="shared" si="110"/>
        <v>43200</v>
      </c>
      <c r="AV125" s="36">
        <f t="shared" si="110"/>
        <v>64800</v>
      </c>
      <c r="AW125" s="36">
        <f t="shared" si="110"/>
        <v>108000</v>
      </c>
      <c r="AX125" s="36">
        <f t="shared" si="110"/>
        <v>180000</v>
      </c>
      <c r="AZ125" s="4">
        <f t="shared" si="86"/>
        <v>0</v>
      </c>
      <c r="BA125" s="4">
        <f t="shared" si="87"/>
        <v>8</v>
      </c>
      <c r="BB125" s="4">
        <f t="shared" si="88"/>
        <v>7</v>
      </c>
      <c r="BC125" s="35" t="str">
        <f t="shared" si="89"/>
        <v/>
      </c>
      <c r="BD125" s="35" t="str">
        <f t="shared" si="66"/>
        <v>17,</v>
      </c>
      <c r="BE125" s="35" t="str">
        <f t="shared" si="90"/>
        <v>7,</v>
      </c>
      <c r="BF125" s="36" t="str">
        <f t="shared" si="91"/>
        <v/>
      </c>
      <c r="BG125" s="36" t="str">
        <f>IF(BA125=0,"",IF(Z125=0,"3,4,5",VLOOKUP(Z125,{1,3;2,4;3,5},2,0))&amp;",")</f>
        <v>3,</v>
      </c>
      <c r="BH125" s="36" t="str">
        <f t="shared" si="92"/>
        <v>6,</v>
      </c>
      <c r="BI125" s="34" t="str">
        <f t="shared" si="93"/>
        <v>3,6</v>
      </c>
      <c r="BJ125" s="34" t="str">
        <f t="shared" si="96"/>
        <v>17,7</v>
      </c>
      <c r="BK125" s="34" t="str">
        <f t="shared" si="94"/>
        <v>0,8,12,19,38,77</v>
      </c>
      <c r="BL125" s="4">
        <f t="shared" si="67"/>
        <v>0</v>
      </c>
      <c r="BM125" s="4">
        <f t="shared" si="68"/>
        <v>8</v>
      </c>
      <c r="BN125" s="4">
        <f t="shared" si="69"/>
        <v>12</v>
      </c>
      <c r="BO125" s="4">
        <f t="shared" si="70"/>
        <v>19</v>
      </c>
      <c r="BP125" s="4">
        <f t="shared" si="71"/>
        <v>38</v>
      </c>
      <c r="BQ125" s="4">
        <f t="shared" si="72"/>
        <v>77</v>
      </c>
      <c r="BR125" s="34" t="str">
        <f t="shared" si="73"/>
        <v>2001,2002,2003,2004,2005,2006</v>
      </c>
      <c r="BS125" s="34" t="str">
        <f t="shared" si="95"/>
        <v>22001,22002,22003,22004,22005,22006</v>
      </c>
      <c r="BT125" s="4">
        <f>VLOOKUP(LOOKUP($Y125,$K$48:$K$55,$L$48:$L$55)&amp;BT$1&amp;$W125,装备额外附加!$M:$O,3,0)</f>
        <v>22001</v>
      </c>
      <c r="BU125" s="4">
        <f>VLOOKUP(LOOKUP($Y125,$K$48:$K$55,$L$48:$L$55)&amp;BU$1&amp;$W125,装备额外附加!$M:$O,3,0)</f>
        <v>22002</v>
      </c>
      <c r="BV125" s="4">
        <f>VLOOKUP(LOOKUP($Y125,$K$48:$K$55,$L$48:$L$55)&amp;BV$1&amp;$W125,装备额外附加!$M:$O,3,0)</f>
        <v>22003</v>
      </c>
      <c r="BW125" s="4">
        <f>VLOOKUP(LOOKUP($Y125,$K$48:$K$55,$L$48:$L$55)&amp;BW$1&amp;$W125,装备额外附加!$M:$O,3,0)</f>
        <v>22004</v>
      </c>
      <c r="BX125" s="4">
        <f>VLOOKUP(LOOKUP($Y125,$K$48:$K$55,$L$48:$L$55)&amp;BX$1&amp;$W125,装备额外附加!$M:$O,3,0)</f>
        <v>22005</v>
      </c>
      <c r="BY125" s="4">
        <f>VLOOKUP(LOOKUP($Y125,$K$48:$K$55,$L$48:$L$55)&amp;BY$1&amp;$W125,装备额外附加!$M:$O,3,0)</f>
        <v>22006</v>
      </c>
    </row>
    <row r="126" spans="18:77">
      <c r="R126" s="4" t="s">
        <v>439</v>
      </c>
      <c r="S126" s="4" t="str">
        <f t="shared" si="74"/>
        <v>105013</v>
      </c>
      <c r="T126" s="4" t="s">
        <v>440</v>
      </c>
      <c r="U126" s="36">
        <v>40</v>
      </c>
      <c r="V126" s="36" t="str">
        <f t="shared" si="75"/>
        <v>衣服</v>
      </c>
      <c r="W126" s="36" t="str">
        <f t="shared" si="76"/>
        <v>护甲</v>
      </c>
      <c r="X126" s="4">
        <f t="shared" si="77"/>
        <v>3</v>
      </c>
      <c r="Y126" s="4">
        <f t="shared" si="78"/>
        <v>45</v>
      </c>
      <c r="Z126" s="4">
        <f t="shared" si="79"/>
        <v>1</v>
      </c>
      <c r="AA126" s="4" t="str">
        <f t="shared" si="80"/>
        <v>90,108,162,270,450,900</v>
      </c>
      <c r="AB126" s="36">
        <f t="shared" si="81"/>
        <v>100</v>
      </c>
      <c r="AC126" s="36">
        <f t="shared" si="111"/>
        <v>90</v>
      </c>
      <c r="AD126" s="36">
        <f t="shared" si="113"/>
        <v>108</v>
      </c>
      <c r="AE126" s="36">
        <f t="shared" si="113"/>
        <v>162</v>
      </c>
      <c r="AF126" s="36">
        <f t="shared" si="113"/>
        <v>270</v>
      </c>
      <c r="AG126" s="36">
        <f t="shared" si="113"/>
        <v>450</v>
      </c>
      <c r="AH126" s="36">
        <f t="shared" si="112"/>
        <v>900</v>
      </c>
      <c r="AJ126" s="4" t="str">
        <f t="shared" si="82"/>
        <v>450,540,810,1350,2250,</v>
      </c>
      <c r="AK126" s="36">
        <f t="shared" si="83"/>
        <v>500</v>
      </c>
      <c r="AL126" s="36">
        <f t="shared" si="109"/>
        <v>450</v>
      </c>
      <c r="AM126" s="36">
        <f t="shared" si="109"/>
        <v>540</v>
      </c>
      <c r="AN126" s="36">
        <f t="shared" si="109"/>
        <v>810</v>
      </c>
      <c r="AO126" s="36">
        <f t="shared" si="109"/>
        <v>1350</v>
      </c>
      <c r="AP126" s="36">
        <f t="shared" si="109"/>
        <v>2250</v>
      </c>
      <c r="AR126" s="4" t="str">
        <f t="shared" si="84"/>
        <v>36000,43200,64800,108000,180000,</v>
      </c>
      <c r="AS126" s="36">
        <f t="shared" si="85"/>
        <v>40000</v>
      </c>
      <c r="AT126" s="36">
        <f t="shared" si="110"/>
        <v>36000</v>
      </c>
      <c r="AU126" s="36">
        <f t="shared" si="110"/>
        <v>43200</v>
      </c>
      <c r="AV126" s="36">
        <f t="shared" si="110"/>
        <v>64800</v>
      </c>
      <c r="AW126" s="36">
        <f t="shared" si="110"/>
        <v>108000</v>
      </c>
      <c r="AX126" s="36">
        <f t="shared" si="110"/>
        <v>180000</v>
      </c>
      <c r="AZ126" s="4">
        <f t="shared" si="86"/>
        <v>129</v>
      </c>
      <c r="BA126" s="4">
        <f t="shared" si="87"/>
        <v>0</v>
      </c>
      <c r="BB126" s="4">
        <f t="shared" si="88"/>
        <v>7</v>
      </c>
      <c r="BC126" s="35" t="str">
        <f t="shared" si="89"/>
        <v>129,</v>
      </c>
      <c r="BD126" s="35" t="str">
        <f t="shared" si="66"/>
        <v/>
      </c>
      <c r="BE126" s="35" t="str">
        <f t="shared" si="90"/>
        <v>7,</v>
      </c>
      <c r="BF126" s="36" t="str">
        <f t="shared" si="91"/>
        <v>1,</v>
      </c>
      <c r="BG126" s="36" t="str">
        <f>IF(BA126=0,"",IF(Z126=0,"3,4,5",VLOOKUP(Z126,{1,3;2,4;3,5},2,0))&amp;",")</f>
        <v/>
      </c>
      <c r="BH126" s="36" t="str">
        <f t="shared" si="92"/>
        <v>6,</v>
      </c>
      <c r="BI126" s="34" t="str">
        <f t="shared" si="93"/>
        <v>1,6</v>
      </c>
      <c r="BJ126" s="34" t="str">
        <f t="shared" si="96"/>
        <v>129,7</v>
      </c>
      <c r="BK126" s="34" t="str">
        <f t="shared" si="94"/>
        <v>0,8,12,19,38,77</v>
      </c>
      <c r="BL126" s="4">
        <f t="shared" si="67"/>
        <v>0</v>
      </c>
      <c r="BM126" s="4">
        <f t="shared" si="68"/>
        <v>8</v>
      </c>
      <c r="BN126" s="4">
        <f t="shared" si="69"/>
        <v>12</v>
      </c>
      <c r="BO126" s="4">
        <f t="shared" si="70"/>
        <v>19</v>
      </c>
      <c r="BP126" s="4">
        <f t="shared" si="71"/>
        <v>38</v>
      </c>
      <c r="BQ126" s="4">
        <f t="shared" si="72"/>
        <v>77</v>
      </c>
      <c r="BR126" s="34" t="str">
        <f t="shared" si="73"/>
        <v>2001,2002,2003,2004,2005,2006</v>
      </c>
      <c r="BS126" s="34" t="str">
        <f t="shared" si="95"/>
        <v>22001,22002,22003,22004,22005,22006</v>
      </c>
      <c r="BT126" s="4">
        <f>VLOOKUP(LOOKUP($Y126,$K$48:$K$55,$L$48:$L$55)&amp;BT$1&amp;$W126,装备额外附加!$M:$O,3,0)</f>
        <v>22001</v>
      </c>
      <c r="BU126" s="4">
        <f>VLOOKUP(LOOKUP($Y126,$K$48:$K$55,$L$48:$L$55)&amp;BU$1&amp;$W126,装备额外附加!$M:$O,3,0)</f>
        <v>22002</v>
      </c>
      <c r="BV126" s="4">
        <f>VLOOKUP(LOOKUP($Y126,$K$48:$K$55,$L$48:$L$55)&amp;BV$1&amp;$W126,装备额外附加!$M:$O,3,0)</f>
        <v>22003</v>
      </c>
      <c r="BW126" s="4">
        <f>VLOOKUP(LOOKUP($Y126,$K$48:$K$55,$L$48:$L$55)&amp;BW$1&amp;$W126,装备额外附加!$M:$O,3,0)</f>
        <v>22004</v>
      </c>
      <c r="BX126" s="4">
        <f>VLOOKUP(LOOKUP($Y126,$K$48:$K$55,$L$48:$L$55)&amp;BX$1&amp;$W126,装备额外附加!$M:$O,3,0)</f>
        <v>22005</v>
      </c>
      <c r="BY126" s="4">
        <f>VLOOKUP(LOOKUP($Y126,$K$48:$K$55,$L$48:$L$55)&amp;BY$1&amp;$W126,装备额外附加!$M:$O,3,0)</f>
        <v>22006</v>
      </c>
    </row>
    <row r="127" spans="18:77">
      <c r="R127" s="4" t="s">
        <v>441</v>
      </c>
      <c r="S127" s="4" t="str">
        <f t="shared" si="74"/>
        <v>105014</v>
      </c>
      <c r="T127" s="4" t="s">
        <v>442</v>
      </c>
      <c r="U127" s="36">
        <v>40</v>
      </c>
      <c r="V127" s="36" t="str">
        <f t="shared" si="75"/>
        <v>腰带</v>
      </c>
      <c r="W127" s="36" t="str">
        <f t="shared" si="76"/>
        <v>护甲</v>
      </c>
      <c r="X127" s="4">
        <f t="shared" si="77"/>
        <v>4</v>
      </c>
      <c r="Y127" s="4">
        <f t="shared" si="78"/>
        <v>48</v>
      </c>
      <c r="Z127" s="4">
        <f t="shared" si="79"/>
        <v>1</v>
      </c>
      <c r="AA127" s="4" t="str">
        <f t="shared" si="80"/>
        <v>80,96,144,240,400,800</v>
      </c>
      <c r="AB127" s="36">
        <f t="shared" si="81"/>
        <v>100</v>
      </c>
      <c r="AC127" s="36">
        <f t="shared" si="111"/>
        <v>80</v>
      </c>
      <c r="AD127" s="36">
        <f t="shared" si="113"/>
        <v>96</v>
      </c>
      <c r="AE127" s="36">
        <f t="shared" si="113"/>
        <v>144</v>
      </c>
      <c r="AF127" s="36">
        <f t="shared" si="113"/>
        <v>240</v>
      </c>
      <c r="AG127" s="36">
        <f t="shared" si="113"/>
        <v>400</v>
      </c>
      <c r="AH127" s="36">
        <f t="shared" si="112"/>
        <v>800</v>
      </c>
      <c r="AJ127" s="4" t="str">
        <f t="shared" si="82"/>
        <v>400,480,720,1200,2000,</v>
      </c>
      <c r="AK127" s="36">
        <f t="shared" si="83"/>
        <v>500</v>
      </c>
      <c r="AL127" s="36">
        <f t="shared" si="109"/>
        <v>400</v>
      </c>
      <c r="AM127" s="36">
        <f t="shared" si="109"/>
        <v>480</v>
      </c>
      <c r="AN127" s="36">
        <f t="shared" si="109"/>
        <v>720</v>
      </c>
      <c r="AO127" s="36">
        <f t="shared" si="109"/>
        <v>1200</v>
      </c>
      <c r="AP127" s="36">
        <f t="shared" si="109"/>
        <v>2000</v>
      </c>
      <c r="AR127" s="4" t="str">
        <f t="shared" si="84"/>
        <v>32000,38400,57600,96000,160000,</v>
      </c>
      <c r="AS127" s="36">
        <f t="shared" si="85"/>
        <v>40000</v>
      </c>
      <c r="AT127" s="36">
        <f t="shared" si="110"/>
        <v>32000</v>
      </c>
      <c r="AU127" s="36">
        <f t="shared" si="110"/>
        <v>38400</v>
      </c>
      <c r="AV127" s="36">
        <f t="shared" si="110"/>
        <v>57600</v>
      </c>
      <c r="AW127" s="36">
        <f t="shared" si="110"/>
        <v>96000</v>
      </c>
      <c r="AX127" s="36">
        <f t="shared" si="110"/>
        <v>160000</v>
      </c>
      <c r="AZ127" s="4">
        <f t="shared" si="86"/>
        <v>64</v>
      </c>
      <c r="BA127" s="4">
        <f t="shared" si="87"/>
        <v>0</v>
      </c>
      <c r="BB127" s="4">
        <f t="shared" si="88"/>
        <v>5</v>
      </c>
      <c r="BC127" s="35" t="str">
        <f t="shared" si="89"/>
        <v>64,</v>
      </c>
      <c r="BD127" s="35" t="str">
        <f t="shared" si="66"/>
        <v/>
      </c>
      <c r="BE127" s="35" t="str">
        <f t="shared" si="90"/>
        <v>5,</v>
      </c>
      <c r="BF127" s="36" t="str">
        <f t="shared" si="91"/>
        <v>1,</v>
      </c>
      <c r="BG127" s="36" t="str">
        <f>IF(BA127=0,"",IF(Z127=0,"3,4,5",VLOOKUP(Z127,{1,3;2,4;3,5},2,0))&amp;",")</f>
        <v/>
      </c>
      <c r="BH127" s="36" t="str">
        <f t="shared" si="92"/>
        <v>6,</v>
      </c>
      <c r="BI127" s="34" t="str">
        <f t="shared" si="93"/>
        <v>1,6</v>
      </c>
      <c r="BJ127" s="34" t="str">
        <f t="shared" si="96"/>
        <v>64,5</v>
      </c>
      <c r="BK127" s="34" t="str">
        <f t="shared" si="94"/>
        <v>0,8,12,19,38,77</v>
      </c>
      <c r="BL127" s="4">
        <f t="shared" si="67"/>
        <v>0</v>
      </c>
      <c r="BM127" s="4">
        <f t="shared" si="68"/>
        <v>8</v>
      </c>
      <c r="BN127" s="4">
        <f t="shared" si="69"/>
        <v>12</v>
      </c>
      <c r="BO127" s="4">
        <f t="shared" si="70"/>
        <v>19</v>
      </c>
      <c r="BP127" s="4">
        <f t="shared" si="71"/>
        <v>38</v>
      </c>
      <c r="BQ127" s="4">
        <f t="shared" si="72"/>
        <v>77</v>
      </c>
      <c r="BR127" s="34" t="str">
        <f t="shared" si="73"/>
        <v>2001,2002,2003,2004,2005,2006</v>
      </c>
      <c r="BS127" s="34" t="str">
        <f t="shared" si="95"/>
        <v>22001,22002,22003,22004,22005,22006</v>
      </c>
      <c r="BT127" s="4">
        <f>VLOOKUP(LOOKUP($Y127,$K$48:$K$55,$L$48:$L$55)&amp;BT$1&amp;$W127,装备额外附加!$M:$O,3,0)</f>
        <v>22001</v>
      </c>
      <c r="BU127" s="4">
        <f>VLOOKUP(LOOKUP($Y127,$K$48:$K$55,$L$48:$L$55)&amp;BU$1&amp;$W127,装备额外附加!$M:$O,3,0)</f>
        <v>22002</v>
      </c>
      <c r="BV127" s="4">
        <f>VLOOKUP(LOOKUP($Y127,$K$48:$K$55,$L$48:$L$55)&amp;BV$1&amp;$W127,装备额外附加!$M:$O,3,0)</f>
        <v>22003</v>
      </c>
      <c r="BW127" s="4">
        <f>VLOOKUP(LOOKUP($Y127,$K$48:$K$55,$L$48:$L$55)&amp;BW$1&amp;$W127,装备额外附加!$M:$O,3,0)</f>
        <v>22004</v>
      </c>
      <c r="BX127" s="4">
        <f>VLOOKUP(LOOKUP($Y127,$K$48:$K$55,$L$48:$L$55)&amp;BX$1&amp;$W127,装备额外附加!$M:$O,3,0)</f>
        <v>22005</v>
      </c>
      <c r="BY127" s="4">
        <f>VLOOKUP(LOOKUP($Y127,$K$48:$K$55,$L$48:$L$55)&amp;BY$1&amp;$W127,装备额外附加!$M:$O,3,0)</f>
        <v>22006</v>
      </c>
    </row>
    <row r="128" spans="18:77">
      <c r="R128" s="4" t="s">
        <v>443</v>
      </c>
      <c r="S128" s="4" t="str">
        <f t="shared" si="74"/>
        <v>105015</v>
      </c>
      <c r="T128" s="4" t="s">
        <v>444</v>
      </c>
      <c r="U128" s="36">
        <v>40</v>
      </c>
      <c r="V128" s="36" t="str">
        <f t="shared" si="75"/>
        <v>鞋子</v>
      </c>
      <c r="W128" s="36" t="str">
        <f t="shared" si="76"/>
        <v>护甲</v>
      </c>
      <c r="X128" s="4">
        <f t="shared" si="77"/>
        <v>5</v>
      </c>
      <c r="Y128" s="4">
        <f t="shared" si="78"/>
        <v>42</v>
      </c>
      <c r="Z128" s="4">
        <f t="shared" si="79"/>
        <v>1</v>
      </c>
      <c r="AA128" s="4" t="str">
        <f t="shared" si="80"/>
        <v>80,96,144,240,400,800</v>
      </c>
      <c r="AB128" s="36">
        <f t="shared" si="81"/>
        <v>100</v>
      </c>
      <c r="AC128" s="36">
        <f t="shared" si="111"/>
        <v>80</v>
      </c>
      <c r="AD128" s="36">
        <f t="shared" si="113"/>
        <v>96</v>
      </c>
      <c r="AE128" s="36">
        <f t="shared" si="113"/>
        <v>144</v>
      </c>
      <c r="AF128" s="36">
        <f t="shared" si="113"/>
        <v>240</v>
      </c>
      <c r="AG128" s="36">
        <f t="shared" si="113"/>
        <v>400</v>
      </c>
      <c r="AH128" s="36">
        <f t="shared" si="112"/>
        <v>800</v>
      </c>
      <c r="AJ128" s="4" t="str">
        <f t="shared" si="82"/>
        <v>400,480,720,1200,2000,</v>
      </c>
      <c r="AK128" s="36">
        <f t="shared" si="83"/>
        <v>500</v>
      </c>
      <c r="AL128" s="36">
        <f t="shared" si="109"/>
        <v>400</v>
      </c>
      <c r="AM128" s="36">
        <f t="shared" si="109"/>
        <v>480</v>
      </c>
      <c r="AN128" s="36">
        <f t="shared" si="109"/>
        <v>720</v>
      </c>
      <c r="AO128" s="36">
        <f t="shared" si="109"/>
        <v>1200</v>
      </c>
      <c r="AP128" s="36">
        <f t="shared" si="109"/>
        <v>2000</v>
      </c>
      <c r="AR128" s="4" t="str">
        <f t="shared" si="84"/>
        <v>32000,38400,57600,96000,160000,</v>
      </c>
      <c r="AS128" s="36">
        <f t="shared" si="85"/>
        <v>40000</v>
      </c>
      <c r="AT128" s="36">
        <f t="shared" si="110"/>
        <v>32000</v>
      </c>
      <c r="AU128" s="36">
        <f t="shared" si="110"/>
        <v>38400</v>
      </c>
      <c r="AV128" s="36">
        <f t="shared" si="110"/>
        <v>57600</v>
      </c>
      <c r="AW128" s="36">
        <f t="shared" si="110"/>
        <v>96000</v>
      </c>
      <c r="AX128" s="36">
        <f t="shared" si="110"/>
        <v>160000</v>
      </c>
      <c r="AZ128" s="4">
        <f t="shared" si="86"/>
        <v>64</v>
      </c>
      <c r="BA128" s="4">
        <f t="shared" si="87"/>
        <v>0</v>
      </c>
      <c r="BB128" s="4">
        <f t="shared" si="88"/>
        <v>5</v>
      </c>
      <c r="BC128" s="35" t="str">
        <f t="shared" si="89"/>
        <v>64,</v>
      </c>
      <c r="BD128" s="35" t="str">
        <f t="shared" si="66"/>
        <v/>
      </c>
      <c r="BE128" s="35" t="str">
        <f t="shared" si="90"/>
        <v>5,</v>
      </c>
      <c r="BF128" s="36" t="str">
        <f t="shared" si="91"/>
        <v>1,</v>
      </c>
      <c r="BG128" s="36" t="str">
        <f>IF(BA128=0,"",IF(Z128=0,"3,4,5",VLOOKUP(Z128,{1,3;2,4;3,5},2,0))&amp;",")</f>
        <v/>
      </c>
      <c r="BH128" s="36" t="str">
        <f t="shared" si="92"/>
        <v>6,</v>
      </c>
      <c r="BI128" s="34" t="str">
        <f t="shared" si="93"/>
        <v>1,6</v>
      </c>
      <c r="BJ128" s="34" t="str">
        <f t="shared" si="96"/>
        <v>64,5</v>
      </c>
      <c r="BK128" s="34" t="str">
        <f t="shared" si="94"/>
        <v>0,8,12,19,38,77</v>
      </c>
      <c r="BL128" s="4">
        <f t="shared" si="67"/>
        <v>0</v>
      </c>
      <c r="BM128" s="4">
        <f t="shared" si="68"/>
        <v>8</v>
      </c>
      <c r="BN128" s="4">
        <f t="shared" si="69"/>
        <v>12</v>
      </c>
      <c r="BO128" s="4">
        <f t="shared" si="70"/>
        <v>19</v>
      </c>
      <c r="BP128" s="4">
        <f t="shared" si="71"/>
        <v>38</v>
      </c>
      <c r="BQ128" s="4">
        <f t="shared" si="72"/>
        <v>77</v>
      </c>
      <c r="BR128" s="34" t="str">
        <f t="shared" si="73"/>
        <v>2001,2002,2003,2004,2005,2006</v>
      </c>
      <c r="BS128" s="34" t="str">
        <f t="shared" si="95"/>
        <v>22001,22002,22003,22004,22005,22006</v>
      </c>
      <c r="BT128" s="4">
        <f>VLOOKUP(LOOKUP($Y128,$K$48:$K$55,$L$48:$L$55)&amp;BT$1&amp;$W128,装备额外附加!$M:$O,3,0)</f>
        <v>22001</v>
      </c>
      <c r="BU128" s="4">
        <f>VLOOKUP(LOOKUP($Y128,$K$48:$K$55,$L$48:$L$55)&amp;BU$1&amp;$W128,装备额外附加!$M:$O,3,0)</f>
        <v>22002</v>
      </c>
      <c r="BV128" s="4">
        <f>VLOOKUP(LOOKUP($Y128,$K$48:$K$55,$L$48:$L$55)&amp;BV$1&amp;$W128,装备额外附加!$M:$O,3,0)</f>
        <v>22003</v>
      </c>
      <c r="BW128" s="4">
        <f>VLOOKUP(LOOKUP($Y128,$K$48:$K$55,$L$48:$L$55)&amp;BW$1&amp;$W128,装备额外附加!$M:$O,3,0)</f>
        <v>22004</v>
      </c>
      <c r="BX128" s="4">
        <f>VLOOKUP(LOOKUP($Y128,$K$48:$K$55,$L$48:$L$55)&amp;BX$1&amp;$W128,装备额外附加!$M:$O,3,0)</f>
        <v>22005</v>
      </c>
      <c r="BY128" s="4">
        <f>VLOOKUP(LOOKUP($Y128,$K$48:$K$55,$L$48:$L$55)&amp;BY$1&amp;$W128,装备额外附加!$M:$O,3,0)</f>
        <v>22006</v>
      </c>
    </row>
    <row r="129" spans="18:77">
      <c r="R129" s="4" t="s">
        <v>445</v>
      </c>
      <c r="S129" s="4" t="str">
        <f t="shared" si="74"/>
        <v>106011</v>
      </c>
      <c r="T129" s="4" t="s">
        <v>446</v>
      </c>
      <c r="U129" s="36">
        <v>50</v>
      </c>
      <c r="V129" s="36" t="str">
        <f t="shared" si="75"/>
        <v>武器</v>
      </c>
      <c r="W129" s="36" t="str">
        <f t="shared" si="76"/>
        <v>武器</v>
      </c>
      <c r="X129" s="4">
        <f t="shared" si="77"/>
        <v>1</v>
      </c>
      <c r="Y129" s="4">
        <f t="shared" si="78"/>
        <v>51</v>
      </c>
      <c r="Z129" s="4">
        <f t="shared" si="79"/>
        <v>1</v>
      </c>
      <c r="AA129" s="4" t="str">
        <f t="shared" si="80"/>
        <v>120,144,216,360,600,1200</v>
      </c>
      <c r="AB129" s="36">
        <f t="shared" si="81"/>
        <v>120</v>
      </c>
      <c r="AC129" s="36">
        <f t="shared" si="111"/>
        <v>120</v>
      </c>
      <c r="AD129" s="36">
        <f t="shared" si="113"/>
        <v>144</v>
      </c>
      <c r="AE129" s="36">
        <f t="shared" si="113"/>
        <v>216</v>
      </c>
      <c r="AF129" s="36">
        <f t="shared" si="113"/>
        <v>360</v>
      </c>
      <c r="AG129" s="36">
        <f t="shared" si="113"/>
        <v>600</v>
      </c>
      <c r="AH129" s="36">
        <f t="shared" si="112"/>
        <v>1200</v>
      </c>
      <c r="AJ129" s="4" t="str">
        <f t="shared" si="82"/>
        <v>600,720,1080,1800,3000,</v>
      </c>
      <c r="AK129" s="36">
        <f t="shared" si="83"/>
        <v>600</v>
      </c>
      <c r="AL129" s="36">
        <f t="shared" si="109"/>
        <v>600</v>
      </c>
      <c r="AM129" s="36">
        <f t="shared" si="109"/>
        <v>720</v>
      </c>
      <c r="AN129" s="36">
        <f t="shared" si="109"/>
        <v>1080</v>
      </c>
      <c r="AO129" s="36">
        <f t="shared" si="109"/>
        <v>1800</v>
      </c>
      <c r="AP129" s="36">
        <f t="shared" si="109"/>
        <v>3000</v>
      </c>
      <c r="AR129" s="4" t="str">
        <f t="shared" si="84"/>
        <v>48000,57600,86400,144000,240000,</v>
      </c>
      <c r="AS129" s="36">
        <f t="shared" si="85"/>
        <v>48000</v>
      </c>
      <c r="AT129" s="36">
        <f t="shared" si="110"/>
        <v>48000</v>
      </c>
      <c r="AU129" s="36">
        <f t="shared" si="110"/>
        <v>57600</v>
      </c>
      <c r="AV129" s="36">
        <f t="shared" si="110"/>
        <v>86400</v>
      </c>
      <c r="AW129" s="36">
        <f t="shared" si="110"/>
        <v>144000</v>
      </c>
      <c r="AX129" s="36">
        <f t="shared" si="110"/>
        <v>240000</v>
      </c>
      <c r="AZ129" s="4">
        <f t="shared" si="86"/>
        <v>0</v>
      </c>
      <c r="BA129" s="4">
        <f t="shared" si="87"/>
        <v>23</v>
      </c>
      <c r="BB129" s="4">
        <f t="shared" si="88"/>
        <v>0</v>
      </c>
      <c r="BC129" s="35" t="str">
        <f t="shared" si="89"/>
        <v/>
      </c>
      <c r="BD129" s="35" t="str">
        <f t="shared" si="66"/>
        <v>50,</v>
      </c>
      <c r="BE129" s="35" t="str">
        <f t="shared" si="90"/>
        <v/>
      </c>
      <c r="BF129" s="36" t="str">
        <f t="shared" si="91"/>
        <v/>
      </c>
      <c r="BG129" s="36" t="str">
        <f>IF(BA129=0,"",IF(Z129=0,"3,4,5",VLOOKUP(Z129,{1,3;2,4;3,5},2,0))&amp;",")</f>
        <v>3,</v>
      </c>
      <c r="BH129" s="36" t="str">
        <f t="shared" si="92"/>
        <v/>
      </c>
      <c r="BI129" s="34" t="str">
        <f t="shared" si="93"/>
        <v>3</v>
      </c>
      <c r="BJ129" s="34" t="str">
        <f t="shared" si="96"/>
        <v>50</v>
      </c>
      <c r="BK129" s="34" t="str">
        <f t="shared" si="94"/>
        <v>0,16,25,39,79,159</v>
      </c>
      <c r="BL129" s="4">
        <f t="shared" si="67"/>
        <v>0</v>
      </c>
      <c r="BM129" s="4">
        <f t="shared" si="68"/>
        <v>16</v>
      </c>
      <c r="BN129" s="4">
        <f t="shared" si="69"/>
        <v>25</v>
      </c>
      <c r="BO129" s="4">
        <f t="shared" si="70"/>
        <v>39</v>
      </c>
      <c r="BP129" s="4">
        <f t="shared" si="71"/>
        <v>79</v>
      </c>
      <c r="BQ129" s="4">
        <f t="shared" si="72"/>
        <v>159</v>
      </c>
      <c r="BR129" s="34" t="str">
        <f t="shared" si="73"/>
        <v>1001,1002,1003,1004,1005,1006</v>
      </c>
      <c r="BS129" s="34" t="str">
        <f t="shared" si="95"/>
        <v>12001,12002,12003,12004,12005,12006</v>
      </c>
      <c r="BT129" s="4">
        <f>VLOOKUP(LOOKUP($Y129,$K$48:$K$55,$L$48:$L$55)&amp;BT$1&amp;$W129,装备额外附加!$M:$O,3,0)</f>
        <v>12001</v>
      </c>
      <c r="BU129" s="4">
        <f>VLOOKUP(LOOKUP($Y129,$K$48:$K$55,$L$48:$L$55)&amp;BU$1&amp;$W129,装备额外附加!$M:$O,3,0)</f>
        <v>12002</v>
      </c>
      <c r="BV129" s="4">
        <f>VLOOKUP(LOOKUP($Y129,$K$48:$K$55,$L$48:$L$55)&amp;BV$1&amp;$W129,装备额外附加!$M:$O,3,0)</f>
        <v>12003</v>
      </c>
      <c r="BW129" s="4">
        <f>VLOOKUP(LOOKUP($Y129,$K$48:$K$55,$L$48:$L$55)&amp;BW$1&amp;$W129,装备额外附加!$M:$O,3,0)</f>
        <v>12004</v>
      </c>
      <c r="BX129" s="4">
        <f>VLOOKUP(LOOKUP($Y129,$K$48:$K$55,$L$48:$L$55)&amp;BX$1&amp;$W129,装备额外附加!$M:$O,3,0)</f>
        <v>12005</v>
      </c>
      <c r="BY129" s="4">
        <f>VLOOKUP(LOOKUP($Y129,$K$48:$K$55,$L$48:$L$55)&amp;BY$1&amp;$W129,装备额外附加!$M:$O,3,0)</f>
        <v>12006</v>
      </c>
    </row>
    <row r="130" spans="18:77">
      <c r="R130" s="4" t="s">
        <v>447</v>
      </c>
      <c r="S130" s="4" t="str">
        <f t="shared" si="74"/>
        <v>106012</v>
      </c>
      <c r="T130" s="4" t="s">
        <v>448</v>
      </c>
      <c r="U130" s="36">
        <v>50</v>
      </c>
      <c r="V130" s="36" t="str">
        <f t="shared" si="75"/>
        <v>头盔</v>
      </c>
      <c r="W130" s="36" t="str">
        <f t="shared" si="76"/>
        <v>护甲</v>
      </c>
      <c r="X130" s="4">
        <f t="shared" si="77"/>
        <v>2</v>
      </c>
      <c r="Y130" s="4">
        <f t="shared" si="78"/>
        <v>57</v>
      </c>
      <c r="Z130" s="4">
        <f t="shared" si="79"/>
        <v>1</v>
      </c>
      <c r="AA130" s="4" t="str">
        <f t="shared" si="80"/>
        <v>108,129,194,324,540,1080</v>
      </c>
      <c r="AB130" s="36">
        <f t="shared" si="81"/>
        <v>120</v>
      </c>
      <c r="AC130" s="36">
        <f t="shared" si="111"/>
        <v>108</v>
      </c>
      <c r="AD130" s="36">
        <f t="shared" si="113"/>
        <v>129</v>
      </c>
      <c r="AE130" s="36">
        <f t="shared" si="113"/>
        <v>194</v>
      </c>
      <c r="AF130" s="36">
        <f t="shared" si="113"/>
        <v>324</v>
      </c>
      <c r="AG130" s="36">
        <f t="shared" si="113"/>
        <v>540</v>
      </c>
      <c r="AH130" s="36">
        <f t="shared" si="112"/>
        <v>1080</v>
      </c>
      <c r="AJ130" s="4" t="str">
        <f t="shared" si="82"/>
        <v>540,648,972,1620,2700,</v>
      </c>
      <c r="AK130" s="36">
        <f t="shared" si="83"/>
        <v>600</v>
      </c>
      <c r="AL130" s="36">
        <f t="shared" ref="AL130:AP161" si="114">INT($AK130*VLOOKUP(AL$1,$B$11:$L$16,11,0)*VLOOKUP($V130,$C$22:$M$29,11,0))</f>
        <v>540</v>
      </c>
      <c r="AM130" s="36">
        <f t="shared" si="114"/>
        <v>648</v>
      </c>
      <c r="AN130" s="36">
        <f t="shared" si="114"/>
        <v>972</v>
      </c>
      <c r="AO130" s="36">
        <f t="shared" si="114"/>
        <v>1620</v>
      </c>
      <c r="AP130" s="36">
        <f t="shared" si="114"/>
        <v>2700</v>
      </c>
      <c r="AR130" s="4" t="str">
        <f t="shared" si="84"/>
        <v>43200,51840,77760,129600,216000,</v>
      </c>
      <c r="AS130" s="36">
        <f t="shared" si="85"/>
        <v>48000</v>
      </c>
      <c r="AT130" s="36">
        <f t="shared" ref="AT130:AX161" si="115">INT($AS130*VLOOKUP(AT$1,$B$11:$L$16,11,0)*VLOOKUP($V130,$C$22:$M$29,11,0))</f>
        <v>43200</v>
      </c>
      <c r="AU130" s="36">
        <f t="shared" si="115"/>
        <v>51840</v>
      </c>
      <c r="AV130" s="36">
        <f t="shared" si="115"/>
        <v>77760</v>
      </c>
      <c r="AW130" s="36">
        <f t="shared" si="115"/>
        <v>129600</v>
      </c>
      <c r="AX130" s="36">
        <f t="shared" si="115"/>
        <v>216000</v>
      </c>
      <c r="AZ130" s="4">
        <f t="shared" si="86"/>
        <v>0</v>
      </c>
      <c r="BA130" s="4">
        <f t="shared" si="87"/>
        <v>11</v>
      </c>
      <c r="BB130" s="4">
        <f t="shared" si="88"/>
        <v>9</v>
      </c>
      <c r="BC130" s="35" t="str">
        <f t="shared" si="89"/>
        <v/>
      </c>
      <c r="BD130" s="35" t="str">
        <f t="shared" ref="BD130:BD193" si="116">IF(BA130=0,"",IF(Z130=0,BA130&amp;","&amp;BA130&amp;","&amp;BA130&amp;",",INT(BA130*2.2)&amp;","))</f>
        <v>24,</v>
      </c>
      <c r="BE130" s="35" t="str">
        <f t="shared" si="90"/>
        <v>9,</v>
      </c>
      <c r="BF130" s="36" t="str">
        <f t="shared" si="91"/>
        <v/>
      </c>
      <c r="BG130" s="36" t="str">
        <f>IF(BA130=0,"",IF(Z130=0,"3,4,5",VLOOKUP(Z130,{1,3;2,4;3,5},2,0))&amp;",")</f>
        <v>3,</v>
      </c>
      <c r="BH130" s="36" t="str">
        <f t="shared" si="92"/>
        <v>6,</v>
      </c>
      <c r="BI130" s="34" t="str">
        <f t="shared" si="93"/>
        <v>3,6</v>
      </c>
      <c r="BJ130" s="34" t="str">
        <f t="shared" si="96"/>
        <v>24,9</v>
      </c>
      <c r="BK130" s="34" t="str">
        <f t="shared" si="94"/>
        <v>0,11,17,26,53,106</v>
      </c>
      <c r="BL130" s="4">
        <f t="shared" ref="BL130:BL193" si="117">INT(LOOKUP($Y130,$B$48:$B$55,C$48:C$55)*VLOOKUP($V130,$C$22:$N$29,12,0))</f>
        <v>0</v>
      </c>
      <c r="BM130" s="4">
        <f t="shared" ref="BM130:BM193" si="118">INT(LOOKUP($Y130,$B$48:$B$55,D$48:D$55)*VLOOKUP($V130,$C$22:$N$29,12,0))</f>
        <v>11</v>
      </c>
      <c r="BN130" s="4">
        <f t="shared" ref="BN130:BN193" si="119">INT(LOOKUP($Y130,$B$48:$B$55,E$48:E$55)*VLOOKUP($V130,$C$22:$N$29,12,0))</f>
        <v>17</v>
      </c>
      <c r="BO130" s="4">
        <f t="shared" ref="BO130:BO193" si="120">INT(LOOKUP($Y130,$B$48:$B$55,F$48:F$55)*VLOOKUP($V130,$C$22:$N$29,12,0))</f>
        <v>26</v>
      </c>
      <c r="BP130" s="4">
        <f t="shared" ref="BP130:BP193" si="121">INT(LOOKUP($Y130,$B$48:$B$55,G$48:G$55)*VLOOKUP($V130,$C$22:$N$29,12,0))</f>
        <v>53</v>
      </c>
      <c r="BQ130" s="4">
        <f t="shared" ref="BQ130:BQ193" si="122">INT(LOOKUP($Y130,$B$48:$B$55,H$48:H$55)*VLOOKUP($V130,$C$22:$N$29,12,0))</f>
        <v>106</v>
      </c>
      <c r="BR130" s="34" t="str">
        <f t="shared" ref="BR130:BR193" si="123">IF(V130="武器",$H$68,IF(V130="手镯",$H$70,IF(V130="戒指",$H$71,$H$69)))</f>
        <v>2001,2002,2003,2004,2005,2006</v>
      </c>
      <c r="BS130" s="34" t="str">
        <f t="shared" si="95"/>
        <v>22001,22002,22003,22004,22005,22006</v>
      </c>
      <c r="BT130" s="4">
        <f>VLOOKUP(LOOKUP($Y130,$K$48:$K$55,$L$48:$L$55)&amp;BT$1&amp;$W130,装备额外附加!$M:$O,3,0)</f>
        <v>22001</v>
      </c>
      <c r="BU130" s="4">
        <f>VLOOKUP(LOOKUP($Y130,$K$48:$K$55,$L$48:$L$55)&amp;BU$1&amp;$W130,装备额外附加!$M:$O,3,0)</f>
        <v>22002</v>
      </c>
      <c r="BV130" s="4">
        <f>VLOOKUP(LOOKUP($Y130,$K$48:$K$55,$L$48:$L$55)&amp;BV$1&amp;$W130,装备额外附加!$M:$O,3,0)</f>
        <v>22003</v>
      </c>
      <c r="BW130" s="4">
        <f>VLOOKUP(LOOKUP($Y130,$K$48:$K$55,$L$48:$L$55)&amp;BW$1&amp;$W130,装备额外附加!$M:$O,3,0)</f>
        <v>22004</v>
      </c>
      <c r="BX130" s="4">
        <f>VLOOKUP(LOOKUP($Y130,$K$48:$K$55,$L$48:$L$55)&amp;BX$1&amp;$W130,装备额外附加!$M:$O,3,0)</f>
        <v>22005</v>
      </c>
      <c r="BY130" s="4">
        <f>VLOOKUP(LOOKUP($Y130,$K$48:$K$55,$L$48:$L$55)&amp;BY$1&amp;$W130,装备额外附加!$M:$O,3,0)</f>
        <v>22006</v>
      </c>
    </row>
    <row r="131" spans="18:77">
      <c r="R131" s="4" t="s">
        <v>449</v>
      </c>
      <c r="S131" s="4" t="str">
        <f t="shared" ref="S131:S194" si="124">10&amp;(U131+10)&amp;TEXT(Z131,"0")&amp;X131</f>
        <v>106013</v>
      </c>
      <c r="T131" s="4" t="s">
        <v>450</v>
      </c>
      <c r="U131" s="36">
        <v>50</v>
      </c>
      <c r="V131" s="36" t="str">
        <f t="shared" ref="V131:V194" si="125">RIGHT(T131,2)</f>
        <v>衣服</v>
      </c>
      <c r="W131" s="36" t="str">
        <f t="shared" ref="W131:W194" si="126">VLOOKUP(V131,$C$22:$I$29,7,0)</f>
        <v>护甲</v>
      </c>
      <c r="X131" s="4">
        <f t="shared" ref="X131:X194" si="127">VLOOKUP(V131,$C$22:$L$29,9,)</f>
        <v>3</v>
      </c>
      <c r="Y131" s="4">
        <f t="shared" ref="Y131:Y194" si="128">U131+VLOOKUP(RIGHT(T131,2),$C$22:$L$29,10,0)</f>
        <v>55</v>
      </c>
      <c r="Z131" s="4">
        <f t="shared" ref="Z131:Z194" si="129">VLOOKUP(MID(T131,4,2),$O$22:$P$25,2,0)</f>
        <v>1</v>
      </c>
      <c r="AA131" s="4" t="str">
        <f t="shared" ref="AA131:AA194" si="130">AC131&amp;","&amp;AD131&amp;","&amp;AE131&amp;","&amp;AF131&amp;","&amp;AG131&amp;","&amp;AH131</f>
        <v>108,129,194,324,540,1080</v>
      </c>
      <c r="AB131" s="36">
        <f t="shared" ref="AB131:AB194" si="131">LEFT(T131,2)*2</f>
        <v>120</v>
      </c>
      <c r="AC131" s="36">
        <f t="shared" si="111"/>
        <v>108</v>
      </c>
      <c r="AD131" s="36">
        <f t="shared" si="113"/>
        <v>129</v>
      </c>
      <c r="AE131" s="36">
        <f t="shared" si="113"/>
        <v>194</v>
      </c>
      <c r="AF131" s="36">
        <f t="shared" si="113"/>
        <v>324</v>
      </c>
      <c r="AG131" s="36">
        <f t="shared" si="113"/>
        <v>540</v>
      </c>
      <c r="AH131" s="36">
        <f t="shared" si="112"/>
        <v>1080</v>
      </c>
      <c r="AJ131" s="4" t="str">
        <f t="shared" ref="AJ131:AJ194" si="132">AL131&amp;","&amp;AM131&amp;","&amp;AN131&amp;","&amp;AO131&amp;","&amp;AP131&amp;","&amp;AQ131</f>
        <v>540,648,972,1620,2700,</v>
      </c>
      <c r="AK131" s="36">
        <f t="shared" ref="AK131:AK194" si="133">LEFT(T131,2)*10</f>
        <v>600</v>
      </c>
      <c r="AL131" s="36">
        <f t="shared" si="114"/>
        <v>540</v>
      </c>
      <c r="AM131" s="36">
        <f t="shared" si="114"/>
        <v>648</v>
      </c>
      <c r="AN131" s="36">
        <f t="shared" si="114"/>
        <v>972</v>
      </c>
      <c r="AO131" s="36">
        <f t="shared" si="114"/>
        <v>1620</v>
      </c>
      <c r="AP131" s="36">
        <f t="shared" si="114"/>
        <v>2700</v>
      </c>
      <c r="AR131" s="4" t="str">
        <f t="shared" ref="AR131:AR194" si="134">AT131&amp;","&amp;AU131&amp;","&amp;AV131&amp;","&amp;AW131&amp;","&amp;AX131&amp;","&amp;AY131</f>
        <v>43200,51840,77760,129600,216000,</v>
      </c>
      <c r="AS131" s="36">
        <f t="shared" ref="AS131:AS194" si="135">AK131*80</f>
        <v>48000</v>
      </c>
      <c r="AT131" s="36">
        <f t="shared" si="115"/>
        <v>43200</v>
      </c>
      <c r="AU131" s="36">
        <f t="shared" si="115"/>
        <v>51840</v>
      </c>
      <c r="AV131" s="36">
        <f t="shared" si="115"/>
        <v>77760</v>
      </c>
      <c r="AW131" s="36">
        <f t="shared" si="115"/>
        <v>129600</v>
      </c>
      <c r="AX131" s="36">
        <f t="shared" si="115"/>
        <v>216000</v>
      </c>
      <c r="AZ131" s="4">
        <f t="shared" ref="AZ131:AZ194" si="136">INT(LOOKUP($Y131,$B$34:$B$41,$D$34:$D$41)*VLOOKUP($V131,$C$22:$F$29,2,0))</f>
        <v>178</v>
      </c>
      <c r="BA131" s="4">
        <f t="shared" ref="BA131:BA194" si="137">INT(LOOKUP($Y131,$B$34:$B$41,$F$34:$F$41)*VLOOKUP($V131,$C$22:$F$29,3,0))</f>
        <v>0</v>
      </c>
      <c r="BB131" s="4">
        <f t="shared" ref="BB131:BB194" si="138">INT(LOOKUP($Y131,$B$34:$B$41,$I$34:$I$41)*VLOOKUP($V131,$C$22:$F$29,4,0))</f>
        <v>9</v>
      </c>
      <c r="BC131" s="35" t="str">
        <f t="shared" ref="BC131:BC194" si="139">IF(AZ131=0,"",AZ131&amp;",")</f>
        <v>178,</v>
      </c>
      <c r="BD131" s="35" t="str">
        <f t="shared" si="116"/>
        <v/>
      </c>
      <c r="BE131" s="35" t="str">
        <f t="shared" ref="BE131:BE194" si="140">IF(BB131=0,"",BB131&amp;",")</f>
        <v>9,</v>
      </c>
      <c r="BF131" s="36" t="str">
        <f t="shared" ref="BF131:BF194" si="141">IF(AZ131=0,"","1,")</f>
        <v>1,</v>
      </c>
      <c r="BG131" s="36" t="str">
        <f>IF(BA131=0,"",IF(Z131=0,"3,4,5",VLOOKUP(Z131,{1,3;2,4;3,5},2,0))&amp;",")</f>
        <v/>
      </c>
      <c r="BH131" s="36" t="str">
        <f t="shared" ref="BH131:BH194" si="142">IF(BB131=0,"","6,")</f>
        <v>6,</v>
      </c>
      <c r="BI131" s="34" t="str">
        <f t="shared" ref="BI131:BI194" si="143">LEFT(BF131&amp;BG131&amp;BH131,LEN(BF131&amp;BG131&amp;BH131)-1)</f>
        <v>1,6</v>
      </c>
      <c r="BJ131" s="34" t="str">
        <f t="shared" si="96"/>
        <v>178,9</v>
      </c>
      <c r="BK131" s="34" t="str">
        <f t="shared" ref="BK131:BK194" si="144">BL131&amp;","&amp;BM131&amp;","&amp;BN131&amp;","&amp;BO131&amp;","&amp;BP131&amp;","&amp;BQ131</f>
        <v>0,11,17,26,53,106</v>
      </c>
      <c r="BL131" s="4">
        <f t="shared" si="117"/>
        <v>0</v>
      </c>
      <c r="BM131" s="4">
        <f t="shared" si="118"/>
        <v>11</v>
      </c>
      <c r="BN131" s="4">
        <f t="shared" si="119"/>
        <v>17</v>
      </c>
      <c r="BO131" s="4">
        <f t="shared" si="120"/>
        <v>26</v>
      </c>
      <c r="BP131" s="4">
        <f t="shared" si="121"/>
        <v>53</v>
      </c>
      <c r="BQ131" s="4">
        <f t="shared" si="122"/>
        <v>106</v>
      </c>
      <c r="BR131" s="34" t="str">
        <f t="shared" si="123"/>
        <v>2001,2002,2003,2004,2005,2006</v>
      </c>
      <c r="BS131" s="34" t="str">
        <f t="shared" ref="BS131:BS194" si="145">BT131&amp;","&amp;BU131&amp;","&amp;BV131&amp;","&amp;BW131&amp;","&amp;BX131&amp;","&amp;BY131</f>
        <v>22001,22002,22003,22004,22005,22006</v>
      </c>
      <c r="BT131" s="4">
        <f>VLOOKUP(LOOKUP($Y131,$K$48:$K$55,$L$48:$L$55)&amp;BT$1&amp;$W131,装备额外附加!$M:$O,3,0)</f>
        <v>22001</v>
      </c>
      <c r="BU131" s="4">
        <f>VLOOKUP(LOOKUP($Y131,$K$48:$K$55,$L$48:$L$55)&amp;BU$1&amp;$W131,装备额外附加!$M:$O,3,0)</f>
        <v>22002</v>
      </c>
      <c r="BV131" s="4">
        <f>VLOOKUP(LOOKUP($Y131,$K$48:$K$55,$L$48:$L$55)&amp;BV$1&amp;$W131,装备额外附加!$M:$O,3,0)</f>
        <v>22003</v>
      </c>
      <c r="BW131" s="4">
        <f>VLOOKUP(LOOKUP($Y131,$K$48:$K$55,$L$48:$L$55)&amp;BW$1&amp;$W131,装备额外附加!$M:$O,3,0)</f>
        <v>22004</v>
      </c>
      <c r="BX131" s="4">
        <f>VLOOKUP(LOOKUP($Y131,$K$48:$K$55,$L$48:$L$55)&amp;BX$1&amp;$W131,装备额外附加!$M:$O,3,0)</f>
        <v>22005</v>
      </c>
      <c r="BY131" s="4">
        <f>VLOOKUP(LOOKUP($Y131,$K$48:$K$55,$L$48:$L$55)&amp;BY$1&amp;$W131,装备额外附加!$M:$O,3,0)</f>
        <v>22006</v>
      </c>
    </row>
    <row r="132" spans="18:77">
      <c r="R132" s="4" t="s">
        <v>451</v>
      </c>
      <c r="S132" s="4" t="str">
        <f t="shared" si="124"/>
        <v>106014</v>
      </c>
      <c r="T132" s="4" t="s">
        <v>452</v>
      </c>
      <c r="U132" s="36">
        <v>50</v>
      </c>
      <c r="V132" s="36" t="str">
        <f t="shared" si="125"/>
        <v>腰带</v>
      </c>
      <c r="W132" s="36" t="str">
        <f t="shared" si="126"/>
        <v>护甲</v>
      </c>
      <c r="X132" s="4">
        <f t="shared" si="127"/>
        <v>4</v>
      </c>
      <c r="Y132" s="4">
        <f t="shared" si="128"/>
        <v>58</v>
      </c>
      <c r="Z132" s="4">
        <f t="shared" si="129"/>
        <v>1</v>
      </c>
      <c r="AA132" s="4" t="str">
        <f t="shared" si="130"/>
        <v>96,115,172,288,480,960</v>
      </c>
      <c r="AB132" s="36">
        <f t="shared" si="131"/>
        <v>120</v>
      </c>
      <c r="AC132" s="36">
        <f t="shared" si="111"/>
        <v>96</v>
      </c>
      <c r="AD132" s="36">
        <f t="shared" si="113"/>
        <v>115</v>
      </c>
      <c r="AE132" s="36">
        <f t="shared" si="113"/>
        <v>172</v>
      </c>
      <c r="AF132" s="36">
        <f t="shared" si="113"/>
        <v>288</v>
      </c>
      <c r="AG132" s="36">
        <f t="shared" si="113"/>
        <v>480</v>
      </c>
      <c r="AH132" s="36">
        <f t="shared" si="112"/>
        <v>960</v>
      </c>
      <c r="AJ132" s="4" t="str">
        <f t="shared" si="132"/>
        <v>480,576,864,1440,2400,</v>
      </c>
      <c r="AK132" s="36">
        <f t="shared" si="133"/>
        <v>600</v>
      </c>
      <c r="AL132" s="36">
        <f t="shared" si="114"/>
        <v>480</v>
      </c>
      <c r="AM132" s="36">
        <f t="shared" si="114"/>
        <v>576</v>
      </c>
      <c r="AN132" s="36">
        <f t="shared" si="114"/>
        <v>864</v>
      </c>
      <c r="AO132" s="36">
        <f t="shared" si="114"/>
        <v>1440</v>
      </c>
      <c r="AP132" s="36">
        <f t="shared" si="114"/>
        <v>2400</v>
      </c>
      <c r="AR132" s="4" t="str">
        <f t="shared" si="134"/>
        <v>38400,46080,69120,115200,192000,</v>
      </c>
      <c r="AS132" s="36">
        <f t="shared" si="135"/>
        <v>48000</v>
      </c>
      <c r="AT132" s="36">
        <f t="shared" si="115"/>
        <v>38400</v>
      </c>
      <c r="AU132" s="36">
        <f t="shared" si="115"/>
        <v>46080</v>
      </c>
      <c r="AV132" s="36">
        <f t="shared" si="115"/>
        <v>69120</v>
      </c>
      <c r="AW132" s="36">
        <f t="shared" si="115"/>
        <v>115200</v>
      </c>
      <c r="AX132" s="36">
        <f t="shared" si="115"/>
        <v>192000</v>
      </c>
      <c r="AZ132" s="4">
        <f t="shared" si="136"/>
        <v>89</v>
      </c>
      <c r="BA132" s="4">
        <f t="shared" si="137"/>
        <v>0</v>
      </c>
      <c r="BB132" s="4">
        <f t="shared" si="138"/>
        <v>7</v>
      </c>
      <c r="BC132" s="35" t="str">
        <f t="shared" si="139"/>
        <v>89,</v>
      </c>
      <c r="BD132" s="35" t="str">
        <f t="shared" si="116"/>
        <v/>
      </c>
      <c r="BE132" s="35" t="str">
        <f t="shared" si="140"/>
        <v>7,</v>
      </c>
      <c r="BF132" s="36" t="str">
        <f t="shared" si="141"/>
        <v>1,</v>
      </c>
      <c r="BG132" s="36" t="str">
        <f>IF(BA132=0,"",IF(Z132=0,"3,4,5",VLOOKUP(Z132,{1,3;2,4;3,5},2,0))&amp;",")</f>
        <v/>
      </c>
      <c r="BH132" s="36" t="str">
        <f t="shared" si="142"/>
        <v>6,</v>
      </c>
      <c r="BI132" s="34" t="str">
        <f t="shared" si="143"/>
        <v>1,6</v>
      </c>
      <c r="BJ132" s="34" t="str">
        <f t="shared" ref="BJ132:BJ195" si="146">LEFT(BC132&amp;BD132&amp;BE132,LEN(BC132&amp;BD132&amp;BE132)-1)</f>
        <v>89,7</v>
      </c>
      <c r="BK132" s="34" t="str">
        <f t="shared" si="144"/>
        <v>0,11,17,26,53,106</v>
      </c>
      <c r="BL132" s="4">
        <f t="shared" si="117"/>
        <v>0</v>
      </c>
      <c r="BM132" s="4">
        <f t="shared" si="118"/>
        <v>11</v>
      </c>
      <c r="BN132" s="4">
        <f t="shared" si="119"/>
        <v>17</v>
      </c>
      <c r="BO132" s="4">
        <f t="shared" si="120"/>
        <v>26</v>
      </c>
      <c r="BP132" s="4">
        <f t="shared" si="121"/>
        <v>53</v>
      </c>
      <c r="BQ132" s="4">
        <f t="shared" si="122"/>
        <v>106</v>
      </c>
      <c r="BR132" s="34" t="str">
        <f t="shared" si="123"/>
        <v>2001,2002,2003,2004,2005,2006</v>
      </c>
      <c r="BS132" s="34" t="str">
        <f t="shared" si="145"/>
        <v>22001,22002,22003,22004,22005,22006</v>
      </c>
      <c r="BT132" s="4">
        <f>VLOOKUP(LOOKUP($Y132,$K$48:$K$55,$L$48:$L$55)&amp;BT$1&amp;$W132,装备额外附加!$M:$O,3,0)</f>
        <v>22001</v>
      </c>
      <c r="BU132" s="4">
        <f>VLOOKUP(LOOKUP($Y132,$K$48:$K$55,$L$48:$L$55)&amp;BU$1&amp;$W132,装备额外附加!$M:$O,3,0)</f>
        <v>22002</v>
      </c>
      <c r="BV132" s="4">
        <f>VLOOKUP(LOOKUP($Y132,$K$48:$K$55,$L$48:$L$55)&amp;BV$1&amp;$W132,装备额外附加!$M:$O,3,0)</f>
        <v>22003</v>
      </c>
      <c r="BW132" s="4">
        <f>VLOOKUP(LOOKUP($Y132,$K$48:$K$55,$L$48:$L$55)&amp;BW$1&amp;$W132,装备额外附加!$M:$O,3,0)</f>
        <v>22004</v>
      </c>
      <c r="BX132" s="4">
        <f>VLOOKUP(LOOKUP($Y132,$K$48:$K$55,$L$48:$L$55)&amp;BX$1&amp;$W132,装备额外附加!$M:$O,3,0)</f>
        <v>22005</v>
      </c>
      <c r="BY132" s="4">
        <f>VLOOKUP(LOOKUP($Y132,$K$48:$K$55,$L$48:$L$55)&amp;BY$1&amp;$W132,装备额外附加!$M:$O,3,0)</f>
        <v>22006</v>
      </c>
    </row>
    <row r="133" spans="18:77">
      <c r="R133" s="4" t="s">
        <v>453</v>
      </c>
      <c r="S133" s="4" t="str">
        <f t="shared" si="124"/>
        <v>106015</v>
      </c>
      <c r="T133" s="4" t="s">
        <v>454</v>
      </c>
      <c r="U133" s="36">
        <v>50</v>
      </c>
      <c r="V133" s="36" t="str">
        <f t="shared" si="125"/>
        <v>鞋子</v>
      </c>
      <c r="W133" s="36" t="str">
        <f t="shared" si="126"/>
        <v>护甲</v>
      </c>
      <c r="X133" s="4">
        <f t="shared" si="127"/>
        <v>5</v>
      </c>
      <c r="Y133" s="4">
        <f t="shared" si="128"/>
        <v>52</v>
      </c>
      <c r="Z133" s="4">
        <f t="shared" si="129"/>
        <v>1</v>
      </c>
      <c r="AA133" s="4" t="str">
        <f t="shared" si="130"/>
        <v>96,115,172,288,480,960</v>
      </c>
      <c r="AB133" s="36">
        <f t="shared" si="131"/>
        <v>120</v>
      </c>
      <c r="AC133" s="36">
        <f t="shared" si="111"/>
        <v>96</v>
      </c>
      <c r="AD133" s="36">
        <f t="shared" si="113"/>
        <v>115</v>
      </c>
      <c r="AE133" s="36">
        <f t="shared" si="113"/>
        <v>172</v>
      </c>
      <c r="AF133" s="36">
        <f t="shared" si="113"/>
        <v>288</v>
      </c>
      <c r="AG133" s="36">
        <f t="shared" si="113"/>
        <v>480</v>
      </c>
      <c r="AH133" s="36">
        <f t="shared" si="112"/>
        <v>960</v>
      </c>
      <c r="AJ133" s="4" t="str">
        <f t="shared" si="132"/>
        <v>480,576,864,1440,2400,</v>
      </c>
      <c r="AK133" s="36">
        <f t="shared" si="133"/>
        <v>600</v>
      </c>
      <c r="AL133" s="36">
        <f t="shared" si="114"/>
        <v>480</v>
      </c>
      <c r="AM133" s="36">
        <f t="shared" si="114"/>
        <v>576</v>
      </c>
      <c r="AN133" s="36">
        <f t="shared" si="114"/>
        <v>864</v>
      </c>
      <c r="AO133" s="36">
        <f t="shared" si="114"/>
        <v>1440</v>
      </c>
      <c r="AP133" s="36">
        <f t="shared" si="114"/>
        <v>2400</v>
      </c>
      <c r="AR133" s="4" t="str">
        <f t="shared" si="134"/>
        <v>38400,46080,69120,115200,192000,</v>
      </c>
      <c r="AS133" s="36">
        <f t="shared" si="135"/>
        <v>48000</v>
      </c>
      <c r="AT133" s="36">
        <f t="shared" si="115"/>
        <v>38400</v>
      </c>
      <c r="AU133" s="36">
        <f t="shared" si="115"/>
        <v>46080</v>
      </c>
      <c r="AV133" s="36">
        <f t="shared" si="115"/>
        <v>69120</v>
      </c>
      <c r="AW133" s="36">
        <f t="shared" si="115"/>
        <v>115200</v>
      </c>
      <c r="AX133" s="36">
        <f t="shared" si="115"/>
        <v>192000</v>
      </c>
      <c r="AZ133" s="4">
        <f t="shared" si="136"/>
        <v>89</v>
      </c>
      <c r="BA133" s="4">
        <f t="shared" si="137"/>
        <v>0</v>
      </c>
      <c r="BB133" s="4">
        <f t="shared" si="138"/>
        <v>7</v>
      </c>
      <c r="BC133" s="35" t="str">
        <f t="shared" si="139"/>
        <v>89,</v>
      </c>
      <c r="BD133" s="35" t="str">
        <f t="shared" si="116"/>
        <v/>
      </c>
      <c r="BE133" s="35" t="str">
        <f t="shared" si="140"/>
        <v>7,</v>
      </c>
      <c r="BF133" s="36" t="str">
        <f t="shared" si="141"/>
        <v>1,</v>
      </c>
      <c r="BG133" s="36" t="str">
        <f>IF(BA133=0,"",IF(Z133=0,"3,4,5",VLOOKUP(Z133,{1,3;2,4;3,5},2,0))&amp;",")</f>
        <v/>
      </c>
      <c r="BH133" s="36" t="str">
        <f t="shared" si="142"/>
        <v>6,</v>
      </c>
      <c r="BI133" s="34" t="str">
        <f t="shared" si="143"/>
        <v>1,6</v>
      </c>
      <c r="BJ133" s="34" t="str">
        <f t="shared" si="146"/>
        <v>89,7</v>
      </c>
      <c r="BK133" s="34" t="str">
        <f t="shared" si="144"/>
        <v>0,11,17,26,53,106</v>
      </c>
      <c r="BL133" s="4">
        <f t="shared" si="117"/>
        <v>0</v>
      </c>
      <c r="BM133" s="4">
        <f t="shared" si="118"/>
        <v>11</v>
      </c>
      <c r="BN133" s="4">
        <f t="shared" si="119"/>
        <v>17</v>
      </c>
      <c r="BO133" s="4">
        <f t="shared" si="120"/>
        <v>26</v>
      </c>
      <c r="BP133" s="4">
        <f t="shared" si="121"/>
        <v>53</v>
      </c>
      <c r="BQ133" s="4">
        <f t="shared" si="122"/>
        <v>106</v>
      </c>
      <c r="BR133" s="34" t="str">
        <f t="shared" si="123"/>
        <v>2001,2002,2003,2004,2005,2006</v>
      </c>
      <c r="BS133" s="34" t="str">
        <f t="shared" si="145"/>
        <v>22001,22002,22003,22004,22005,22006</v>
      </c>
      <c r="BT133" s="4">
        <f>VLOOKUP(LOOKUP($Y133,$K$48:$K$55,$L$48:$L$55)&amp;BT$1&amp;$W133,装备额外附加!$M:$O,3,0)</f>
        <v>22001</v>
      </c>
      <c r="BU133" s="4">
        <f>VLOOKUP(LOOKUP($Y133,$K$48:$K$55,$L$48:$L$55)&amp;BU$1&amp;$W133,装备额外附加!$M:$O,3,0)</f>
        <v>22002</v>
      </c>
      <c r="BV133" s="4">
        <f>VLOOKUP(LOOKUP($Y133,$K$48:$K$55,$L$48:$L$55)&amp;BV$1&amp;$W133,装备额外附加!$M:$O,3,0)</f>
        <v>22003</v>
      </c>
      <c r="BW133" s="4">
        <f>VLOOKUP(LOOKUP($Y133,$K$48:$K$55,$L$48:$L$55)&amp;BW$1&amp;$W133,装备额外附加!$M:$O,3,0)</f>
        <v>22004</v>
      </c>
      <c r="BX133" s="4">
        <f>VLOOKUP(LOOKUP($Y133,$K$48:$K$55,$L$48:$L$55)&amp;BX$1&amp;$W133,装备额外附加!$M:$O,3,0)</f>
        <v>22005</v>
      </c>
      <c r="BY133" s="4">
        <f>VLOOKUP(LOOKUP($Y133,$K$48:$K$55,$L$48:$L$55)&amp;BY$1&amp;$W133,装备额外附加!$M:$O,3,0)</f>
        <v>22006</v>
      </c>
    </row>
    <row r="134" spans="18:77">
      <c r="R134" s="4" t="s">
        <v>455</v>
      </c>
      <c r="S134" s="4" t="str">
        <f t="shared" si="124"/>
        <v>107011</v>
      </c>
      <c r="T134" s="4" t="s">
        <v>456</v>
      </c>
      <c r="U134" s="36">
        <v>60</v>
      </c>
      <c r="V134" s="36" t="str">
        <f t="shared" si="125"/>
        <v>武器</v>
      </c>
      <c r="W134" s="36" t="str">
        <f t="shared" si="126"/>
        <v>武器</v>
      </c>
      <c r="X134" s="4">
        <f t="shared" si="127"/>
        <v>1</v>
      </c>
      <c r="Y134" s="4">
        <f t="shared" si="128"/>
        <v>61</v>
      </c>
      <c r="Z134" s="4">
        <f t="shared" si="129"/>
        <v>1</v>
      </c>
      <c r="AA134" s="4" t="str">
        <f t="shared" si="130"/>
        <v>140,168,252,420,700,1400</v>
      </c>
      <c r="AB134" s="36">
        <f t="shared" si="131"/>
        <v>140</v>
      </c>
      <c r="AC134" s="36">
        <f t="shared" si="111"/>
        <v>140</v>
      </c>
      <c r="AD134" s="36">
        <f t="shared" si="113"/>
        <v>168</v>
      </c>
      <c r="AE134" s="36">
        <f t="shared" si="113"/>
        <v>252</v>
      </c>
      <c r="AF134" s="36">
        <f t="shared" si="113"/>
        <v>420</v>
      </c>
      <c r="AG134" s="36">
        <f t="shared" si="113"/>
        <v>700</v>
      </c>
      <c r="AH134" s="36">
        <f t="shared" si="112"/>
        <v>1400</v>
      </c>
      <c r="AJ134" s="4" t="str">
        <f t="shared" si="132"/>
        <v>700,840,1260,2100,3500,</v>
      </c>
      <c r="AK134" s="36">
        <f t="shared" si="133"/>
        <v>700</v>
      </c>
      <c r="AL134" s="36">
        <f t="shared" si="114"/>
        <v>700</v>
      </c>
      <c r="AM134" s="36">
        <f t="shared" si="114"/>
        <v>840</v>
      </c>
      <c r="AN134" s="36">
        <f t="shared" si="114"/>
        <v>1260</v>
      </c>
      <c r="AO134" s="36">
        <f t="shared" si="114"/>
        <v>2100</v>
      </c>
      <c r="AP134" s="36">
        <f t="shared" si="114"/>
        <v>3500</v>
      </c>
      <c r="AR134" s="4" t="str">
        <f t="shared" si="134"/>
        <v>56000,67200,100800,168000,280000,</v>
      </c>
      <c r="AS134" s="36">
        <f t="shared" si="135"/>
        <v>56000</v>
      </c>
      <c r="AT134" s="36">
        <f t="shared" si="115"/>
        <v>56000</v>
      </c>
      <c r="AU134" s="36">
        <f t="shared" si="115"/>
        <v>67200</v>
      </c>
      <c r="AV134" s="36">
        <f t="shared" si="115"/>
        <v>100800</v>
      </c>
      <c r="AW134" s="36">
        <f t="shared" si="115"/>
        <v>168000</v>
      </c>
      <c r="AX134" s="36">
        <f t="shared" si="115"/>
        <v>280000</v>
      </c>
      <c r="AZ134" s="4">
        <f t="shared" si="136"/>
        <v>0</v>
      </c>
      <c r="BA134" s="4">
        <f t="shared" si="137"/>
        <v>32</v>
      </c>
      <c r="BB134" s="4">
        <f t="shared" si="138"/>
        <v>0</v>
      </c>
      <c r="BC134" s="35" t="str">
        <f t="shared" si="139"/>
        <v/>
      </c>
      <c r="BD134" s="35" t="str">
        <f t="shared" si="116"/>
        <v>70,</v>
      </c>
      <c r="BE134" s="35" t="str">
        <f t="shared" si="140"/>
        <v/>
      </c>
      <c r="BF134" s="36" t="str">
        <f t="shared" si="141"/>
        <v/>
      </c>
      <c r="BG134" s="36" t="str">
        <f>IF(BA134=0,"",IF(Z134=0,"3,4,5",VLOOKUP(Z134,{1,3;2,4;3,5},2,0))&amp;",")</f>
        <v>3,</v>
      </c>
      <c r="BH134" s="36" t="str">
        <f t="shared" si="142"/>
        <v/>
      </c>
      <c r="BI134" s="34" t="str">
        <f t="shared" si="143"/>
        <v>3</v>
      </c>
      <c r="BJ134" s="34" t="str">
        <f t="shared" si="146"/>
        <v>70</v>
      </c>
      <c r="BK134" s="34" t="str">
        <f t="shared" si="144"/>
        <v>0,24,36,54,108,217</v>
      </c>
      <c r="BL134" s="4">
        <f t="shared" si="117"/>
        <v>0</v>
      </c>
      <c r="BM134" s="4">
        <f t="shared" si="118"/>
        <v>24</v>
      </c>
      <c r="BN134" s="4">
        <f t="shared" si="119"/>
        <v>36</v>
      </c>
      <c r="BO134" s="4">
        <f t="shared" si="120"/>
        <v>54</v>
      </c>
      <c r="BP134" s="4">
        <f t="shared" si="121"/>
        <v>108</v>
      </c>
      <c r="BQ134" s="4">
        <f t="shared" si="122"/>
        <v>217</v>
      </c>
      <c r="BR134" s="34" t="str">
        <f t="shared" si="123"/>
        <v>1001,1002,1003,1004,1005,1006</v>
      </c>
      <c r="BS134" s="34" t="str">
        <f t="shared" si="145"/>
        <v>13001,13002,13003,13004,13005,13006</v>
      </c>
      <c r="BT134" s="4">
        <f>VLOOKUP(LOOKUP($Y134,$K$48:$K$55,$L$48:$L$55)&amp;BT$1&amp;$W134,装备额外附加!$M:$O,3,0)</f>
        <v>13001</v>
      </c>
      <c r="BU134" s="4">
        <f>VLOOKUP(LOOKUP($Y134,$K$48:$K$55,$L$48:$L$55)&amp;BU$1&amp;$W134,装备额外附加!$M:$O,3,0)</f>
        <v>13002</v>
      </c>
      <c r="BV134" s="4">
        <f>VLOOKUP(LOOKUP($Y134,$K$48:$K$55,$L$48:$L$55)&amp;BV$1&amp;$W134,装备额外附加!$M:$O,3,0)</f>
        <v>13003</v>
      </c>
      <c r="BW134" s="4">
        <f>VLOOKUP(LOOKUP($Y134,$K$48:$K$55,$L$48:$L$55)&amp;BW$1&amp;$W134,装备额外附加!$M:$O,3,0)</f>
        <v>13004</v>
      </c>
      <c r="BX134" s="4">
        <f>VLOOKUP(LOOKUP($Y134,$K$48:$K$55,$L$48:$L$55)&amp;BX$1&amp;$W134,装备额外附加!$M:$O,3,0)</f>
        <v>13005</v>
      </c>
      <c r="BY134" s="4">
        <f>VLOOKUP(LOOKUP($Y134,$K$48:$K$55,$L$48:$L$55)&amp;BY$1&amp;$W134,装备额外附加!$M:$O,3,0)</f>
        <v>13006</v>
      </c>
    </row>
    <row r="135" spans="18:77">
      <c r="R135" s="4" t="s">
        <v>457</v>
      </c>
      <c r="S135" s="4" t="str">
        <f t="shared" si="124"/>
        <v>107012</v>
      </c>
      <c r="T135" s="4" t="s">
        <v>458</v>
      </c>
      <c r="U135" s="36">
        <v>60</v>
      </c>
      <c r="V135" s="36" t="str">
        <f t="shared" si="125"/>
        <v>头盔</v>
      </c>
      <c r="W135" s="36" t="str">
        <f t="shared" si="126"/>
        <v>护甲</v>
      </c>
      <c r="X135" s="4">
        <f t="shared" si="127"/>
        <v>2</v>
      </c>
      <c r="Y135" s="4">
        <f t="shared" si="128"/>
        <v>67</v>
      </c>
      <c r="Z135" s="4">
        <f t="shared" si="129"/>
        <v>1</v>
      </c>
      <c r="AA135" s="4" t="str">
        <f t="shared" si="130"/>
        <v>126,151,226,378,630,1260</v>
      </c>
      <c r="AB135" s="36">
        <f t="shared" si="131"/>
        <v>140</v>
      </c>
      <c r="AC135" s="36">
        <f t="shared" ref="AC135:AC166" si="147">INT($AB135*VLOOKUP(AC$1,$B$11:$L$16,11,0)*VLOOKUP($V135,$C$22:$M$29,11,0))</f>
        <v>126</v>
      </c>
      <c r="AD135" s="36">
        <f t="shared" si="113"/>
        <v>151</v>
      </c>
      <c r="AE135" s="36">
        <f t="shared" si="113"/>
        <v>226</v>
      </c>
      <c r="AF135" s="36">
        <f t="shared" si="113"/>
        <v>378</v>
      </c>
      <c r="AG135" s="36">
        <f t="shared" si="113"/>
        <v>630</v>
      </c>
      <c r="AH135" s="36">
        <f t="shared" si="112"/>
        <v>1260</v>
      </c>
      <c r="AJ135" s="4" t="str">
        <f t="shared" si="132"/>
        <v>630,756,1134,1890,3150,</v>
      </c>
      <c r="AK135" s="36">
        <f t="shared" si="133"/>
        <v>700</v>
      </c>
      <c r="AL135" s="36">
        <f t="shared" si="114"/>
        <v>630</v>
      </c>
      <c r="AM135" s="36">
        <f t="shared" si="114"/>
        <v>756</v>
      </c>
      <c r="AN135" s="36">
        <f t="shared" si="114"/>
        <v>1134</v>
      </c>
      <c r="AO135" s="36">
        <f t="shared" si="114"/>
        <v>1890</v>
      </c>
      <c r="AP135" s="36">
        <f t="shared" si="114"/>
        <v>3150</v>
      </c>
      <c r="AR135" s="4" t="str">
        <f t="shared" si="134"/>
        <v>50400,60480,90720,151200,252000,</v>
      </c>
      <c r="AS135" s="36">
        <f t="shared" si="135"/>
        <v>56000</v>
      </c>
      <c r="AT135" s="36">
        <f t="shared" si="115"/>
        <v>50400</v>
      </c>
      <c r="AU135" s="36">
        <f t="shared" si="115"/>
        <v>60480</v>
      </c>
      <c r="AV135" s="36">
        <f t="shared" si="115"/>
        <v>90720</v>
      </c>
      <c r="AW135" s="36">
        <f t="shared" si="115"/>
        <v>151200</v>
      </c>
      <c r="AX135" s="36">
        <f t="shared" si="115"/>
        <v>252000</v>
      </c>
      <c r="AZ135" s="4">
        <f t="shared" si="136"/>
        <v>0</v>
      </c>
      <c r="BA135" s="4">
        <f t="shared" si="137"/>
        <v>16</v>
      </c>
      <c r="BB135" s="4">
        <f t="shared" si="138"/>
        <v>13</v>
      </c>
      <c r="BC135" s="35" t="str">
        <f t="shared" si="139"/>
        <v/>
      </c>
      <c r="BD135" s="35" t="str">
        <f t="shared" si="116"/>
        <v>35,</v>
      </c>
      <c r="BE135" s="35" t="str">
        <f t="shared" si="140"/>
        <v>13,</v>
      </c>
      <c r="BF135" s="36" t="str">
        <f t="shared" si="141"/>
        <v/>
      </c>
      <c r="BG135" s="36" t="str">
        <f>IF(BA135=0,"",IF(Z135=0,"3,4,5",VLOOKUP(Z135,{1,3;2,4;3,5},2,0))&amp;",")</f>
        <v>3,</v>
      </c>
      <c r="BH135" s="36" t="str">
        <f t="shared" si="142"/>
        <v>6,</v>
      </c>
      <c r="BI135" s="34" t="str">
        <f t="shared" si="143"/>
        <v>3,6</v>
      </c>
      <c r="BJ135" s="34" t="str">
        <f t="shared" si="146"/>
        <v>35,13</v>
      </c>
      <c r="BK135" s="34" t="str">
        <f t="shared" si="144"/>
        <v>0,16,24,36,72,145</v>
      </c>
      <c r="BL135" s="4">
        <f t="shared" si="117"/>
        <v>0</v>
      </c>
      <c r="BM135" s="4">
        <f t="shared" si="118"/>
        <v>16</v>
      </c>
      <c r="BN135" s="4">
        <f t="shared" si="119"/>
        <v>24</v>
      </c>
      <c r="BO135" s="4">
        <f t="shared" si="120"/>
        <v>36</v>
      </c>
      <c r="BP135" s="4">
        <f t="shared" si="121"/>
        <v>72</v>
      </c>
      <c r="BQ135" s="4">
        <f t="shared" si="122"/>
        <v>145</v>
      </c>
      <c r="BR135" s="34" t="str">
        <f t="shared" si="123"/>
        <v>2001,2002,2003,2004,2005,2006</v>
      </c>
      <c r="BS135" s="34" t="str">
        <f t="shared" si="145"/>
        <v>23001,23002,23003,23004,23005,23006</v>
      </c>
      <c r="BT135" s="4">
        <f>VLOOKUP(LOOKUP($Y135,$K$48:$K$55,$L$48:$L$55)&amp;BT$1&amp;$W135,装备额外附加!$M:$O,3,0)</f>
        <v>23001</v>
      </c>
      <c r="BU135" s="4">
        <f>VLOOKUP(LOOKUP($Y135,$K$48:$K$55,$L$48:$L$55)&amp;BU$1&amp;$W135,装备额外附加!$M:$O,3,0)</f>
        <v>23002</v>
      </c>
      <c r="BV135" s="4">
        <f>VLOOKUP(LOOKUP($Y135,$K$48:$K$55,$L$48:$L$55)&amp;BV$1&amp;$W135,装备额外附加!$M:$O,3,0)</f>
        <v>23003</v>
      </c>
      <c r="BW135" s="4">
        <f>VLOOKUP(LOOKUP($Y135,$K$48:$K$55,$L$48:$L$55)&amp;BW$1&amp;$W135,装备额外附加!$M:$O,3,0)</f>
        <v>23004</v>
      </c>
      <c r="BX135" s="4">
        <f>VLOOKUP(LOOKUP($Y135,$K$48:$K$55,$L$48:$L$55)&amp;BX$1&amp;$W135,装备额外附加!$M:$O,3,0)</f>
        <v>23005</v>
      </c>
      <c r="BY135" s="4">
        <f>VLOOKUP(LOOKUP($Y135,$K$48:$K$55,$L$48:$L$55)&amp;BY$1&amp;$W135,装备额外附加!$M:$O,3,0)</f>
        <v>23006</v>
      </c>
    </row>
    <row r="136" spans="18:77">
      <c r="R136" s="4" t="s">
        <v>459</v>
      </c>
      <c r="S136" s="4" t="str">
        <f t="shared" si="124"/>
        <v>107013</v>
      </c>
      <c r="T136" s="4" t="s">
        <v>460</v>
      </c>
      <c r="U136" s="36">
        <v>60</v>
      </c>
      <c r="V136" s="36" t="str">
        <f t="shared" si="125"/>
        <v>衣服</v>
      </c>
      <c r="W136" s="36" t="str">
        <f t="shared" si="126"/>
        <v>护甲</v>
      </c>
      <c r="X136" s="4">
        <f t="shared" si="127"/>
        <v>3</v>
      </c>
      <c r="Y136" s="4">
        <f t="shared" si="128"/>
        <v>65</v>
      </c>
      <c r="Z136" s="4">
        <f t="shared" si="129"/>
        <v>1</v>
      </c>
      <c r="AA136" s="4" t="str">
        <f t="shared" si="130"/>
        <v>126,151,226,378,630,1260</v>
      </c>
      <c r="AB136" s="36">
        <f t="shared" si="131"/>
        <v>140</v>
      </c>
      <c r="AC136" s="36">
        <f t="shared" si="147"/>
        <v>126</v>
      </c>
      <c r="AD136" s="36">
        <f t="shared" si="113"/>
        <v>151</v>
      </c>
      <c r="AE136" s="36">
        <f t="shared" si="113"/>
        <v>226</v>
      </c>
      <c r="AF136" s="36">
        <f t="shared" si="113"/>
        <v>378</v>
      </c>
      <c r="AG136" s="36">
        <f t="shared" si="113"/>
        <v>630</v>
      </c>
      <c r="AH136" s="36">
        <f t="shared" si="112"/>
        <v>1260</v>
      </c>
      <c r="AJ136" s="4" t="str">
        <f t="shared" si="132"/>
        <v>630,756,1134,1890,3150,</v>
      </c>
      <c r="AK136" s="36">
        <f t="shared" si="133"/>
        <v>700</v>
      </c>
      <c r="AL136" s="36">
        <f t="shared" si="114"/>
        <v>630</v>
      </c>
      <c r="AM136" s="36">
        <f t="shared" si="114"/>
        <v>756</v>
      </c>
      <c r="AN136" s="36">
        <f t="shared" si="114"/>
        <v>1134</v>
      </c>
      <c r="AO136" s="36">
        <f t="shared" si="114"/>
        <v>1890</v>
      </c>
      <c r="AP136" s="36">
        <f t="shared" si="114"/>
        <v>3150</v>
      </c>
      <c r="AR136" s="4" t="str">
        <f t="shared" si="134"/>
        <v>50400,60480,90720,151200,252000,</v>
      </c>
      <c r="AS136" s="36">
        <f t="shared" si="135"/>
        <v>56000</v>
      </c>
      <c r="AT136" s="36">
        <f t="shared" si="115"/>
        <v>50400</v>
      </c>
      <c r="AU136" s="36">
        <f t="shared" si="115"/>
        <v>60480</v>
      </c>
      <c r="AV136" s="36">
        <f t="shared" si="115"/>
        <v>90720</v>
      </c>
      <c r="AW136" s="36">
        <f t="shared" si="115"/>
        <v>151200</v>
      </c>
      <c r="AX136" s="36">
        <f t="shared" si="115"/>
        <v>252000</v>
      </c>
      <c r="AZ136" s="4">
        <f t="shared" si="136"/>
        <v>243</v>
      </c>
      <c r="BA136" s="4">
        <f t="shared" si="137"/>
        <v>0</v>
      </c>
      <c r="BB136" s="4">
        <f t="shared" si="138"/>
        <v>13</v>
      </c>
      <c r="BC136" s="35" t="str">
        <f t="shared" si="139"/>
        <v>243,</v>
      </c>
      <c r="BD136" s="35" t="str">
        <f t="shared" si="116"/>
        <v/>
      </c>
      <c r="BE136" s="35" t="str">
        <f t="shared" si="140"/>
        <v>13,</v>
      </c>
      <c r="BF136" s="36" t="str">
        <f t="shared" si="141"/>
        <v>1,</v>
      </c>
      <c r="BG136" s="36" t="str">
        <f>IF(BA136=0,"",IF(Z136=0,"3,4,5",VLOOKUP(Z136,{1,3;2,4;3,5},2,0))&amp;",")</f>
        <v/>
      </c>
      <c r="BH136" s="36" t="str">
        <f t="shared" si="142"/>
        <v>6,</v>
      </c>
      <c r="BI136" s="34" t="str">
        <f t="shared" si="143"/>
        <v>1,6</v>
      </c>
      <c r="BJ136" s="34" t="str">
        <f t="shared" si="146"/>
        <v>243,13</v>
      </c>
      <c r="BK136" s="34" t="str">
        <f t="shared" si="144"/>
        <v>0,16,24,36,72,145</v>
      </c>
      <c r="BL136" s="4">
        <f t="shared" si="117"/>
        <v>0</v>
      </c>
      <c r="BM136" s="4">
        <f t="shared" si="118"/>
        <v>16</v>
      </c>
      <c r="BN136" s="4">
        <f t="shared" si="119"/>
        <v>24</v>
      </c>
      <c r="BO136" s="4">
        <f t="shared" si="120"/>
        <v>36</v>
      </c>
      <c r="BP136" s="4">
        <f t="shared" si="121"/>
        <v>72</v>
      </c>
      <c r="BQ136" s="4">
        <f t="shared" si="122"/>
        <v>145</v>
      </c>
      <c r="BR136" s="34" t="str">
        <f t="shared" si="123"/>
        <v>2001,2002,2003,2004,2005,2006</v>
      </c>
      <c r="BS136" s="34" t="str">
        <f t="shared" si="145"/>
        <v>23001,23002,23003,23004,23005,23006</v>
      </c>
      <c r="BT136" s="4">
        <f>VLOOKUP(LOOKUP($Y136,$K$48:$K$55,$L$48:$L$55)&amp;BT$1&amp;$W136,装备额外附加!$M:$O,3,0)</f>
        <v>23001</v>
      </c>
      <c r="BU136" s="4">
        <f>VLOOKUP(LOOKUP($Y136,$K$48:$K$55,$L$48:$L$55)&amp;BU$1&amp;$W136,装备额外附加!$M:$O,3,0)</f>
        <v>23002</v>
      </c>
      <c r="BV136" s="4">
        <f>VLOOKUP(LOOKUP($Y136,$K$48:$K$55,$L$48:$L$55)&amp;BV$1&amp;$W136,装备额外附加!$M:$O,3,0)</f>
        <v>23003</v>
      </c>
      <c r="BW136" s="4">
        <f>VLOOKUP(LOOKUP($Y136,$K$48:$K$55,$L$48:$L$55)&amp;BW$1&amp;$W136,装备额外附加!$M:$O,3,0)</f>
        <v>23004</v>
      </c>
      <c r="BX136" s="4">
        <f>VLOOKUP(LOOKUP($Y136,$K$48:$K$55,$L$48:$L$55)&amp;BX$1&amp;$W136,装备额外附加!$M:$O,3,0)</f>
        <v>23005</v>
      </c>
      <c r="BY136" s="4">
        <f>VLOOKUP(LOOKUP($Y136,$K$48:$K$55,$L$48:$L$55)&amp;BY$1&amp;$W136,装备额外附加!$M:$O,3,0)</f>
        <v>23006</v>
      </c>
    </row>
    <row r="137" spans="18:77">
      <c r="R137" s="4" t="s">
        <v>461</v>
      </c>
      <c r="S137" s="4" t="str">
        <f t="shared" si="124"/>
        <v>107014</v>
      </c>
      <c r="T137" s="4" t="s">
        <v>462</v>
      </c>
      <c r="U137" s="36">
        <v>60</v>
      </c>
      <c r="V137" s="36" t="str">
        <f t="shared" si="125"/>
        <v>腰带</v>
      </c>
      <c r="W137" s="36" t="str">
        <f t="shared" si="126"/>
        <v>护甲</v>
      </c>
      <c r="X137" s="4">
        <f t="shared" si="127"/>
        <v>4</v>
      </c>
      <c r="Y137" s="4">
        <f t="shared" si="128"/>
        <v>68</v>
      </c>
      <c r="Z137" s="4">
        <f t="shared" si="129"/>
        <v>1</v>
      </c>
      <c r="AA137" s="4" t="str">
        <f t="shared" si="130"/>
        <v>112,134,201,336,560,1120</v>
      </c>
      <c r="AB137" s="36">
        <f t="shared" si="131"/>
        <v>140</v>
      </c>
      <c r="AC137" s="36">
        <f t="shared" si="147"/>
        <v>112</v>
      </c>
      <c r="AD137" s="36">
        <f t="shared" si="113"/>
        <v>134</v>
      </c>
      <c r="AE137" s="36">
        <f t="shared" si="113"/>
        <v>201</v>
      </c>
      <c r="AF137" s="36">
        <f t="shared" si="113"/>
        <v>336</v>
      </c>
      <c r="AG137" s="36">
        <f t="shared" si="113"/>
        <v>560</v>
      </c>
      <c r="AH137" s="36">
        <f t="shared" si="112"/>
        <v>1120</v>
      </c>
      <c r="AJ137" s="4" t="str">
        <f t="shared" si="132"/>
        <v>560,672,1008,1680,2800,</v>
      </c>
      <c r="AK137" s="36">
        <f t="shared" si="133"/>
        <v>700</v>
      </c>
      <c r="AL137" s="36">
        <f t="shared" si="114"/>
        <v>560</v>
      </c>
      <c r="AM137" s="36">
        <f t="shared" si="114"/>
        <v>672</v>
      </c>
      <c r="AN137" s="36">
        <f t="shared" si="114"/>
        <v>1008</v>
      </c>
      <c r="AO137" s="36">
        <f t="shared" si="114"/>
        <v>1680</v>
      </c>
      <c r="AP137" s="36">
        <f t="shared" si="114"/>
        <v>2800</v>
      </c>
      <c r="AR137" s="4" t="str">
        <f t="shared" si="134"/>
        <v>44800,53760,80640,134400,224000,</v>
      </c>
      <c r="AS137" s="36">
        <f t="shared" si="135"/>
        <v>56000</v>
      </c>
      <c r="AT137" s="36">
        <f t="shared" si="115"/>
        <v>44800</v>
      </c>
      <c r="AU137" s="36">
        <f t="shared" si="115"/>
        <v>53760</v>
      </c>
      <c r="AV137" s="36">
        <f t="shared" si="115"/>
        <v>80640</v>
      </c>
      <c r="AW137" s="36">
        <f t="shared" si="115"/>
        <v>134400</v>
      </c>
      <c r="AX137" s="36">
        <f t="shared" si="115"/>
        <v>224000</v>
      </c>
      <c r="AZ137" s="4">
        <f t="shared" si="136"/>
        <v>121</v>
      </c>
      <c r="BA137" s="4">
        <f t="shared" si="137"/>
        <v>0</v>
      </c>
      <c r="BB137" s="4">
        <f t="shared" si="138"/>
        <v>10</v>
      </c>
      <c r="BC137" s="35" t="str">
        <f t="shared" si="139"/>
        <v>121,</v>
      </c>
      <c r="BD137" s="35" t="str">
        <f t="shared" si="116"/>
        <v/>
      </c>
      <c r="BE137" s="35" t="str">
        <f t="shared" si="140"/>
        <v>10,</v>
      </c>
      <c r="BF137" s="36" t="str">
        <f t="shared" si="141"/>
        <v>1,</v>
      </c>
      <c r="BG137" s="36" t="str">
        <f>IF(BA137=0,"",IF(Z137=0,"3,4,5",VLOOKUP(Z137,{1,3;2,4;3,5},2,0))&amp;",")</f>
        <v/>
      </c>
      <c r="BH137" s="36" t="str">
        <f t="shared" si="142"/>
        <v>6,</v>
      </c>
      <c r="BI137" s="34" t="str">
        <f t="shared" si="143"/>
        <v>1,6</v>
      </c>
      <c r="BJ137" s="34" t="str">
        <f t="shared" si="146"/>
        <v>121,10</v>
      </c>
      <c r="BK137" s="34" t="str">
        <f t="shared" si="144"/>
        <v>0,16,24,36,72,145</v>
      </c>
      <c r="BL137" s="4">
        <f t="shared" si="117"/>
        <v>0</v>
      </c>
      <c r="BM137" s="4">
        <f t="shared" si="118"/>
        <v>16</v>
      </c>
      <c r="BN137" s="4">
        <f t="shared" si="119"/>
        <v>24</v>
      </c>
      <c r="BO137" s="4">
        <f t="shared" si="120"/>
        <v>36</v>
      </c>
      <c r="BP137" s="4">
        <f t="shared" si="121"/>
        <v>72</v>
      </c>
      <c r="BQ137" s="4">
        <f t="shared" si="122"/>
        <v>145</v>
      </c>
      <c r="BR137" s="34" t="str">
        <f t="shared" si="123"/>
        <v>2001,2002,2003,2004,2005,2006</v>
      </c>
      <c r="BS137" s="34" t="str">
        <f t="shared" si="145"/>
        <v>23001,23002,23003,23004,23005,23006</v>
      </c>
      <c r="BT137" s="4">
        <f>VLOOKUP(LOOKUP($Y137,$K$48:$K$55,$L$48:$L$55)&amp;BT$1&amp;$W137,装备额外附加!$M:$O,3,0)</f>
        <v>23001</v>
      </c>
      <c r="BU137" s="4">
        <f>VLOOKUP(LOOKUP($Y137,$K$48:$K$55,$L$48:$L$55)&amp;BU$1&amp;$W137,装备额外附加!$M:$O,3,0)</f>
        <v>23002</v>
      </c>
      <c r="BV137" s="4">
        <f>VLOOKUP(LOOKUP($Y137,$K$48:$K$55,$L$48:$L$55)&amp;BV$1&amp;$W137,装备额外附加!$M:$O,3,0)</f>
        <v>23003</v>
      </c>
      <c r="BW137" s="4">
        <f>VLOOKUP(LOOKUP($Y137,$K$48:$K$55,$L$48:$L$55)&amp;BW$1&amp;$W137,装备额外附加!$M:$O,3,0)</f>
        <v>23004</v>
      </c>
      <c r="BX137" s="4">
        <f>VLOOKUP(LOOKUP($Y137,$K$48:$K$55,$L$48:$L$55)&amp;BX$1&amp;$W137,装备额外附加!$M:$O,3,0)</f>
        <v>23005</v>
      </c>
      <c r="BY137" s="4">
        <f>VLOOKUP(LOOKUP($Y137,$K$48:$K$55,$L$48:$L$55)&amp;BY$1&amp;$W137,装备额外附加!$M:$O,3,0)</f>
        <v>23006</v>
      </c>
    </row>
    <row r="138" spans="18:77">
      <c r="R138" s="4" t="s">
        <v>463</v>
      </c>
      <c r="S138" s="4" t="str">
        <f t="shared" si="124"/>
        <v>107015</v>
      </c>
      <c r="T138" s="4" t="s">
        <v>464</v>
      </c>
      <c r="U138" s="36">
        <v>60</v>
      </c>
      <c r="V138" s="36" t="str">
        <f t="shared" si="125"/>
        <v>鞋子</v>
      </c>
      <c r="W138" s="36" t="str">
        <f t="shared" si="126"/>
        <v>护甲</v>
      </c>
      <c r="X138" s="4">
        <f t="shared" si="127"/>
        <v>5</v>
      </c>
      <c r="Y138" s="4">
        <f t="shared" si="128"/>
        <v>62</v>
      </c>
      <c r="Z138" s="4">
        <f t="shared" si="129"/>
        <v>1</v>
      </c>
      <c r="AA138" s="4" t="str">
        <f t="shared" si="130"/>
        <v>112,134,201,336,560,1120</v>
      </c>
      <c r="AB138" s="36">
        <f t="shared" si="131"/>
        <v>140</v>
      </c>
      <c r="AC138" s="36">
        <f t="shared" si="147"/>
        <v>112</v>
      </c>
      <c r="AD138" s="36">
        <f t="shared" ref="AD138:AG157" si="148">INT($AB138*VLOOKUP(AD$1,$B$11:$L$16,11,0)*VLOOKUP($V138,$C$22:$M$29,11,0))</f>
        <v>134</v>
      </c>
      <c r="AE138" s="36">
        <f t="shared" si="148"/>
        <v>201</v>
      </c>
      <c r="AF138" s="36">
        <f t="shared" si="148"/>
        <v>336</v>
      </c>
      <c r="AG138" s="36">
        <f t="shared" si="148"/>
        <v>560</v>
      </c>
      <c r="AH138" s="36">
        <f t="shared" si="112"/>
        <v>1120</v>
      </c>
      <c r="AJ138" s="4" t="str">
        <f t="shared" si="132"/>
        <v>560,672,1008,1680,2800,</v>
      </c>
      <c r="AK138" s="36">
        <f t="shared" si="133"/>
        <v>700</v>
      </c>
      <c r="AL138" s="36">
        <f t="shared" si="114"/>
        <v>560</v>
      </c>
      <c r="AM138" s="36">
        <f t="shared" si="114"/>
        <v>672</v>
      </c>
      <c r="AN138" s="36">
        <f t="shared" si="114"/>
        <v>1008</v>
      </c>
      <c r="AO138" s="36">
        <f t="shared" si="114"/>
        <v>1680</v>
      </c>
      <c r="AP138" s="36">
        <f t="shared" si="114"/>
        <v>2800</v>
      </c>
      <c r="AR138" s="4" t="str">
        <f t="shared" si="134"/>
        <v>44800,53760,80640,134400,224000,</v>
      </c>
      <c r="AS138" s="36">
        <f t="shared" si="135"/>
        <v>56000</v>
      </c>
      <c r="AT138" s="36">
        <f t="shared" si="115"/>
        <v>44800</v>
      </c>
      <c r="AU138" s="36">
        <f t="shared" si="115"/>
        <v>53760</v>
      </c>
      <c r="AV138" s="36">
        <f t="shared" si="115"/>
        <v>80640</v>
      </c>
      <c r="AW138" s="36">
        <f t="shared" si="115"/>
        <v>134400</v>
      </c>
      <c r="AX138" s="36">
        <f t="shared" si="115"/>
        <v>224000</v>
      </c>
      <c r="AZ138" s="4">
        <f t="shared" si="136"/>
        <v>121</v>
      </c>
      <c r="BA138" s="4">
        <f t="shared" si="137"/>
        <v>0</v>
      </c>
      <c r="BB138" s="4">
        <f t="shared" si="138"/>
        <v>10</v>
      </c>
      <c r="BC138" s="35" t="str">
        <f t="shared" si="139"/>
        <v>121,</v>
      </c>
      <c r="BD138" s="35" t="str">
        <f t="shared" si="116"/>
        <v/>
      </c>
      <c r="BE138" s="35" t="str">
        <f t="shared" si="140"/>
        <v>10,</v>
      </c>
      <c r="BF138" s="36" t="str">
        <f t="shared" si="141"/>
        <v>1,</v>
      </c>
      <c r="BG138" s="36" t="str">
        <f>IF(BA138=0,"",IF(Z138=0,"3,4,5",VLOOKUP(Z138,{1,3;2,4;3,5},2,0))&amp;",")</f>
        <v/>
      </c>
      <c r="BH138" s="36" t="str">
        <f t="shared" si="142"/>
        <v>6,</v>
      </c>
      <c r="BI138" s="34" t="str">
        <f t="shared" si="143"/>
        <v>1,6</v>
      </c>
      <c r="BJ138" s="34" t="str">
        <f t="shared" si="146"/>
        <v>121,10</v>
      </c>
      <c r="BK138" s="34" t="str">
        <f t="shared" si="144"/>
        <v>0,16,24,36,72,145</v>
      </c>
      <c r="BL138" s="4">
        <f t="shared" si="117"/>
        <v>0</v>
      </c>
      <c r="BM138" s="4">
        <f t="shared" si="118"/>
        <v>16</v>
      </c>
      <c r="BN138" s="4">
        <f t="shared" si="119"/>
        <v>24</v>
      </c>
      <c r="BO138" s="4">
        <f t="shared" si="120"/>
        <v>36</v>
      </c>
      <c r="BP138" s="4">
        <f t="shared" si="121"/>
        <v>72</v>
      </c>
      <c r="BQ138" s="4">
        <f t="shared" si="122"/>
        <v>145</v>
      </c>
      <c r="BR138" s="34" t="str">
        <f t="shared" si="123"/>
        <v>2001,2002,2003,2004,2005,2006</v>
      </c>
      <c r="BS138" s="34" t="str">
        <f t="shared" si="145"/>
        <v>23001,23002,23003,23004,23005,23006</v>
      </c>
      <c r="BT138" s="4">
        <f>VLOOKUP(LOOKUP($Y138,$K$48:$K$55,$L$48:$L$55)&amp;BT$1&amp;$W138,装备额外附加!$M:$O,3,0)</f>
        <v>23001</v>
      </c>
      <c r="BU138" s="4">
        <f>VLOOKUP(LOOKUP($Y138,$K$48:$K$55,$L$48:$L$55)&amp;BU$1&amp;$W138,装备额外附加!$M:$O,3,0)</f>
        <v>23002</v>
      </c>
      <c r="BV138" s="4">
        <f>VLOOKUP(LOOKUP($Y138,$K$48:$K$55,$L$48:$L$55)&amp;BV$1&amp;$W138,装备额外附加!$M:$O,3,0)</f>
        <v>23003</v>
      </c>
      <c r="BW138" s="4">
        <f>VLOOKUP(LOOKUP($Y138,$K$48:$K$55,$L$48:$L$55)&amp;BW$1&amp;$W138,装备额外附加!$M:$O,3,0)</f>
        <v>23004</v>
      </c>
      <c r="BX138" s="4">
        <f>VLOOKUP(LOOKUP($Y138,$K$48:$K$55,$L$48:$L$55)&amp;BX$1&amp;$W138,装备额外附加!$M:$O,3,0)</f>
        <v>23005</v>
      </c>
      <c r="BY138" s="4">
        <f>VLOOKUP(LOOKUP($Y138,$K$48:$K$55,$L$48:$L$55)&amp;BY$1&amp;$W138,装备额外附加!$M:$O,3,0)</f>
        <v>23006</v>
      </c>
    </row>
    <row r="139" spans="18:77">
      <c r="R139" s="4" t="s">
        <v>465</v>
      </c>
      <c r="S139" s="4" t="str">
        <f t="shared" si="124"/>
        <v>108011</v>
      </c>
      <c r="T139" s="4" t="s">
        <v>466</v>
      </c>
      <c r="U139" s="36">
        <v>70</v>
      </c>
      <c r="V139" s="36" t="str">
        <f t="shared" si="125"/>
        <v>武器</v>
      </c>
      <c r="W139" s="36" t="str">
        <f t="shared" si="126"/>
        <v>武器</v>
      </c>
      <c r="X139" s="4">
        <f t="shared" si="127"/>
        <v>1</v>
      </c>
      <c r="Y139" s="4">
        <f t="shared" si="128"/>
        <v>71</v>
      </c>
      <c r="Z139" s="4">
        <f t="shared" si="129"/>
        <v>1</v>
      </c>
      <c r="AA139" s="4" t="str">
        <f t="shared" si="130"/>
        <v>160,192,288,480,800,1600</v>
      </c>
      <c r="AB139" s="36">
        <f t="shared" si="131"/>
        <v>160</v>
      </c>
      <c r="AC139" s="36">
        <f t="shared" si="147"/>
        <v>160</v>
      </c>
      <c r="AD139" s="36">
        <f t="shared" si="148"/>
        <v>192</v>
      </c>
      <c r="AE139" s="36">
        <f t="shared" si="148"/>
        <v>288</v>
      </c>
      <c r="AF139" s="36">
        <f t="shared" si="148"/>
        <v>480</v>
      </c>
      <c r="AG139" s="36">
        <f t="shared" si="148"/>
        <v>800</v>
      </c>
      <c r="AH139" s="36">
        <f t="shared" si="112"/>
        <v>1600</v>
      </c>
      <c r="AJ139" s="4" t="str">
        <f t="shared" si="132"/>
        <v>800,960,1440,2400,4000,</v>
      </c>
      <c r="AK139" s="36">
        <f t="shared" si="133"/>
        <v>800</v>
      </c>
      <c r="AL139" s="36">
        <f t="shared" si="114"/>
        <v>800</v>
      </c>
      <c r="AM139" s="36">
        <f t="shared" si="114"/>
        <v>960</v>
      </c>
      <c r="AN139" s="36">
        <f t="shared" si="114"/>
        <v>1440</v>
      </c>
      <c r="AO139" s="36">
        <f t="shared" si="114"/>
        <v>2400</v>
      </c>
      <c r="AP139" s="36">
        <f t="shared" si="114"/>
        <v>4000</v>
      </c>
      <c r="AR139" s="4" t="str">
        <f t="shared" si="134"/>
        <v>64000,76800,115200,192000,320000,</v>
      </c>
      <c r="AS139" s="36">
        <f t="shared" si="135"/>
        <v>64000</v>
      </c>
      <c r="AT139" s="36">
        <f t="shared" si="115"/>
        <v>64000</v>
      </c>
      <c r="AU139" s="36">
        <f t="shared" si="115"/>
        <v>76800</v>
      </c>
      <c r="AV139" s="36">
        <f t="shared" si="115"/>
        <v>115200</v>
      </c>
      <c r="AW139" s="36">
        <f t="shared" si="115"/>
        <v>192000</v>
      </c>
      <c r="AX139" s="36">
        <f t="shared" si="115"/>
        <v>320000</v>
      </c>
      <c r="AZ139" s="4">
        <f t="shared" si="136"/>
        <v>0</v>
      </c>
      <c r="BA139" s="4">
        <f t="shared" si="137"/>
        <v>44</v>
      </c>
      <c r="BB139" s="4">
        <f t="shared" si="138"/>
        <v>0</v>
      </c>
      <c r="BC139" s="35" t="str">
        <f t="shared" si="139"/>
        <v/>
      </c>
      <c r="BD139" s="35" t="str">
        <f t="shared" si="116"/>
        <v>96,</v>
      </c>
      <c r="BE139" s="35" t="str">
        <f t="shared" si="140"/>
        <v/>
      </c>
      <c r="BF139" s="36" t="str">
        <f t="shared" si="141"/>
        <v/>
      </c>
      <c r="BG139" s="36" t="str">
        <f>IF(BA139=0,"",IF(Z139=0,"3,4,5",VLOOKUP(Z139,{1,3;2,4;3,5},2,0))&amp;",")</f>
        <v>3,</v>
      </c>
      <c r="BH139" s="36" t="str">
        <f t="shared" si="142"/>
        <v/>
      </c>
      <c r="BI139" s="34" t="str">
        <f t="shared" si="143"/>
        <v>3</v>
      </c>
      <c r="BJ139" s="34" t="str">
        <f t="shared" si="146"/>
        <v>96</v>
      </c>
      <c r="BK139" s="34" t="str">
        <f t="shared" si="144"/>
        <v>0,33,49,75,150,300</v>
      </c>
      <c r="BL139" s="4">
        <f t="shared" si="117"/>
        <v>0</v>
      </c>
      <c r="BM139" s="4">
        <f t="shared" si="118"/>
        <v>33</v>
      </c>
      <c r="BN139" s="4">
        <f t="shared" si="119"/>
        <v>49</v>
      </c>
      <c r="BO139" s="4">
        <f t="shared" si="120"/>
        <v>75</v>
      </c>
      <c r="BP139" s="4">
        <f t="shared" si="121"/>
        <v>150</v>
      </c>
      <c r="BQ139" s="4">
        <f t="shared" si="122"/>
        <v>300</v>
      </c>
      <c r="BR139" s="34" t="str">
        <f t="shared" si="123"/>
        <v>1001,1002,1003,1004,1005,1006</v>
      </c>
      <c r="BS139" s="34" t="str">
        <f t="shared" si="145"/>
        <v>13001,13002,13003,13004,13005,13006</v>
      </c>
      <c r="BT139" s="4">
        <f>VLOOKUP(LOOKUP($Y139,$K$48:$K$55,$L$48:$L$55)&amp;BT$1&amp;$W139,装备额外附加!$M:$O,3,0)</f>
        <v>13001</v>
      </c>
      <c r="BU139" s="4">
        <f>VLOOKUP(LOOKUP($Y139,$K$48:$K$55,$L$48:$L$55)&amp;BU$1&amp;$W139,装备额外附加!$M:$O,3,0)</f>
        <v>13002</v>
      </c>
      <c r="BV139" s="4">
        <f>VLOOKUP(LOOKUP($Y139,$K$48:$K$55,$L$48:$L$55)&amp;BV$1&amp;$W139,装备额外附加!$M:$O,3,0)</f>
        <v>13003</v>
      </c>
      <c r="BW139" s="4">
        <f>VLOOKUP(LOOKUP($Y139,$K$48:$K$55,$L$48:$L$55)&amp;BW$1&amp;$W139,装备额外附加!$M:$O,3,0)</f>
        <v>13004</v>
      </c>
      <c r="BX139" s="4">
        <f>VLOOKUP(LOOKUP($Y139,$K$48:$K$55,$L$48:$L$55)&amp;BX$1&amp;$W139,装备额外附加!$M:$O,3,0)</f>
        <v>13005</v>
      </c>
      <c r="BY139" s="4">
        <f>VLOOKUP(LOOKUP($Y139,$K$48:$K$55,$L$48:$L$55)&amp;BY$1&amp;$W139,装备额外附加!$M:$O,3,0)</f>
        <v>13006</v>
      </c>
    </row>
    <row r="140" spans="18:77">
      <c r="R140" s="4" t="s">
        <v>467</v>
      </c>
      <c r="S140" s="4" t="str">
        <f t="shared" si="124"/>
        <v>108012</v>
      </c>
      <c r="T140" s="4" t="s">
        <v>468</v>
      </c>
      <c r="U140" s="36">
        <v>70</v>
      </c>
      <c r="V140" s="36" t="str">
        <f t="shared" si="125"/>
        <v>头盔</v>
      </c>
      <c r="W140" s="36" t="str">
        <f t="shared" si="126"/>
        <v>护甲</v>
      </c>
      <c r="X140" s="4">
        <f t="shared" si="127"/>
        <v>2</v>
      </c>
      <c r="Y140" s="4">
        <f t="shared" si="128"/>
        <v>77</v>
      </c>
      <c r="Z140" s="4">
        <f t="shared" si="129"/>
        <v>1</v>
      </c>
      <c r="AA140" s="4" t="str">
        <f t="shared" si="130"/>
        <v>144,172,259,432,720,1440</v>
      </c>
      <c r="AB140" s="36">
        <f t="shared" si="131"/>
        <v>160</v>
      </c>
      <c r="AC140" s="36">
        <f t="shared" si="147"/>
        <v>144</v>
      </c>
      <c r="AD140" s="36">
        <f t="shared" si="148"/>
        <v>172</v>
      </c>
      <c r="AE140" s="36">
        <f t="shared" si="148"/>
        <v>259</v>
      </c>
      <c r="AF140" s="36">
        <f t="shared" si="148"/>
        <v>432</v>
      </c>
      <c r="AG140" s="36">
        <f t="shared" si="148"/>
        <v>720</v>
      </c>
      <c r="AH140" s="36">
        <f t="shared" si="112"/>
        <v>1440</v>
      </c>
      <c r="AJ140" s="4" t="str">
        <f t="shared" si="132"/>
        <v>720,864,1296,2160,3600,</v>
      </c>
      <c r="AK140" s="36">
        <f t="shared" si="133"/>
        <v>800</v>
      </c>
      <c r="AL140" s="36">
        <f t="shared" si="114"/>
        <v>720</v>
      </c>
      <c r="AM140" s="36">
        <f t="shared" si="114"/>
        <v>864</v>
      </c>
      <c r="AN140" s="36">
        <f t="shared" si="114"/>
        <v>1296</v>
      </c>
      <c r="AO140" s="36">
        <f t="shared" si="114"/>
        <v>2160</v>
      </c>
      <c r="AP140" s="36">
        <f t="shared" si="114"/>
        <v>3600</v>
      </c>
      <c r="AR140" s="4" t="str">
        <f t="shared" si="134"/>
        <v>57600,69120,103680,172800,288000,</v>
      </c>
      <c r="AS140" s="36">
        <f t="shared" si="135"/>
        <v>64000</v>
      </c>
      <c r="AT140" s="36">
        <f t="shared" si="115"/>
        <v>57600</v>
      </c>
      <c r="AU140" s="36">
        <f t="shared" si="115"/>
        <v>69120</v>
      </c>
      <c r="AV140" s="36">
        <f t="shared" si="115"/>
        <v>103680</v>
      </c>
      <c r="AW140" s="36">
        <f t="shared" si="115"/>
        <v>172800</v>
      </c>
      <c r="AX140" s="36">
        <f t="shared" si="115"/>
        <v>288000</v>
      </c>
      <c r="AZ140" s="4">
        <f t="shared" si="136"/>
        <v>0</v>
      </c>
      <c r="BA140" s="4">
        <f t="shared" si="137"/>
        <v>22</v>
      </c>
      <c r="BB140" s="4">
        <f t="shared" si="138"/>
        <v>18</v>
      </c>
      <c r="BC140" s="35" t="str">
        <f t="shared" si="139"/>
        <v/>
      </c>
      <c r="BD140" s="35" t="str">
        <f t="shared" si="116"/>
        <v>48,</v>
      </c>
      <c r="BE140" s="35" t="str">
        <f t="shared" si="140"/>
        <v>18,</v>
      </c>
      <c r="BF140" s="36" t="str">
        <f t="shared" si="141"/>
        <v/>
      </c>
      <c r="BG140" s="36" t="str">
        <f>IF(BA140=0,"",IF(Z140=0,"3,4,5",VLOOKUP(Z140,{1,3;2,4;3,5},2,0))&amp;",")</f>
        <v>3,</v>
      </c>
      <c r="BH140" s="36" t="str">
        <f t="shared" si="142"/>
        <v>6,</v>
      </c>
      <c r="BI140" s="34" t="str">
        <f t="shared" si="143"/>
        <v>3,6</v>
      </c>
      <c r="BJ140" s="34" t="str">
        <f t="shared" si="146"/>
        <v>48,18</v>
      </c>
      <c r="BK140" s="34" t="str">
        <f t="shared" si="144"/>
        <v>0,22,33,50,100,200</v>
      </c>
      <c r="BL140" s="4">
        <f t="shared" si="117"/>
        <v>0</v>
      </c>
      <c r="BM140" s="4">
        <f t="shared" si="118"/>
        <v>22</v>
      </c>
      <c r="BN140" s="4">
        <f t="shared" si="119"/>
        <v>33</v>
      </c>
      <c r="BO140" s="4">
        <f t="shared" si="120"/>
        <v>50</v>
      </c>
      <c r="BP140" s="4">
        <f t="shared" si="121"/>
        <v>100</v>
      </c>
      <c r="BQ140" s="4">
        <f t="shared" si="122"/>
        <v>200</v>
      </c>
      <c r="BR140" s="34" t="str">
        <f t="shared" si="123"/>
        <v>2001,2002,2003,2004,2005,2006</v>
      </c>
      <c r="BS140" s="34" t="str">
        <f t="shared" si="145"/>
        <v>23001,23002,23003,23004,23005,23006</v>
      </c>
      <c r="BT140" s="4">
        <f>VLOOKUP(LOOKUP($Y140,$K$48:$K$55,$L$48:$L$55)&amp;BT$1&amp;$W140,装备额外附加!$M:$O,3,0)</f>
        <v>23001</v>
      </c>
      <c r="BU140" s="4">
        <f>VLOOKUP(LOOKUP($Y140,$K$48:$K$55,$L$48:$L$55)&amp;BU$1&amp;$W140,装备额外附加!$M:$O,3,0)</f>
        <v>23002</v>
      </c>
      <c r="BV140" s="4">
        <f>VLOOKUP(LOOKUP($Y140,$K$48:$K$55,$L$48:$L$55)&amp;BV$1&amp;$W140,装备额外附加!$M:$O,3,0)</f>
        <v>23003</v>
      </c>
      <c r="BW140" s="4">
        <f>VLOOKUP(LOOKUP($Y140,$K$48:$K$55,$L$48:$L$55)&amp;BW$1&amp;$W140,装备额外附加!$M:$O,3,0)</f>
        <v>23004</v>
      </c>
      <c r="BX140" s="4">
        <f>VLOOKUP(LOOKUP($Y140,$K$48:$K$55,$L$48:$L$55)&amp;BX$1&amp;$W140,装备额外附加!$M:$O,3,0)</f>
        <v>23005</v>
      </c>
      <c r="BY140" s="4">
        <f>VLOOKUP(LOOKUP($Y140,$K$48:$K$55,$L$48:$L$55)&amp;BY$1&amp;$W140,装备额外附加!$M:$O,3,0)</f>
        <v>23006</v>
      </c>
    </row>
    <row r="141" spans="18:77">
      <c r="R141" s="4" t="s">
        <v>469</v>
      </c>
      <c r="S141" s="4" t="str">
        <f t="shared" si="124"/>
        <v>108013</v>
      </c>
      <c r="T141" s="4" t="s">
        <v>470</v>
      </c>
      <c r="U141" s="36">
        <v>70</v>
      </c>
      <c r="V141" s="36" t="str">
        <f t="shared" si="125"/>
        <v>衣服</v>
      </c>
      <c r="W141" s="36" t="str">
        <f t="shared" si="126"/>
        <v>护甲</v>
      </c>
      <c r="X141" s="4">
        <f t="shared" si="127"/>
        <v>3</v>
      </c>
      <c r="Y141" s="4">
        <f t="shared" si="128"/>
        <v>75</v>
      </c>
      <c r="Z141" s="4">
        <f t="shared" si="129"/>
        <v>1</v>
      </c>
      <c r="AA141" s="4" t="str">
        <f t="shared" si="130"/>
        <v>144,172,259,432,720,1440</v>
      </c>
      <c r="AB141" s="36">
        <f t="shared" si="131"/>
        <v>160</v>
      </c>
      <c r="AC141" s="36">
        <f t="shared" si="147"/>
        <v>144</v>
      </c>
      <c r="AD141" s="36">
        <f t="shared" si="148"/>
        <v>172</v>
      </c>
      <c r="AE141" s="36">
        <f t="shared" si="148"/>
        <v>259</v>
      </c>
      <c r="AF141" s="36">
        <f t="shared" si="148"/>
        <v>432</v>
      </c>
      <c r="AG141" s="36">
        <f t="shared" si="148"/>
        <v>720</v>
      </c>
      <c r="AH141" s="36">
        <f t="shared" si="112"/>
        <v>1440</v>
      </c>
      <c r="AJ141" s="4" t="str">
        <f t="shared" si="132"/>
        <v>720,864,1296,2160,3600,</v>
      </c>
      <c r="AK141" s="36">
        <f t="shared" si="133"/>
        <v>800</v>
      </c>
      <c r="AL141" s="36">
        <f t="shared" si="114"/>
        <v>720</v>
      </c>
      <c r="AM141" s="36">
        <f t="shared" si="114"/>
        <v>864</v>
      </c>
      <c r="AN141" s="36">
        <f t="shared" si="114"/>
        <v>1296</v>
      </c>
      <c r="AO141" s="36">
        <f t="shared" si="114"/>
        <v>2160</v>
      </c>
      <c r="AP141" s="36">
        <f t="shared" si="114"/>
        <v>3600</v>
      </c>
      <c r="AR141" s="4" t="str">
        <f t="shared" si="134"/>
        <v>57600,69120,103680,172800,288000,</v>
      </c>
      <c r="AS141" s="36">
        <f t="shared" si="135"/>
        <v>64000</v>
      </c>
      <c r="AT141" s="36">
        <f t="shared" si="115"/>
        <v>57600</v>
      </c>
      <c r="AU141" s="36">
        <f t="shared" si="115"/>
        <v>69120</v>
      </c>
      <c r="AV141" s="36">
        <f t="shared" si="115"/>
        <v>103680</v>
      </c>
      <c r="AW141" s="36">
        <f t="shared" si="115"/>
        <v>172800</v>
      </c>
      <c r="AX141" s="36">
        <f t="shared" si="115"/>
        <v>288000</v>
      </c>
      <c r="AZ141" s="4">
        <f t="shared" si="136"/>
        <v>334</v>
      </c>
      <c r="BA141" s="4">
        <f t="shared" si="137"/>
        <v>0</v>
      </c>
      <c r="BB141" s="4">
        <f t="shared" si="138"/>
        <v>18</v>
      </c>
      <c r="BC141" s="35" t="str">
        <f t="shared" si="139"/>
        <v>334,</v>
      </c>
      <c r="BD141" s="35" t="str">
        <f t="shared" si="116"/>
        <v/>
      </c>
      <c r="BE141" s="35" t="str">
        <f t="shared" si="140"/>
        <v>18,</v>
      </c>
      <c r="BF141" s="36" t="str">
        <f t="shared" si="141"/>
        <v>1,</v>
      </c>
      <c r="BG141" s="36" t="str">
        <f>IF(BA141=0,"",IF(Z141=0,"3,4,5",VLOOKUP(Z141,{1,3;2,4;3,5},2,0))&amp;",")</f>
        <v/>
      </c>
      <c r="BH141" s="36" t="str">
        <f t="shared" si="142"/>
        <v>6,</v>
      </c>
      <c r="BI141" s="34" t="str">
        <f t="shared" si="143"/>
        <v>1,6</v>
      </c>
      <c r="BJ141" s="34" t="str">
        <f t="shared" si="146"/>
        <v>334,18</v>
      </c>
      <c r="BK141" s="34" t="str">
        <f t="shared" si="144"/>
        <v>0,22,33,50,100,200</v>
      </c>
      <c r="BL141" s="4">
        <f t="shared" si="117"/>
        <v>0</v>
      </c>
      <c r="BM141" s="4">
        <f t="shared" si="118"/>
        <v>22</v>
      </c>
      <c r="BN141" s="4">
        <f t="shared" si="119"/>
        <v>33</v>
      </c>
      <c r="BO141" s="4">
        <f t="shared" si="120"/>
        <v>50</v>
      </c>
      <c r="BP141" s="4">
        <f t="shared" si="121"/>
        <v>100</v>
      </c>
      <c r="BQ141" s="4">
        <f t="shared" si="122"/>
        <v>200</v>
      </c>
      <c r="BR141" s="34" t="str">
        <f t="shared" si="123"/>
        <v>2001,2002,2003,2004,2005,2006</v>
      </c>
      <c r="BS141" s="34" t="str">
        <f t="shared" si="145"/>
        <v>23001,23002,23003,23004,23005,23006</v>
      </c>
      <c r="BT141" s="4">
        <f>VLOOKUP(LOOKUP($Y141,$K$48:$K$55,$L$48:$L$55)&amp;BT$1&amp;$W141,装备额外附加!$M:$O,3,0)</f>
        <v>23001</v>
      </c>
      <c r="BU141" s="4">
        <f>VLOOKUP(LOOKUP($Y141,$K$48:$K$55,$L$48:$L$55)&amp;BU$1&amp;$W141,装备额外附加!$M:$O,3,0)</f>
        <v>23002</v>
      </c>
      <c r="BV141" s="4">
        <f>VLOOKUP(LOOKUP($Y141,$K$48:$K$55,$L$48:$L$55)&amp;BV$1&amp;$W141,装备额外附加!$M:$O,3,0)</f>
        <v>23003</v>
      </c>
      <c r="BW141" s="4">
        <f>VLOOKUP(LOOKUP($Y141,$K$48:$K$55,$L$48:$L$55)&amp;BW$1&amp;$W141,装备额外附加!$M:$O,3,0)</f>
        <v>23004</v>
      </c>
      <c r="BX141" s="4">
        <f>VLOOKUP(LOOKUP($Y141,$K$48:$K$55,$L$48:$L$55)&amp;BX$1&amp;$W141,装备额外附加!$M:$O,3,0)</f>
        <v>23005</v>
      </c>
      <c r="BY141" s="4">
        <f>VLOOKUP(LOOKUP($Y141,$K$48:$K$55,$L$48:$L$55)&amp;BY$1&amp;$W141,装备额外附加!$M:$O,3,0)</f>
        <v>23006</v>
      </c>
    </row>
    <row r="142" spans="18:77">
      <c r="R142" s="4" t="s">
        <v>471</v>
      </c>
      <c r="S142" s="4" t="str">
        <f t="shared" si="124"/>
        <v>108014</v>
      </c>
      <c r="T142" s="4" t="s">
        <v>472</v>
      </c>
      <c r="U142" s="36">
        <v>70</v>
      </c>
      <c r="V142" s="36" t="str">
        <f t="shared" si="125"/>
        <v>腰带</v>
      </c>
      <c r="W142" s="36" t="str">
        <f t="shared" si="126"/>
        <v>护甲</v>
      </c>
      <c r="X142" s="4">
        <f t="shared" si="127"/>
        <v>4</v>
      </c>
      <c r="Y142" s="4">
        <f t="shared" si="128"/>
        <v>78</v>
      </c>
      <c r="Z142" s="4">
        <f t="shared" si="129"/>
        <v>1</v>
      </c>
      <c r="AA142" s="4" t="str">
        <f t="shared" si="130"/>
        <v>128,153,230,384,640,1280</v>
      </c>
      <c r="AB142" s="36">
        <f t="shared" si="131"/>
        <v>160</v>
      </c>
      <c r="AC142" s="36">
        <f t="shared" si="147"/>
        <v>128</v>
      </c>
      <c r="AD142" s="36">
        <f t="shared" si="148"/>
        <v>153</v>
      </c>
      <c r="AE142" s="36">
        <f t="shared" si="148"/>
        <v>230</v>
      </c>
      <c r="AF142" s="36">
        <f t="shared" si="148"/>
        <v>384</v>
      </c>
      <c r="AG142" s="36">
        <f t="shared" si="148"/>
        <v>640</v>
      </c>
      <c r="AH142" s="36">
        <f t="shared" si="112"/>
        <v>1280</v>
      </c>
      <c r="AJ142" s="4" t="str">
        <f t="shared" si="132"/>
        <v>640,768,1152,1920,3200,</v>
      </c>
      <c r="AK142" s="36">
        <f t="shared" si="133"/>
        <v>800</v>
      </c>
      <c r="AL142" s="36">
        <f t="shared" si="114"/>
        <v>640</v>
      </c>
      <c r="AM142" s="36">
        <f t="shared" si="114"/>
        <v>768</v>
      </c>
      <c r="AN142" s="36">
        <f t="shared" si="114"/>
        <v>1152</v>
      </c>
      <c r="AO142" s="36">
        <f t="shared" si="114"/>
        <v>1920</v>
      </c>
      <c r="AP142" s="36">
        <f t="shared" si="114"/>
        <v>3200</v>
      </c>
      <c r="AR142" s="4" t="str">
        <f t="shared" si="134"/>
        <v>51200,61440,92160,153600,256000,</v>
      </c>
      <c r="AS142" s="36">
        <f t="shared" si="135"/>
        <v>64000</v>
      </c>
      <c r="AT142" s="36">
        <f t="shared" si="115"/>
        <v>51200</v>
      </c>
      <c r="AU142" s="36">
        <f t="shared" si="115"/>
        <v>61440</v>
      </c>
      <c r="AV142" s="36">
        <f t="shared" si="115"/>
        <v>92160</v>
      </c>
      <c r="AW142" s="36">
        <f t="shared" si="115"/>
        <v>153600</v>
      </c>
      <c r="AX142" s="36">
        <f t="shared" si="115"/>
        <v>256000</v>
      </c>
      <c r="AZ142" s="4">
        <f t="shared" si="136"/>
        <v>167</v>
      </c>
      <c r="BA142" s="4">
        <f t="shared" si="137"/>
        <v>0</v>
      </c>
      <c r="BB142" s="4">
        <f t="shared" si="138"/>
        <v>14</v>
      </c>
      <c r="BC142" s="35" t="str">
        <f t="shared" si="139"/>
        <v>167,</v>
      </c>
      <c r="BD142" s="35" t="str">
        <f t="shared" si="116"/>
        <v/>
      </c>
      <c r="BE142" s="35" t="str">
        <f t="shared" si="140"/>
        <v>14,</v>
      </c>
      <c r="BF142" s="36" t="str">
        <f t="shared" si="141"/>
        <v>1,</v>
      </c>
      <c r="BG142" s="36" t="str">
        <f>IF(BA142=0,"",IF(Z142=0,"3,4,5",VLOOKUP(Z142,{1,3;2,4;3,5},2,0))&amp;",")</f>
        <v/>
      </c>
      <c r="BH142" s="36" t="str">
        <f t="shared" si="142"/>
        <v>6,</v>
      </c>
      <c r="BI142" s="34" t="str">
        <f t="shared" si="143"/>
        <v>1,6</v>
      </c>
      <c r="BJ142" s="34" t="str">
        <f t="shared" si="146"/>
        <v>167,14</v>
      </c>
      <c r="BK142" s="34" t="str">
        <f t="shared" si="144"/>
        <v>0,22,33,50,100,200</v>
      </c>
      <c r="BL142" s="4">
        <f t="shared" si="117"/>
        <v>0</v>
      </c>
      <c r="BM142" s="4">
        <f t="shared" si="118"/>
        <v>22</v>
      </c>
      <c r="BN142" s="4">
        <f t="shared" si="119"/>
        <v>33</v>
      </c>
      <c r="BO142" s="4">
        <f t="shared" si="120"/>
        <v>50</v>
      </c>
      <c r="BP142" s="4">
        <f t="shared" si="121"/>
        <v>100</v>
      </c>
      <c r="BQ142" s="4">
        <f t="shared" si="122"/>
        <v>200</v>
      </c>
      <c r="BR142" s="34" t="str">
        <f t="shared" si="123"/>
        <v>2001,2002,2003,2004,2005,2006</v>
      </c>
      <c r="BS142" s="34" t="str">
        <f t="shared" si="145"/>
        <v>23001,23002,23003,23004,23005,23006</v>
      </c>
      <c r="BT142" s="4">
        <f>VLOOKUP(LOOKUP($Y142,$K$48:$K$55,$L$48:$L$55)&amp;BT$1&amp;$W142,装备额外附加!$M:$O,3,0)</f>
        <v>23001</v>
      </c>
      <c r="BU142" s="4">
        <f>VLOOKUP(LOOKUP($Y142,$K$48:$K$55,$L$48:$L$55)&amp;BU$1&amp;$W142,装备额外附加!$M:$O,3,0)</f>
        <v>23002</v>
      </c>
      <c r="BV142" s="4">
        <f>VLOOKUP(LOOKUP($Y142,$K$48:$K$55,$L$48:$L$55)&amp;BV$1&amp;$W142,装备额外附加!$M:$O,3,0)</f>
        <v>23003</v>
      </c>
      <c r="BW142" s="4">
        <f>VLOOKUP(LOOKUP($Y142,$K$48:$K$55,$L$48:$L$55)&amp;BW$1&amp;$W142,装备额外附加!$M:$O,3,0)</f>
        <v>23004</v>
      </c>
      <c r="BX142" s="4">
        <f>VLOOKUP(LOOKUP($Y142,$K$48:$K$55,$L$48:$L$55)&amp;BX$1&amp;$W142,装备额外附加!$M:$O,3,0)</f>
        <v>23005</v>
      </c>
      <c r="BY142" s="4">
        <f>VLOOKUP(LOOKUP($Y142,$K$48:$K$55,$L$48:$L$55)&amp;BY$1&amp;$W142,装备额外附加!$M:$O,3,0)</f>
        <v>23006</v>
      </c>
    </row>
    <row r="143" spans="18:77">
      <c r="R143" s="4" t="s">
        <v>473</v>
      </c>
      <c r="S143" s="4" t="str">
        <f t="shared" si="124"/>
        <v>108015</v>
      </c>
      <c r="T143" s="4" t="s">
        <v>474</v>
      </c>
      <c r="U143" s="36">
        <v>70</v>
      </c>
      <c r="V143" s="36" t="str">
        <f t="shared" si="125"/>
        <v>鞋子</v>
      </c>
      <c r="W143" s="36" t="str">
        <f t="shared" si="126"/>
        <v>护甲</v>
      </c>
      <c r="X143" s="4">
        <f t="shared" si="127"/>
        <v>5</v>
      </c>
      <c r="Y143" s="4">
        <f t="shared" si="128"/>
        <v>72</v>
      </c>
      <c r="Z143" s="4">
        <f t="shared" si="129"/>
        <v>1</v>
      </c>
      <c r="AA143" s="4" t="str">
        <f t="shared" si="130"/>
        <v>128,153,230,384,640,1280</v>
      </c>
      <c r="AB143" s="36">
        <f t="shared" si="131"/>
        <v>160</v>
      </c>
      <c r="AC143" s="36">
        <f t="shared" si="147"/>
        <v>128</v>
      </c>
      <c r="AD143" s="36">
        <f t="shared" si="148"/>
        <v>153</v>
      </c>
      <c r="AE143" s="36">
        <f t="shared" si="148"/>
        <v>230</v>
      </c>
      <c r="AF143" s="36">
        <f t="shared" si="148"/>
        <v>384</v>
      </c>
      <c r="AG143" s="36">
        <f t="shared" si="148"/>
        <v>640</v>
      </c>
      <c r="AH143" s="36">
        <f t="shared" si="112"/>
        <v>1280</v>
      </c>
      <c r="AJ143" s="4" t="str">
        <f t="shared" si="132"/>
        <v>640,768,1152,1920,3200,</v>
      </c>
      <c r="AK143" s="36">
        <f t="shared" si="133"/>
        <v>800</v>
      </c>
      <c r="AL143" s="36">
        <f t="shared" si="114"/>
        <v>640</v>
      </c>
      <c r="AM143" s="36">
        <f t="shared" si="114"/>
        <v>768</v>
      </c>
      <c r="AN143" s="36">
        <f t="shared" si="114"/>
        <v>1152</v>
      </c>
      <c r="AO143" s="36">
        <f t="shared" si="114"/>
        <v>1920</v>
      </c>
      <c r="AP143" s="36">
        <f t="shared" si="114"/>
        <v>3200</v>
      </c>
      <c r="AR143" s="4" t="str">
        <f t="shared" si="134"/>
        <v>51200,61440,92160,153600,256000,</v>
      </c>
      <c r="AS143" s="36">
        <f t="shared" si="135"/>
        <v>64000</v>
      </c>
      <c r="AT143" s="36">
        <f t="shared" si="115"/>
        <v>51200</v>
      </c>
      <c r="AU143" s="36">
        <f t="shared" si="115"/>
        <v>61440</v>
      </c>
      <c r="AV143" s="36">
        <f t="shared" si="115"/>
        <v>92160</v>
      </c>
      <c r="AW143" s="36">
        <f t="shared" si="115"/>
        <v>153600</v>
      </c>
      <c r="AX143" s="36">
        <f t="shared" si="115"/>
        <v>256000</v>
      </c>
      <c r="AZ143" s="4">
        <f t="shared" si="136"/>
        <v>167</v>
      </c>
      <c r="BA143" s="4">
        <f t="shared" si="137"/>
        <v>0</v>
      </c>
      <c r="BB143" s="4">
        <f t="shared" si="138"/>
        <v>14</v>
      </c>
      <c r="BC143" s="35" t="str">
        <f t="shared" si="139"/>
        <v>167,</v>
      </c>
      <c r="BD143" s="35" t="str">
        <f t="shared" si="116"/>
        <v/>
      </c>
      <c r="BE143" s="35" t="str">
        <f t="shared" si="140"/>
        <v>14,</v>
      </c>
      <c r="BF143" s="36" t="str">
        <f t="shared" si="141"/>
        <v>1,</v>
      </c>
      <c r="BG143" s="36" t="str">
        <f>IF(BA143=0,"",IF(Z143=0,"3,4,5",VLOOKUP(Z143,{1,3;2,4;3,5},2,0))&amp;",")</f>
        <v/>
      </c>
      <c r="BH143" s="36" t="str">
        <f t="shared" si="142"/>
        <v>6,</v>
      </c>
      <c r="BI143" s="34" t="str">
        <f t="shared" si="143"/>
        <v>1,6</v>
      </c>
      <c r="BJ143" s="34" t="str">
        <f t="shared" si="146"/>
        <v>167,14</v>
      </c>
      <c r="BK143" s="34" t="str">
        <f t="shared" si="144"/>
        <v>0,22,33,50,100,200</v>
      </c>
      <c r="BL143" s="4">
        <f t="shared" si="117"/>
        <v>0</v>
      </c>
      <c r="BM143" s="4">
        <f t="shared" si="118"/>
        <v>22</v>
      </c>
      <c r="BN143" s="4">
        <f t="shared" si="119"/>
        <v>33</v>
      </c>
      <c r="BO143" s="4">
        <f t="shared" si="120"/>
        <v>50</v>
      </c>
      <c r="BP143" s="4">
        <f t="shared" si="121"/>
        <v>100</v>
      </c>
      <c r="BQ143" s="4">
        <f t="shared" si="122"/>
        <v>200</v>
      </c>
      <c r="BR143" s="34" t="str">
        <f t="shared" si="123"/>
        <v>2001,2002,2003,2004,2005,2006</v>
      </c>
      <c r="BS143" s="34" t="str">
        <f t="shared" si="145"/>
        <v>23001,23002,23003,23004,23005,23006</v>
      </c>
      <c r="BT143" s="4">
        <f>VLOOKUP(LOOKUP($Y143,$K$48:$K$55,$L$48:$L$55)&amp;BT$1&amp;$W143,装备额外附加!$M:$O,3,0)</f>
        <v>23001</v>
      </c>
      <c r="BU143" s="4">
        <f>VLOOKUP(LOOKUP($Y143,$K$48:$K$55,$L$48:$L$55)&amp;BU$1&amp;$W143,装备额外附加!$M:$O,3,0)</f>
        <v>23002</v>
      </c>
      <c r="BV143" s="4">
        <f>VLOOKUP(LOOKUP($Y143,$K$48:$K$55,$L$48:$L$55)&amp;BV$1&amp;$W143,装备额外附加!$M:$O,3,0)</f>
        <v>23003</v>
      </c>
      <c r="BW143" s="4">
        <f>VLOOKUP(LOOKUP($Y143,$K$48:$K$55,$L$48:$L$55)&amp;BW$1&amp;$W143,装备额外附加!$M:$O,3,0)</f>
        <v>23004</v>
      </c>
      <c r="BX143" s="4">
        <f>VLOOKUP(LOOKUP($Y143,$K$48:$K$55,$L$48:$L$55)&amp;BX$1&amp;$W143,装备额外附加!$M:$O,3,0)</f>
        <v>23005</v>
      </c>
      <c r="BY143" s="4">
        <f>VLOOKUP(LOOKUP($Y143,$K$48:$K$55,$L$48:$L$55)&amp;BY$1&amp;$W143,装备额外附加!$M:$O,3,0)</f>
        <v>23006</v>
      </c>
    </row>
    <row r="144" spans="18:77">
      <c r="R144" s="4" t="s">
        <v>475</v>
      </c>
      <c r="S144" s="4" t="str">
        <f t="shared" si="124"/>
        <v>103021</v>
      </c>
      <c r="T144" s="4" t="s">
        <v>476</v>
      </c>
      <c r="U144" s="36">
        <v>20</v>
      </c>
      <c r="V144" s="36" t="str">
        <f t="shared" si="125"/>
        <v>武器</v>
      </c>
      <c r="W144" s="36" t="str">
        <f t="shared" si="126"/>
        <v>武器</v>
      </c>
      <c r="X144" s="4">
        <f t="shared" si="127"/>
        <v>1</v>
      </c>
      <c r="Y144" s="4">
        <f t="shared" si="128"/>
        <v>21</v>
      </c>
      <c r="Z144" s="4">
        <f t="shared" si="129"/>
        <v>2</v>
      </c>
      <c r="AA144" s="4" t="str">
        <f t="shared" si="130"/>
        <v>60,72,108,180,300,600</v>
      </c>
      <c r="AB144" s="36">
        <f t="shared" si="131"/>
        <v>60</v>
      </c>
      <c r="AC144" s="36">
        <f t="shared" si="147"/>
        <v>60</v>
      </c>
      <c r="AD144" s="36">
        <f t="shared" si="148"/>
        <v>72</v>
      </c>
      <c r="AE144" s="36">
        <f t="shared" si="148"/>
        <v>108</v>
      </c>
      <c r="AF144" s="36">
        <f t="shared" si="148"/>
        <v>180</v>
      </c>
      <c r="AG144" s="36">
        <f t="shared" si="148"/>
        <v>300</v>
      </c>
      <c r="AH144" s="36">
        <f t="shared" si="112"/>
        <v>600</v>
      </c>
      <c r="AJ144" s="4" t="str">
        <f t="shared" si="132"/>
        <v>300,360,540,900,1500,</v>
      </c>
      <c r="AK144" s="36">
        <f t="shared" si="133"/>
        <v>300</v>
      </c>
      <c r="AL144" s="36">
        <f t="shared" si="114"/>
        <v>300</v>
      </c>
      <c r="AM144" s="36">
        <f t="shared" si="114"/>
        <v>360</v>
      </c>
      <c r="AN144" s="36">
        <f t="shared" si="114"/>
        <v>540</v>
      </c>
      <c r="AO144" s="36">
        <f t="shared" si="114"/>
        <v>900</v>
      </c>
      <c r="AP144" s="36">
        <f t="shared" si="114"/>
        <v>1500</v>
      </c>
      <c r="AR144" s="4" t="str">
        <f t="shared" si="134"/>
        <v>24000,28800,43200,72000,120000,</v>
      </c>
      <c r="AS144" s="36">
        <f t="shared" si="135"/>
        <v>24000</v>
      </c>
      <c r="AT144" s="36">
        <f t="shared" si="115"/>
        <v>24000</v>
      </c>
      <c r="AU144" s="36">
        <f t="shared" si="115"/>
        <v>28800</v>
      </c>
      <c r="AV144" s="36">
        <f t="shared" si="115"/>
        <v>43200</v>
      </c>
      <c r="AW144" s="36">
        <f t="shared" si="115"/>
        <v>72000</v>
      </c>
      <c r="AX144" s="36">
        <f t="shared" si="115"/>
        <v>120000</v>
      </c>
      <c r="AZ144" s="4">
        <f t="shared" si="136"/>
        <v>0</v>
      </c>
      <c r="BA144" s="4">
        <f t="shared" si="137"/>
        <v>9</v>
      </c>
      <c r="BB144" s="4">
        <f t="shared" si="138"/>
        <v>0</v>
      </c>
      <c r="BC144" s="35" t="str">
        <f t="shared" si="139"/>
        <v/>
      </c>
      <c r="BD144" s="35" t="str">
        <f t="shared" si="116"/>
        <v>19,</v>
      </c>
      <c r="BE144" s="35" t="str">
        <f t="shared" si="140"/>
        <v/>
      </c>
      <c r="BF144" s="36" t="str">
        <f t="shared" si="141"/>
        <v/>
      </c>
      <c r="BG144" s="36" t="str">
        <f>IF(BA144=0,"",IF(Z144=0,"3,4,5",VLOOKUP(Z144,{1,3;2,4;3,5},2,0))&amp;",")</f>
        <v>4,</v>
      </c>
      <c r="BH144" s="36" t="str">
        <f t="shared" si="142"/>
        <v/>
      </c>
      <c r="BI144" s="34" t="str">
        <f t="shared" si="143"/>
        <v>4</v>
      </c>
      <c r="BJ144" s="34" t="str">
        <f t="shared" si="146"/>
        <v>19</v>
      </c>
      <c r="BK144" s="34" t="str">
        <f t="shared" si="144"/>
        <v>0,6,10,15,31,63</v>
      </c>
      <c r="BL144" s="4">
        <f t="shared" si="117"/>
        <v>0</v>
      </c>
      <c r="BM144" s="4">
        <f t="shared" si="118"/>
        <v>6</v>
      </c>
      <c r="BN144" s="4">
        <f t="shared" si="119"/>
        <v>10</v>
      </c>
      <c r="BO144" s="4">
        <f t="shared" si="120"/>
        <v>15</v>
      </c>
      <c r="BP144" s="4">
        <f t="shared" si="121"/>
        <v>31</v>
      </c>
      <c r="BQ144" s="4">
        <f t="shared" si="122"/>
        <v>63</v>
      </c>
      <c r="BR144" s="34" t="str">
        <f t="shared" si="123"/>
        <v>1001,1002,1003,1004,1005,1006</v>
      </c>
      <c r="BS144" s="34" t="str">
        <f t="shared" si="145"/>
        <v>11001,11002,11003,11004,11005,11006</v>
      </c>
      <c r="BT144" s="4">
        <f>VLOOKUP(LOOKUP($Y144,$K$48:$K$55,$L$48:$L$55)&amp;BT$1&amp;$W144,装备额外附加!$M:$O,3,0)</f>
        <v>11001</v>
      </c>
      <c r="BU144" s="4">
        <f>VLOOKUP(LOOKUP($Y144,$K$48:$K$55,$L$48:$L$55)&amp;BU$1&amp;$W144,装备额外附加!$M:$O,3,0)</f>
        <v>11002</v>
      </c>
      <c r="BV144" s="4">
        <f>VLOOKUP(LOOKUP($Y144,$K$48:$K$55,$L$48:$L$55)&amp;BV$1&amp;$W144,装备额外附加!$M:$O,3,0)</f>
        <v>11003</v>
      </c>
      <c r="BW144" s="4">
        <f>VLOOKUP(LOOKUP($Y144,$K$48:$K$55,$L$48:$L$55)&amp;BW$1&amp;$W144,装备额外附加!$M:$O,3,0)</f>
        <v>11004</v>
      </c>
      <c r="BX144" s="4">
        <f>VLOOKUP(LOOKUP($Y144,$K$48:$K$55,$L$48:$L$55)&amp;BX$1&amp;$W144,装备额外附加!$M:$O,3,0)</f>
        <v>11005</v>
      </c>
      <c r="BY144" s="4">
        <f>VLOOKUP(LOOKUP($Y144,$K$48:$K$55,$L$48:$L$55)&amp;BY$1&amp;$W144,装备额外附加!$M:$O,3,0)</f>
        <v>11006</v>
      </c>
    </row>
    <row r="145" spans="18:77">
      <c r="R145" s="4" t="s">
        <v>477</v>
      </c>
      <c r="S145" s="4" t="str">
        <f t="shared" si="124"/>
        <v>103022</v>
      </c>
      <c r="T145" s="4" t="s">
        <v>478</v>
      </c>
      <c r="U145" s="36">
        <v>20</v>
      </c>
      <c r="V145" s="36" t="str">
        <f t="shared" si="125"/>
        <v>头盔</v>
      </c>
      <c r="W145" s="36" t="str">
        <f t="shared" si="126"/>
        <v>护甲</v>
      </c>
      <c r="X145" s="4">
        <f t="shared" si="127"/>
        <v>2</v>
      </c>
      <c r="Y145" s="4">
        <f t="shared" si="128"/>
        <v>27</v>
      </c>
      <c r="Z145" s="4">
        <f t="shared" si="129"/>
        <v>2</v>
      </c>
      <c r="AA145" s="4" t="str">
        <f t="shared" si="130"/>
        <v>54,64,97,162,270,540</v>
      </c>
      <c r="AB145" s="36">
        <f t="shared" si="131"/>
        <v>60</v>
      </c>
      <c r="AC145" s="36">
        <f t="shared" si="147"/>
        <v>54</v>
      </c>
      <c r="AD145" s="36">
        <f t="shared" si="148"/>
        <v>64</v>
      </c>
      <c r="AE145" s="36">
        <f t="shared" si="148"/>
        <v>97</v>
      </c>
      <c r="AF145" s="36">
        <f t="shared" si="148"/>
        <v>162</v>
      </c>
      <c r="AG145" s="36">
        <f t="shared" si="148"/>
        <v>270</v>
      </c>
      <c r="AH145" s="36">
        <f t="shared" si="112"/>
        <v>540</v>
      </c>
      <c r="AJ145" s="4" t="str">
        <f t="shared" si="132"/>
        <v>270,324,486,810,1350,</v>
      </c>
      <c r="AK145" s="36">
        <f t="shared" si="133"/>
        <v>300</v>
      </c>
      <c r="AL145" s="36">
        <f t="shared" si="114"/>
        <v>270</v>
      </c>
      <c r="AM145" s="36">
        <f t="shared" si="114"/>
        <v>324</v>
      </c>
      <c r="AN145" s="36">
        <f t="shared" si="114"/>
        <v>486</v>
      </c>
      <c r="AO145" s="36">
        <f t="shared" si="114"/>
        <v>810</v>
      </c>
      <c r="AP145" s="36">
        <f t="shared" si="114"/>
        <v>1350</v>
      </c>
      <c r="AR145" s="4" t="str">
        <f t="shared" si="134"/>
        <v>21600,25920,38880,64800,108000,</v>
      </c>
      <c r="AS145" s="36">
        <f t="shared" si="135"/>
        <v>24000</v>
      </c>
      <c r="AT145" s="36">
        <f t="shared" si="115"/>
        <v>21600</v>
      </c>
      <c r="AU145" s="36">
        <f t="shared" si="115"/>
        <v>25920</v>
      </c>
      <c r="AV145" s="36">
        <f t="shared" si="115"/>
        <v>38880</v>
      </c>
      <c r="AW145" s="36">
        <f t="shared" si="115"/>
        <v>64800</v>
      </c>
      <c r="AX145" s="36">
        <f t="shared" si="115"/>
        <v>108000</v>
      </c>
      <c r="AZ145" s="4">
        <f t="shared" si="136"/>
        <v>0</v>
      </c>
      <c r="BA145" s="4">
        <f t="shared" si="137"/>
        <v>4</v>
      </c>
      <c r="BB145" s="4">
        <f t="shared" si="138"/>
        <v>3</v>
      </c>
      <c r="BC145" s="35" t="str">
        <f t="shared" si="139"/>
        <v/>
      </c>
      <c r="BD145" s="35" t="str">
        <f t="shared" si="116"/>
        <v>8,</v>
      </c>
      <c r="BE145" s="35" t="str">
        <f t="shared" si="140"/>
        <v>3,</v>
      </c>
      <c r="BF145" s="36" t="str">
        <f t="shared" si="141"/>
        <v/>
      </c>
      <c r="BG145" s="36" t="str">
        <f>IF(BA145=0,"",IF(Z145=0,"3,4,5",VLOOKUP(Z145,{1,3;2,4;3,5},2,0))&amp;",")</f>
        <v>4,</v>
      </c>
      <c r="BH145" s="36" t="str">
        <f t="shared" si="142"/>
        <v>6,</v>
      </c>
      <c r="BI145" s="34" t="str">
        <f t="shared" si="143"/>
        <v>4,6</v>
      </c>
      <c r="BJ145" s="34" t="str">
        <f t="shared" si="146"/>
        <v>8,3</v>
      </c>
      <c r="BK145" s="34" t="str">
        <f t="shared" si="144"/>
        <v>0,4,7,10,21,42</v>
      </c>
      <c r="BL145" s="4">
        <f t="shared" si="117"/>
        <v>0</v>
      </c>
      <c r="BM145" s="4">
        <f t="shared" si="118"/>
        <v>4</v>
      </c>
      <c r="BN145" s="4">
        <f t="shared" si="119"/>
        <v>7</v>
      </c>
      <c r="BO145" s="4">
        <f t="shared" si="120"/>
        <v>10</v>
      </c>
      <c r="BP145" s="4">
        <f t="shared" si="121"/>
        <v>21</v>
      </c>
      <c r="BQ145" s="4">
        <f t="shared" si="122"/>
        <v>42</v>
      </c>
      <c r="BR145" s="34" t="str">
        <f t="shared" si="123"/>
        <v>2001,2002,2003,2004,2005,2006</v>
      </c>
      <c r="BS145" s="34" t="str">
        <f t="shared" si="145"/>
        <v>21001,21002,21003,21004,21005,21006</v>
      </c>
      <c r="BT145" s="4">
        <f>VLOOKUP(LOOKUP($Y145,$K$48:$K$55,$L$48:$L$55)&amp;BT$1&amp;$W145,装备额外附加!$M:$O,3,0)</f>
        <v>21001</v>
      </c>
      <c r="BU145" s="4">
        <f>VLOOKUP(LOOKUP($Y145,$K$48:$K$55,$L$48:$L$55)&amp;BU$1&amp;$W145,装备额外附加!$M:$O,3,0)</f>
        <v>21002</v>
      </c>
      <c r="BV145" s="4">
        <f>VLOOKUP(LOOKUP($Y145,$K$48:$K$55,$L$48:$L$55)&amp;BV$1&amp;$W145,装备额外附加!$M:$O,3,0)</f>
        <v>21003</v>
      </c>
      <c r="BW145" s="4">
        <f>VLOOKUP(LOOKUP($Y145,$K$48:$K$55,$L$48:$L$55)&amp;BW$1&amp;$W145,装备额外附加!$M:$O,3,0)</f>
        <v>21004</v>
      </c>
      <c r="BX145" s="4">
        <f>VLOOKUP(LOOKUP($Y145,$K$48:$K$55,$L$48:$L$55)&amp;BX$1&amp;$W145,装备额外附加!$M:$O,3,0)</f>
        <v>21005</v>
      </c>
      <c r="BY145" s="4">
        <f>VLOOKUP(LOOKUP($Y145,$K$48:$K$55,$L$48:$L$55)&amp;BY$1&amp;$W145,装备额外附加!$M:$O,3,0)</f>
        <v>21006</v>
      </c>
    </row>
    <row r="146" spans="18:77">
      <c r="R146" s="4" t="s">
        <v>479</v>
      </c>
      <c r="S146" s="4" t="str">
        <f t="shared" si="124"/>
        <v>103023</v>
      </c>
      <c r="T146" s="4" t="s">
        <v>480</v>
      </c>
      <c r="U146" s="36">
        <v>20</v>
      </c>
      <c r="V146" s="36" t="str">
        <f t="shared" si="125"/>
        <v>衣服</v>
      </c>
      <c r="W146" s="36" t="str">
        <f t="shared" si="126"/>
        <v>护甲</v>
      </c>
      <c r="X146" s="4">
        <f t="shared" si="127"/>
        <v>3</v>
      </c>
      <c r="Y146" s="4">
        <f t="shared" si="128"/>
        <v>25</v>
      </c>
      <c r="Z146" s="4">
        <f t="shared" si="129"/>
        <v>2</v>
      </c>
      <c r="AA146" s="4" t="str">
        <f t="shared" si="130"/>
        <v>54,64,97,162,270,540</v>
      </c>
      <c r="AB146" s="36">
        <f t="shared" si="131"/>
        <v>60</v>
      </c>
      <c r="AC146" s="36">
        <f t="shared" si="147"/>
        <v>54</v>
      </c>
      <c r="AD146" s="36">
        <f t="shared" si="148"/>
        <v>64</v>
      </c>
      <c r="AE146" s="36">
        <f t="shared" si="148"/>
        <v>97</v>
      </c>
      <c r="AF146" s="36">
        <f t="shared" si="148"/>
        <v>162</v>
      </c>
      <c r="AG146" s="36">
        <f t="shared" si="148"/>
        <v>270</v>
      </c>
      <c r="AH146" s="36">
        <f t="shared" ref="AH146:AH177" si="149">INT($AB146*VLOOKUP(AH$1,$B$11:$L$16,11,0)*VLOOKUP($V146,$C$22:$M$29,11,0))</f>
        <v>540</v>
      </c>
      <c r="AJ146" s="4" t="str">
        <f t="shared" si="132"/>
        <v>270,324,486,810,1350,</v>
      </c>
      <c r="AK146" s="36">
        <f t="shared" si="133"/>
        <v>300</v>
      </c>
      <c r="AL146" s="36">
        <f t="shared" si="114"/>
        <v>270</v>
      </c>
      <c r="AM146" s="36">
        <f t="shared" si="114"/>
        <v>324</v>
      </c>
      <c r="AN146" s="36">
        <f t="shared" si="114"/>
        <v>486</v>
      </c>
      <c r="AO146" s="36">
        <f t="shared" si="114"/>
        <v>810</v>
      </c>
      <c r="AP146" s="36">
        <f t="shared" si="114"/>
        <v>1350</v>
      </c>
      <c r="AR146" s="4" t="str">
        <f t="shared" si="134"/>
        <v>21600,25920,38880,64800,108000,</v>
      </c>
      <c r="AS146" s="36">
        <f t="shared" si="135"/>
        <v>24000</v>
      </c>
      <c r="AT146" s="36">
        <f t="shared" si="115"/>
        <v>21600</v>
      </c>
      <c r="AU146" s="36">
        <f t="shared" si="115"/>
        <v>25920</v>
      </c>
      <c r="AV146" s="36">
        <f t="shared" si="115"/>
        <v>38880</v>
      </c>
      <c r="AW146" s="36">
        <f t="shared" si="115"/>
        <v>64800</v>
      </c>
      <c r="AX146" s="36">
        <f t="shared" si="115"/>
        <v>108000</v>
      </c>
      <c r="AZ146" s="4">
        <f t="shared" si="136"/>
        <v>70</v>
      </c>
      <c r="BA146" s="4">
        <f t="shared" si="137"/>
        <v>0</v>
      </c>
      <c r="BB146" s="4">
        <f t="shared" si="138"/>
        <v>3</v>
      </c>
      <c r="BC146" s="35" t="str">
        <f t="shared" si="139"/>
        <v>70,</v>
      </c>
      <c r="BD146" s="35" t="str">
        <f t="shared" si="116"/>
        <v/>
      </c>
      <c r="BE146" s="35" t="str">
        <f t="shared" si="140"/>
        <v>3,</v>
      </c>
      <c r="BF146" s="36" t="str">
        <f t="shared" si="141"/>
        <v>1,</v>
      </c>
      <c r="BG146" s="36" t="str">
        <f>IF(BA146=0,"",IF(Z146=0,"3,4,5",VLOOKUP(Z146,{1,3;2,4;3,5},2,0))&amp;",")</f>
        <v/>
      </c>
      <c r="BH146" s="36" t="str">
        <f t="shared" si="142"/>
        <v>6,</v>
      </c>
      <c r="BI146" s="34" t="str">
        <f t="shared" si="143"/>
        <v>1,6</v>
      </c>
      <c r="BJ146" s="34" t="str">
        <f t="shared" si="146"/>
        <v>70,3</v>
      </c>
      <c r="BK146" s="34" t="str">
        <f t="shared" si="144"/>
        <v>0,4,7,10,21,42</v>
      </c>
      <c r="BL146" s="4">
        <f t="shared" si="117"/>
        <v>0</v>
      </c>
      <c r="BM146" s="4">
        <f t="shared" si="118"/>
        <v>4</v>
      </c>
      <c r="BN146" s="4">
        <f t="shared" si="119"/>
        <v>7</v>
      </c>
      <c r="BO146" s="4">
        <f t="shared" si="120"/>
        <v>10</v>
      </c>
      <c r="BP146" s="4">
        <f t="shared" si="121"/>
        <v>21</v>
      </c>
      <c r="BQ146" s="4">
        <f t="shared" si="122"/>
        <v>42</v>
      </c>
      <c r="BR146" s="34" t="str">
        <f t="shared" si="123"/>
        <v>2001,2002,2003,2004,2005,2006</v>
      </c>
      <c r="BS146" s="34" t="str">
        <f t="shared" si="145"/>
        <v>21001,21002,21003,21004,21005,21006</v>
      </c>
      <c r="BT146" s="4">
        <f>VLOOKUP(LOOKUP($Y146,$K$48:$K$55,$L$48:$L$55)&amp;BT$1&amp;$W146,装备额外附加!$M:$O,3,0)</f>
        <v>21001</v>
      </c>
      <c r="BU146" s="4">
        <f>VLOOKUP(LOOKUP($Y146,$K$48:$K$55,$L$48:$L$55)&amp;BU$1&amp;$W146,装备额外附加!$M:$O,3,0)</f>
        <v>21002</v>
      </c>
      <c r="BV146" s="4">
        <f>VLOOKUP(LOOKUP($Y146,$K$48:$K$55,$L$48:$L$55)&amp;BV$1&amp;$W146,装备额外附加!$M:$O,3,0)</f>
        <v>21003</v>
      </c>
      <c r="BW146" s="4">
        <f>VLOOKUP(LOOKUP($Y146,$K$48:$K$55,$L$48:$L$55)&amp;BW$1&amp;$W146,装备额外附加!$M:$O,3,0)</f>
        <v>21004</v>
      </c>
      <c r="BX146" s="4">
        <f>VLOOKUP(LOOKUP($Y146,$K$48:$K$55,$L$48:$L$55)&amp;BX$1&amp;$W146,装备额外附加!$M:$O,3,0)</f>
        <v>21005</v>
      </c>
      <c r="BY146" s="4">
        <f>VLOOKUP(LOOKUP($Y146,$K$48:$K$55,$L$48:$L$55)&amp;BY$1&amp;$W146,装备额外附加!$M:$O,3,0)</f>
        <v>21006</v>
      </c>
    </row>
    <row r="147" spans="18:77">
      <c r="R147" s="4" t="s">
        <v>481</v>
      </c>
      <c r="S147" s="4" t="str">
        <f t="shared" si="124"/>
        <v>103024</v>
      </c>
      <c r="T147" s="4" t="s">
        <v>482</v>
      </c>
      <c r="U147" s="36">
        <v>20</v>
      </c>
      <c r="V147" s="36" t="str">
        <f t="shared" si="125"/>
        <v>腰带</v>
      </c>
      <c r="W147" s="36" t="str">
        <f t="shared" si="126"/>
        <v>护甲</v>
      </c>
      <c r="X147" s="4">
        <f t="shared" si="127"/>
        <v>4</v>
      </c>
      <c r="Y147" s="4">
        <f t="shared" si="128"/>
        <v>28</v>
      </c>
      <c r="Z147" s="4">
        <f t="shared" si="129"/>
        <v>2</v>
      </c>
      <c r="AA147" s="4" t="str">
        <f t="shared" si="130"/>
        <v>48,57,86,144,240,480</v>
      </c>
      <c r="AB147" s="36">
        <f t="shared" si="131"/>
        <v>60</v>
      </c>
      <c r="AC147" s="36">
        <f t="shared" si="147"/>
        <v>48</v>
      </c>
      <c r="AD147" s="36">
        <f t="shared" si="148"/>
        <v>57</v>
      </c>
      <c r="AE147" s="36">
        <f t="shared" si="148"/>
        <v>86</v>
      </c>
      <c r="AF147" s="36">
        <f t="shared" si="148"/>
        <v>144</v>
      </c>
      <c r="AG147" s="36">
        <f t="shared" si="148"/>
        <v>240</v>
      </c>
      <c r="AH147" s="36">
        <f t="shared" si="149"/>
        <v>480</v>
      </c>
      <c r="AJ147" s="4" t="str">
        <f t="shared" si="132"/>
        <v>240,288,432,720,1200,</v>
      </c>
      <c r="AK147" s="36">
        <f t="shared" si="133"/>
        <v>300</v>
      </c>
      <c r="AL147" s="36">
        <f t="shared" si="114"/>
        <v>240</v>
      </c>
      <c r="AM147" s="36">
        <f t="shared" si="114"/>
        <v>288</v>
      </c>
      <c r="AN147" s="36">
        <f t="shared" si="114"/>
        <v>432</v>
      </c>
      <c r="AO147" s="36">
        <f t="shared" si="114"/>
        <v>720</v>
      </c>
      <c r="AP147" s="36">
        <f t="shared" si="114"/>
        <v>1200</v>
      </c>
      <c r="AR147" s="4" t="str">
        <f t="shared" si="134"/>
        <v>19200,23040,34560,57600,96000,</v>
      </c>
      <c r="AS147" s="36">
        <f t="shared" si="135"/>
        <v>24000</v>
      </c>
      <c r="AT147" s="36">
        <f t="shared" si="115"/>
        <v>19200</v>
      </c>
      <c r="AU147" s="36">
        <f t="shared" si="115"/>
        <v>23040</v>
      </c>
      <c r="AV147" s="36">
        <f t="shared" si="115"/>
        <v>34560</v>
      </c>
      <c r="AW147" s="36">
        <f t="shared" si="115"/>
        <v>57600</v>
      </c>
      <c r="AX147" s="36">
        <f t="shared" si="115"/>
        <v>96000</v>
      </c>
      <c r="AZ147" s="4">
        <f t="shared" si="136"/>
        <v>35</v>
      </c>
      <c r="BA147" s="4">
        <f t="shared" si="137"/>
        <v>0</v>
      </c>
      <c r="BB147" s="4">
        <f t="shared" si="138"/>
        <v>3</v>
      </c>
      <c r="BC147" s="35" t="str">
        <f t="shared" si="139"/>
        <v>35,</v>
      </c>
      <c r="BD147" s="35" t="str">
        <f t="shared" si="116"/>
        <v/>
      </c>
      <c r="BE147" s="35" t="str">
        <f t="shared" si="140"/>
        <v>3,</v>
      </c>
      <c r="BF147" s="36" t="str">
        <f t="shared" si="141"/>
        <v>1,</v>
      </c>
      <c r="BG147" s="36" t="str">
        <f>IF(BA147=0,"",IF(Z147=0,"3,4,5",VLOOKUP(Z147,{1,3;2,4;3,5},2,0))&amp;",")</f>
        <v/>
      </c>
      <c r="BH147" s="36" t="str">
        <f t="shared" si="142"/>
        <v>6,</v>
      </c>
      <c r="BI147" s="34" t="str">
        <f t="shared" si="143"/>
        <v>1,6</v>
      </c>
      <c r="BJ147" s="34" t="str">
        <f t="shared" si="146"/>
        <v>35,3</v>
      </c>
      <c r="BK147" s="34" t="str">
        <f t="shared" si="144"/>
        <v>0,4,7,10,21,42</v>
      </c>
      <c r="BL147" s="4">
        <f t="shared" si="117"/>
        <v>0</v>
      </c>
      <c r="BM147" s="4">
        <f t="shared" si="118"/>
        <v>4</v>
      </c>
      <c r="BN147" s="4">
        <f t="shared" si="119"/>
        <v>7</v>
      </c>
      <c r="BO147" s="4">
        <f t="shared" si="120"/>
        <v>10</v>
      </c>
      <c r="BP147" s="4">
        <f t="shared" si="121"/>
        <v>21</v>
      </c>
      <c r="BQ147" s="4">
        <f t="shared" si="122"/>
        <v>42</v>
      </c>
      <c r="BR147" s="34" t="str">
        <f t="shared" si="123"/>
        <v>2001,2002,2003,2004,2005,2006</v>
      </c>
      <c r="BS147" s="34" t="str">
        <f t="shared" si="145"/>
        <v>21001,21002,21003,21004,21005,21006</v>
      </c>
      <c r="BT147" s="4">
        <f>VLOOKUP(LOOKUP($Y147,$K$48:$K$55,$L$48:$L$55)&amp;BT$1&amp;$W147,装备额外附加!$M:$O,3,0)</f>
        <v>21001</v>
      </c>
      <c r="BU147" s="4">
        <f>VLOOKUP(LOOKUP($Y147,$K$48:$K$55,$L$48:$L$55)&amp;BU$1&amp;$W147,装备额外附加!$M:$O,3,0)</f>
        <v>21002</v>
      </c>
      <c r="BV147" s="4">
        <f>VLOOKUP(LOOKUP($Y147,$K$48:$K$55,$L$48:$L$55)&amp;BV$1&amp;$W147,装备额外附加!$M:$O,3,0)</f>
        <v>21003</v>
      </c>
      <c r="BW147" s="4">
        <f>VLOOKUP(LOOKUP($Y147,$K$48:$K$55,$L$48:$L$55)&amp;BW$1&amp;$W147,装备额外附加!$M:$O,3,0)</f>
        <v>21004</v>
      </c>
      <c r="BX147" s="4">
        <f>VLOOKUP(LOOKUP($Y147,$K$48:$K$55,$L$48:$L$55)&amp;BX$1&amp;$W147,装备额外附加!$M:$O,3,0)</f>
        <v>21005</v>
      </c>
      <c r="BY147" s="4">
        <f>VLOOKUP(LOOKUP($Y147,$K$48:$K$55,$L$48:$L$55)&amp;BY$1&amp;$W147,装备额外附加!$M:$O,3,0)</f>
        <v>21006</v>
      </c>
    </row>
    <row r="148" spans="18:77">
      <c r="R148" s="4" t="s">
        <v>483</v>
      </c>
      <c r="S148" s="4" t="str">
        <f t="shared" si="124"/>
        <v>103025</v>
      </c>
      <c r="T148" s="4" t="s">
        <v>484</v>
      </c>
      <c r="U148" s="36">
        <v>20</v>
      </c>
      <c r="V148" s="36" t="str">
        <f t="shared" si="125"/>
        <v>鞋子</v>
      </c>
      <c r="W148" s="36" t="str">
        <f t="shared" si="126"/>
        <v>护甲</v>
      </c>
      <c r="X148" s="4">
        <f t="shared" si="127"/>
        <v>5</v>
      </c>
      <c r="Y148" s="4">
        <f t="shared" si="128"/>
        <v>22</v>
      </c>
      <c r="Z148" s="4">
        <f t="shared" si="129"/>
        <v>2</v>
      </c>
      <c r="AA148" s="4" t="str">
        <f t="shared" si="130"/>
        <v>48,57,86,144,240,480</v>
      </c>
      <c r="AB148" s="36">
        <f t="shared" si="131"/>
        <v>60</v>
      </c>
      <c r="AC148" s="36">
        <f t="shared" si="147"/>
        <v>48</v>
      </c>
      <c r="AD148" s="36">
        <f t="shared" si="148"/>
        <v>57</v>
      </c>
      <c r="AE148" s="36">
        <f t="shared" si="148"/>
        <v>86</v>
      </c>
      <c r="AF148" s="36">
        <f t="shared" si="148"/>
        <v>144</v>
      </c>
      <c r="AG148" s="36">
        <f t="shared" si="148"/>
        <v>240</v>
      </c>
      <c r="AH148" s="36">
        <f t="shared" si="149"/>
        <v>480</v>
      </c>
      <c r="AJ148" s="4" t="str">
        <f t="shared" si="132"/>
        <v>240,288,432,720,1200,</v>
      </c>
      <c r="AK148" s="36">
        <f t="shared" si="133"/>
        <v>300</v>
      </c>
      <c r="AL148" s="36">
        <f t="shared" si="114"/>
        <v>240</v>
      </c>
      <c r="AM148" s="36">
        <f t="shared" si="114"/>
        <v>288</v>
      </c>
      <c r="AN148" s="36">
        <f t="shared" si="114"/>
        <v>432</v>
      </c>
      <c r="AO148" s="36">
        <f t="shared" si="114"/>
        <v>720</v>
      </c>
      <c r="AP148" s="36">
        <f t="shared" si="114"/>
        <v>1200</v>
      </c>
      <c r="AR148" s="4" t="str">
        <f t="shared" si="134"/>
        <v>19200,23040,34560,57600,96000,</v>
      </c>
      <c r="AS148" s="36">
        <f t="shared" si="135"/>
        <v>24000</v>
      </c>
      <c r="AT148" s="36">
        <f t="shared" si="115"/>
        <v>19200</v>
      </c>
      <c r="AU148" s="36">
        <f t="shared" si="115"/>
        <v>23040</v>
      </c>
      <c r="AV148" s="36">
        <f t="shared" si="115"/>
        <v>34560</v>
      </c>
      <c r="AW148" s="36">
        <f t="shared" si="115"/>
        <v>57600</v>
      </c>
      <c r="AX148" s="36">
        <f t="shared" si="115"/>
        <v>96000</v>
      </c>
      <c r="AZ148" s="4">
        <f t="shared" si="136"/>
        <v>35</v>
      </c>
      <c r="BA148" s="4">
        <f t="shared" si="137"/>
        <v>0</v>
      </c>
      <c r="BB148" s="4">
        <f t="shared" si="138"/>
        <v>3</v>
      </c>
      <c r="BC148" s="35" t="str">
        <f t="shared" si="139"/>
        <v>35,</v>
      </c>
      <c r="BD148" s="35" t="str">
        <f t="shared" si="116"/>
        <v/>
      </c>
      <c r="BE148" s="35" t="str">
        <f t="shared" si="140"/>
        <v>3,</v>
      </c>
      <c r="BF148" s="36" t="str">
        <f t="shared" si="141"/>
        <v>1,</v>
      </c>
      <c r="BG148" s="36" t="str">
        <f>IF(BA148=0,"",IF(Z148=0,"3,4,5",VLOOKUP(Z148,{1,3;2,4;3,5},2,0))&amp;",")</f>
        <v/>
      </c>
      <c r="BH148" s="36" t="str">
        <f t="shared" si="142"/>
        <v>6,</v>
      </c>
      <c r="BI148" s="34" t="str">
        <f t="shared" si="143"/>
        <v>1,6</v>
      </c>
      <c r="BJ148" s="34" t="str">
        <f t="shared" si="146"/>
        <v>35,3</v>
      </c>
      <c r="BK148" s="34" t="str">
        <f t="shared" si="144"/>
        <v>0,4,7,10,21,42</v>
      </c>
      <c r="BL148" s="4">
        <f t="shared" si="117"/>
        <v>0</v>
      </c>
      <c r="BM148" s="4">
        <f t="shared" si="118"/>
        <v>4</v>
      </c>
      <c r="BN148" s="4">
        <f t="shared" si="119"/>
        <v>7</v>
      </c>
      <c r="BO148" s="4">
        <f t="shared" si="120"/>
        <v>10</v>
      </c>
      <c r="BP148" s="4">
        <f t="shared" si="121"/>
        <v>21</v>
      </c>
      <c r="BQ148" s="4">
        <f t="shared" si="122"/>
        <v>42</v>
      </c>
      <c r="BR148" s="34" t="str">
        <f t="shared" si="123"/>
        <v>2001,2002,2003,2004,2005,2006</v>
      </c>
      <c r="BS148" s="34" t="str">
        <f t="shared" si="145"/>
        <v>21001,21002,21003,21004,21005,21006</v>
      </c>
      <c r="BT148" s="4">
        <f>VLOOKUP(LOOKUP($Y148,$K$48:$K$55,$L$48:$L$55)&amp;BT$1&amp;$W148,装备额外附加!$M:$O,3,0)</f>
        <v>21001</v>
      </c>
      <c r="BU148" s="4">
        <f>VLOOKUP(LOOKUP($Y148,$K$48:$K$55,$L$48:$L$55)&amp;BU$1&amp;$W148,装备额外附加!$M:$O,3,0)</f>
        <v>21002</v>
      </c>
      <c r="BV148" s="4">
        <f>VLOOKUP(LOOKUP($Y148,$K$48:$K$55,$L$48:$L$55)&amp;BV$1&amp;$W148,装备额外附加!$M:$O,3,0)</f>
        <v>21003</v>
      </c>
      <c r="BW148" s="4">
        <f>VLOOKUP(LOOKUP($Y148,$K$48:$K$55,$L$48:$L$55)&amp;BW$1&amp;$W148,装备额外附加!$M:$O,3,0)</f>
        <v>21004</v>
      </c>
      <c r="BX148" s="4">
        <f>VLOOKUP(LOOKUP($Y148,$K$48:$K$55,$L$48:$L$55)&amp;BX$1&amp;$W148,装备额外附加!$M:$O,3,0)</f>
        <v>21005</v>
      </c>
      <c r="BY148" s="4">
        <f>VLOOKUP(LOOKUP($Y148,$K$48:$K$55,$L$48:$L$55)&amp;BY$1&amp;$W148,装备额外附加!$M:$O,3,0)</f>
        <v>21006</v>
      </c>
    </row>
    <row r="149" spans="18:77">
      <c r="R149" s="4" t="s">
        <v>485</v>
      </c>
      <c r="S149" s="4" t="str">
        <f t="shared" si="124"/>
        <v>104021</v>
      </c>
      <c r="T149" s="4" t="s">
        <v>486</v>
      </c>
      <c r="U149" s="36">
        <v>30</v>
      </c>
      <c r="V149" s="36" t="str">
        <f t="shared" si="125"/>
        <v>武器</v>
      </c>
      <c r="W149" s="36" t="str">
        <f t="shared" si="126"/>
        <v>武器</v>
      </c>
      <c r="X149" s="4">
        <f t="shared" si="127"/>
        <v>1</v>
      </c>
      <c r="Y149" s="4">
        <f t="shared" si="128"/>
        <v>31</v>
      </c>
      <c r="Z149" s="4">
        <f t="shared" si="129"/>
        <v>2</v>
      </c>
      <c r="AA149" s="4" t="str">
        <f t="shared" si="130"/>
        <v>80,96,144,240,400,800</v>
      </c>
      <c r="AB149" s="36">
        <f t="shared" si="131"/>
        <v>80</v>
      </c>
      <c r="AC149" s="36">
        <f t="shared" si="147"/>
        <v>80</v>
      </c>
      <c r="AD149" s="36">
        <f t="shared" si="148"/>
        <v>96</v>
      </c>
      <c r="AE149" s="36">
        <f t="shared" si="148"/>
        <v>144</v>
      </c>
      <c r="AF149" s="36">
        <f t="shared" si="148"/>
        <v>240</v>
      </c>
      <c r="AG149" s="36">
        <f t="shared" si="148"/>
        <v>400</v>
      </c>
      <c r="AH149" s="36">
        <f t="shared" si="149"/>
        <v>800</v>
      </c>
      <c r="AJ149" s="4" t="str">
        <f t="shared" si="132"/>
        <v>400,480,720,1200,2000,</v>
      </c>
      <c r="AK149" s="36">
        <f t="shared" si="133"/>
        <v>400</v>
      </c>
      <c r="AL149" s="36">
        <f t="shared" si="114"/>
        <v>400</v>
      </c>
      <c r="AM149" s="36">
        <f t="shared" si="114"/>
        <v>480</v>
      </c>
      <c r="AN149" s="36">
        <f t="shared" si="114"/>
        <v>720</v>
      </c>
      <c r="AO149" s="36">
        <f t="shared" si="114"/>
        <v>1200</v>
      </c>
      <c r="AP149" s="36">
        <f t="shared" si="114"/>
        <v>2000</v>
      </c>
      <c r="AR149" s="4" t="str">
        <f t="shared" si="134"/>
        <v>32000,38400,57600,96000,160000,</v>
      </c>
      <c r="AS149" s="36">
        <f t="shared" si="135"/>
        <v>32000</v>
      </c>
      <c r="AT149" s="36">
        <f t="shared" si="115"/>
        <v>32000</v>
      </c>
      <c r="AU149" s="36">
        <f t="shared" si="115"/>
        <v>38400</v>
      </c>
      <c r="AV149" s="36">
        <f t="shared" si="115"/>
        <v>57600</v>
      </c>
      <c r="AW149" s="36">
        <f t="shared" si="115"/>
        <v>96000</v>
      </c>
      <c r="AX149" s="36">
        <f t="shared" si="115"/>
        <v>160000</v>
      </c>
      <c r="AZ149" s="4">
        <f t="shared" si="136"/>
        <v>0</v>
      </c>
      <c r="BA149" s="4">
        <f t="shared" si="137"/>
        <v>12</v>
      </c>
      <c r="BB149" s="4">
        <f t="shared" si="138"/>
        <v>0</v>
      </c>
      <c r="BC149" s="35" t="str">
        <f t="shared" si="139"/>
        <v/>
      </c>
      <c r="BD149" s="35" t="str">
        <f t="shared" si="116"/>
        <v>26,</v>
      </c>
      <c r="BE149" s="35" t="str">
        <f t="shared" si="140"/>
        <v/>
      </c>
      <c r="BF149" s="36" t="str">
        <f t="shared" si="141"/>
        <v/>
      </c>
      <c r="BG149" s="36" t="str">
        <f>IF(BA149=0,"",IF(Z149=0,"3,4,5",VLOOKUP(Z149,{1,3;2,4;3,5},2,0))&amp;",")</f>
        <v>4,</v>
      </c>
      <c r="BH149" s="36" t="str">
        <f t="shared" si="142"/>
        <v/>
      </c>
      <c r="BI149" s="34" t="str">
        <f t="shared" si="143"/>
        <v>4</v>
      </c>
      <c r="BJ149" s="34" t="str">
        <f t="shared" si="146"/>
        <v>26</v>
      </c>
      <c r="BK149" s="34" t="str">
        <f t="shared" si="144"/>
        <v>0,9,13,21,42,84</v>
      </c>
      <c r="BL149" s="4">
        <f t="shared" si="117"/>
        <v>0</v>
      </c>
      <c r="BM149" s="4">
        <f t="shared" si="118"/>
        <v>9</v>
      </c>
      <c r="BN149" s="4">
        <f t="shared" si="119"/>
        <v>13</v>
      </c>
      <c r="BO149" s="4">
        <f t="shared" si="120"/>
        <v>21</v>
      </c>
      <c r="BP149" s="4">
        <f t="shared" si="121"/>
        <v>42</v>
      </c>
      <c r="BQ149" s="4">
        <f t="shared" si="122"/>
        <v>84</v>
      </c>
      <c r="BR149" s="34" t="str">
        <f t="shared" si="123"/>
        <v>1001,1002,1003,1004,1005,1006</v>
      </c>
      <c r="BS149" s="34" t="str">
        <f t="shared" si="145"/>
        <v>11001,11002,11003,11004,11005,11006</v>
      </c>
      <c r="BT149" s="4">
        <f>VLOOKUP(LOOKUP($Y149,$K$48:$K$55,$L$48:$L$55)&amp;BT$1&amp;$W149,装备额外附加!$M:$O,3,0)</f>
        <v>11001</v>
      </c>
      <c r="BU149" s="4">
        <f>VLOOKUP(LOOKUP($Y149,$K$48:$K$55,$L$48:$L$55)&amp;BU$1&amp;$W149,装备额外附加!$M:$O,3,0)</f>
        <v>11002</v>
      </c>
      <c r="BV149" s="4">
        <f>VLOOKUP(LOOKUP($Y149,$K$48:$K$55,$L$48:$L$55)&amp;BV$1&amp;$W149,装备额外附加!$M:$O,3,0)</f>
        <v>11003</v>
      </c>
      <c r="BW149" s="4">
        <f>VLOOKUP(LOOKUP($Y149,$K$48:$K$55,$L$48:$L$55)&amp;BW$1&amp;$W149,装备额外附加!$M:$O,3,0)</f>
        <v>11004</v>
      </c>
      <c r="BX149" s="4">
        <f>VLOOKUP(LOOKUP($Y149,$K$48:$K$55,$L$48:$L$55)&amp;BX$1&amp;$W149,装备额外附加!$M:$O,3,0)</f>
        <v>11005</v>
      </c>
      <c r="BY149" s="4">
        <f>VLOOKUP(LOOKUP($Y149,$K$48:$K$55,$L$48:$L$55)&amp;BY$1&amp;$W149,装备额外附加!$M:$O,3,0)</f>
        <v>11006</v>
      </c>
    </row>
    <row r="150" spans="18:77">
      <c r="R150" s="4" t="s">
        <v>487</v>
      </c>
      <c r="S150" s="4" t="str">
        <f t="shared" si="124"/>
        <v>104022</v>
      </c>
      <c r="T150" s="4" t="s">
        <v>488</v>
      </c>
      <c r="U150" s="36">
        <v>30</v>
      </c>
      <c r="V150" s="36" t="str">
        <f t="shared" si="125"/>
        <v>头盔</v>
      </c>
      <c r="W150" s="36" t="str">
        <f t="shared" si="126"/>
        <v>护甲</v>
      </c>
      <c r="X150" s="4">
        <f t="shared" si="127"/>
        <v>2</v>
      </c>
      <c r="Y150" s="4">
        <f t="shared" si="128"/>
        <v>37</v>
      </c>
      <c r="Z150" s="4">
        <f t="shared" si="129"/>
        <v>2</v>
      </c>
      <c r="AA150" s="4" t="str">
        <f t="shared" si="130"/>
        <v>72,86,129,216,360,720</v>
      </c>
      <c r="AB150" s="36">
        <f t="shared" si="131"/>
        <v>80</v>
      </c>
      <c r="AC150" s="36">
        <f t="shared" si="147"/>
        <v>72</v>
      </c>
      <c r="AD150" s="36">
        <f t="shared" si="148"/>
        <v>86</v>
      </c>
      <c r="AE150" s="36">
        <f t="shared" si="148"/>
        <v>129</v>
      </c>
      <c r="AF150" s="36">
        <f t="shared" si="148"/>
        <v>216</v>
      </c>
      <c r="AG150" s="36">
        <f t="shared" si="148"/>
        <v>360</v>
      </c>
      <c r="AH150" s="36">
        <f t="shared" si="149"/>
        <v>720</v>
      </c>
      <c r="AJ150" s="4" t="str">
        <f t="shared" si="132"/>
        <v>360,432,648,1080,1800,</v>
      </c>
      <c r="AK150" s="36">
        <f t="shared" si="133"/>
        <v>400</v>
      </c>
      <c r="AL150" s="36">
        <f t="shared" si="114"/>
        <v>360</v>
      </c>
      <c r="AM150" s="36">
        <f t="shared" si="114"/>
        <v>432</v>
      </c>
      <c r="AN150" s="36">
        <f t="shared" si="114"/>
        <v>648</v>
      </c>
      <c r="AO150" s="36">
        <f t="shared" si="114"/>
        <v>1080</v>
      </c>
      <c r="AP150" s="36">
        <f t="shared" si="114"/>
        <v>1800</v>
      </c>
      <c r="AR150" s="4" t="str">
        <f t="shared" si="134"/>
        <v>28800,34560,51840,86400,144000,</v>
      </c>
      <c r="AS150" s="36">
        <f t="shared" si="135"/>
        <v>32000</v>
      </c>
      <c r="AT150" s="36">
        <f t="shared" si="115"/>
        <v>28800</v>
      </c>
      <c r="AU150" s="36">
        <f t="shared" si="115"/>
        <v>34560</v>
      </c>
      <c r="AV150" s="36">
        <f t="shared" si="115"/>
        <v>51840</v>
      </c>
      <c r="AW150" s="36">
        <f t="shared" si="115"/>
        <v>86400</v>
      </c>
      <c r="AX150" s="36">
        <f t="shared" si="115"/>
        <v>144000</v>
      </c>
      <c r="AZ150" s="4">
        <f t="shared" si="136"/>
        <v>0</v>
      </c>
      <c r="BA150" s="4">
        <f t="shared" si="137"/>
        <v>6</v>
      </c>
      <c r="BB150" s="4">
        <f t="shared" si="138"/>
        <v>5</v>
      </c>
      <c r="BC150" s="35" t="str">
        <f t="shared" si="139"/>
        <v/>
      </c>
      <c r="BD150" s="35" t="str">
        <f t="shared" si="116"/>
        <v>13,</v>
      </c>
      <c r="BE150" s="35" t="str">
        <f t="shared" si="140"/>
        <v>5,</v>
      </c>
      <c r="BF150" s="36" t="str">
        <f t="shared" si="141"/>
        <v/>
      </c>
      <c r="BG150" s="36" t="str">
        <f>IF(BA150=0,"",IF(Z150=0,"3,4,5",VLOOKUP(Z150,{1,3;2,4;3,5},2,0))&amp;",")</f>
        <v>4,</v>
      </c>
      <c r="BH150" s="36" t="str">
        <f t="shared" si="142"/>
        <v>6,</v>
      </c>
      <c r="BI150" s="34" t="str">
        <f t="shared" si="143"/>
        <v>4,6</v>
      </c>
      <c r="BJ150" s="34" t="str">
        <f t="shared" si="146"/>
        <v>13,5</v>
      </c>
      <c r="BK150" s="34" t="str">
        <f t="shared" si="144"/>
        <v>0,6,9,14,28,56</v>
      </c>
      <c r="BL150" s="4">
        <f t="shared" si="117"/>
        <v>0</v>
      </c>
      <c r="BM150" s="4">
        <f t="shared" si="118"/>
        <v>6</v>
      </c>
      <c r="BN150" s="4">
        <f t="shared" si="119"/>
        <v>9</v>
      </c>
      <c r="BO150" s="4">
        <f t="shared" si="120"/>
        <v>14</v>
      </c>
      <c r="BP150" s="4">
        <f t="shared" si="121"/>
        <v>28</v>
      </c>
      <c r="BQ150" s="4">
        <f t="shared" si="122"/>
        <v>56</v>
      </c>
      <c r="BR150" s="34" t="str">
        <f t="shared" si="123"/>
        <v>2001,2002,2003,2004,2005,2006</v>
      </c>
      <c r="BS150" s="34" t="str">
        <f t="shared" si="145"/>
        <v>21001,21002,21003,21004,21005,21006</v>
      </c>
      <c r="BT150" s="4">
        <f>VLOOKUP(LOOKUP($Y150,$K$48:$K$55,$L$48:$L$55)&amp;BT$1&amp;$W150,装备额外附加!$M:$O,3,0)</f>
        <v>21001</v>
      </c>
      <c r="BU150" s="4">
        <f>VLOOKUP(LOOKUP($Y150,$K$48:$K$55,$L$48:$L$55)&amp;BU$1&amp;$W150,装备额外附加!$M:$O,3,0)</f>
        <v>21002</v>
      </c>
      <c r="BV150" s="4">
        <f>VLOOKUP(LOOKUP($Y150,$K$48:$K$55,$L$48:$L$55)&amp;BV$1&amp;$W150,装备额外附加!$M:$O,3,0)</f>
        <v>21003</v>
      </c>
      <c r="BW150" s="4">
        <f>VLOOKUP(LOOKUP($Y150,$K$48:$K$55,$L$48:$L$55)&amp;BW$1&amp;$W150,装备额外附加!$M:$O,3,0)</f>
        <v>21004</v>
      </c>
      <c r="BX150" s="4">
        <f>VLOOKUP(LOOKUP($Y150,$K$48:$K$55,$L$48:$L$55)&amp;BX$1&amp;$W150,装备额外附加!$M:$O,3,0)</f>
        <v>21005</v>
      </c>
      <c r="BY150" s="4">
        <f>VLOOKUP(LOOKUP($Y150,$K$48:$K$55,$L$48:$L$55)&amp;BY$1&amp;$W150,装备额外附加!$M:$O,3,0)</f>
        <v>21006</v>
      </c>
    </row>
    <row r="151" spans="18:77">
      <c r="R151" s="4" t="s">
        <v>489</v>
      </c>
      <c r="S151" s="4" t="str">
        <f t="shared" si="124"/>
        <v>104023</v>
      </c>
      <c r="T151" s="4" t="s">
        <v>490</v>
      </c>
      <c r="U151" s="36">
        <v>30</v>
      </c>
      <c r="V151" s="36" t="str">
        <f t="shared" si="125"/>
        <v>衣服</v>
      </c>
      <c r="W151" s="36" t="str">
        <f t="shared" si="126"/>
        <v>护甲</v>
      </c>
      <c r="X151" s="4">
        <f t="shared" si="127"/>
        <v>3</v>
      </c>
      <c r="Y151" s="4">
        <f t="shared" si="128"/>
        <v>35</v>
      </c>
      <c r="Z151" s="4">
        <f t="shared" si="129"/>
        <v>2</v>
      </c>
      <c r="AA151" s="4" t="str">
        <f t="shared" si="130"/>
        <v>72,86,129,216,360,720</v>
      </c>
      <c r="AB151" s="36">
        <f t="shared" si="131"/>
        <v>80</v>
      </c>
      <c r="AC151" s="36">
        <f t="shared" si="147"/>
        <v>72</v>
      </c>
      <c r="AD151" s="36">
        <f t="shared" si="148"/>
        <v>86</v>
      </c>
      <c r="AE151" s="36">
        <f t="shared" si="148"/>
        <v>129</v>
      </c>
      <c r="AF151" s="36">
        <f t="shared" si="148"/>
        <v>216</v>
      </c>
      <c r="AG151" s="36">
        <f t="shared" si="148"/>
        <v>360</v>
      </c>
      <c r="AH151" s="36">
        <f t="shared" si="149"/>
        <v>720</v>
      </c>
      <c r="AJ151" s="4" t="str">
        <f t="shared" si="132"/>
        <v>360,432,648,1080,1800,</v>
      </c>
      <c r="AK151" s="36">
        <f t="shared" si="133"/>
        <v>400</v>
      </c>
      <c r="AL151" s="36">
        <f t="shared" si="114"/>
        <v>360</v>
      </c>
      <c r="AM151" s="36">
        <f t="shared" si="114"/>
        <v>432</v>
      </c>
      <c r="AN151" s="36">
        <f t="shared" si="114"/>
        <v>648</v>
      </c>
      <c r="AO151" s="36">
        <f t="shared" si="114"/>
        <v>1080</v>
      </c>
      <c r="AP151" s="36">
        <f t="shared" si="114"/>
        <v>1800</v>
      </c>
      <c r="AR151" s="4" t="str">
        <f t="shared" si="134"/>
        <v>28800,34560,51840,86400,144000,</v>
      </c>
      <c r="AS151" s="36">
        <f t="shared" si="135"/>
        <v>32000</v>
      </c>
      <c r="AT151" s="36">
        <f t="shared" si="115"/>
        <v>28800</v>
      </c>
      <c r="AU151" s="36">
        <f t="shared" si="115"/>
        <v>34560</v>
      </c>
      <c r="AV151" s="36">
        <f t="shared" si="115"/>
        <v>51840</v>
      </c>
      <c r="AW151" s="36">
        <f t="shared" si="115"/>
        <v>86400</v>
      </c>
      <c r="AX151" s="36">
        <f t="shared" si="115"/>
        <v>144000</v>
      </c>
      <c r="AZ151" s="4">
        <f t="shared" si="136"/>
        <v>94</v>
      </c>
      <c r="BA151" s="4">
        <f t="shared" si="137"/>
        <v>0</v>
      </c>
      <c r="BB151" s="4">
        <f t="shared" si="138"/>
        <v>5</v>
      </c>
      <c r="BC151" s="35" t="str">
        <f t="shared" si="139"/>
        <v>94,</v>
      </c>
      <c r="BD151" s="35" t="str">
        <f t="shared" si="116"/>
        <v/>
      </c>
      <c r="BE151" s="35" t="str">
        <f t="shared" si="140"/>
        <v>5,</v>
      </c>
      <c r="BF151" s="36" t="str">
        <f t="shared" si="141"/>
        <v>1,</v>
      </c>
      <c r="BG151" s="36" t="str">
        <f>IF(BA151=0,"",IF(Z151=0,"3,4,5",VLOOKUP(Z151,{1,3;2,4;3,5},2,0))&amp;",")</f>
        <v/>
      </c>
      <c r="BH151" s="36" t="str">
        <f t="shared" si="142"/>
        <v>6,</v>
      </c>
      <c r="BI151" s="34" t="str">
        <f t="shared" si="143"/>
        <v>1,6</v>
      </c>
      <c r="BJ151" s="34" t="str">
        <f t="shared" si="146"/>
        <v>94,5</v>
      </c>
      <c r="BK151" s="34" t="str">
        <f t="shared" si="144"/>
        <v>0,6,9,14,28,56</v>
      </c>
      <c r="BL151" s="4">
        <f t="shared" si="117"/>
        <v>0</v>
      </c>
      <c r="BM151" s="4">
        <f t="shared" si="118"/>
        <v>6</v>
      </c>
      <c r="BN151" s="4">
        <f t="shared" si="119"/>
        <v>9</v>
      </c>
      <c r="BO151" s="4">
        <f t="shared" si="120"/>
        <v>14</v>
      </c>
      <c r="BP151" s="4">
        <f t="shared" si="121"/>
        <v>28</v>
      </c>
      <c r="BQ151" s="4">
        <f t="shared" si="122"/>
        <v>56</v>
      </c>
      <c r="BR151" s="34" t="str">
        <f t="shared" si="123"/>
        <v>2001,2002,2003,2004,2005,2006</v>
      </c>
      <c r="BS151" s="34" t="str">
        <f t="shared" si="145"/>
        <v>21001,21002,21003,21004,21005,21006</v>
      </c>
      <c r="BT151" s="4">
        <f>VLOOKUP(LOOKUP($Y151,$K$48:$K$55,$L$48:$L$55)&amp;BT$1&amp;$W151,装备额外附加!$M:$O,3,0)</f>
        <v>21001</v>
      </c>
      <c r="BU151" s="4">
        <f>VLOOKUP(LOOKUP($Y151,$K$48:$K$55,$L$48:$L$55)&amp;BU$1&amp;$W151,装备额外附加!$M:$O,3,0)</f>
        <v>21002</v>
      </c>
      <c r="BV151" s="4">
        <f>VLOOKUP(LOOKUP($Y151,$K$48:$K$55,$L$48:$L$55)&amp;BV$1&amp;$W151,装备额外附加!$M:$O,3,0)</f>
        <v>21003</v>
      </c>
      <c r="BW151" s="4">
        <f>VLOOKUP(LOOKUP($Y151,$K$48:$K$55,$L$48:$L$55)&amp;BW$1&amp;$W151,装备额外附加!$M:$O,3,0)</f>
        <v>21004</v>
      </c>
      <c r="BX151" s="4">
        <f>VLOOKUP(LOOKUP($Y151,$K$48:$K$55,$L$48:$L$55)&amp;BX$1&amp;$W151,装备额外附加!$M:$O,3,0)</f>
        <v>21005</v>
      </c>
      <c r="BY151" s="4">
        <f>VLOOKUP(LOOKUP($Y151,$K$48:$K$55,$L$48:$L$55)&amp;BY$1&amp;$W151,装备额外附加!$M:$O,3,0)</f>
        <v>21006</v>
      </c>
    </row>
    <row r="152" spans="18:77">
      <c r="R152" s="4" t="s">
        <v>491</v>
      </c>
      <c r="S152" s="4" t="str">
        <f t="shared" si="124"/>
        <v>104024</v>
      </c>
      <c r="T152" s="4" t="s">
        <v>492</v>
      </c>
      <c r="U152" s="36">
        <v>30</v>
      </c>
      <c r="V152" s="36" t="str">
        <f t="shared" si="125"/>
        <v>腰带</v>
      </c>
      <c r="W152" s="36" t="str">
        <f t="shared" si="126"/>
        <v>护甲</v>
      </c>
      <c r="X152" s="4">
        <f t="shared" si="127"/>
        <v>4</v>
      </c>
      <c r="Y152" s="4">
        <f t="shared" si="128"/>
        <v>38</v>
      </c>
      <c r="Z152" s="4">
        <f t="shared" si="129"/>
        <v>2</v>
      </c>
      <c r="AA152" s="4" t="str">
        <f t="shared" si="130"/>
        <v>64,76,115,192,320,640</v>
      </c>
      <c r="AB152" s="36">
        <f t="shared" si="131"/>
        <v>80</v>
      </c>
      <c r="AC152" s="36">
        <f t="shared" si="147"/>
        <v>64</v>
      </c>
      <c r="AD152" s="36">
        <f t="shared" si="148"/>
        <v>76</v>
      </c>
      <c r="AE152" s="36">
        <f t="shared" si="148"/>
        <v>115</v>
      </c>
      <c r="AF152" s="36">
        <f t="shared" si="148"/>
        <v>192</v>
      </c>
      <c r="AG152" s="36">
        <f t="shared" si="148"/>
        <v>320</v>
      </c>
      <c r="AH152" s="36">
        <f t="shared" si="149"/>
        <v>640</v>
      </c>
      <c r="AJ152" s="4" t="str">
        <f t="shared" si="132"/>
        <v>320,384,576,960,1600,</v>
      </c>
      <c r="AK152" s="36">
        <f t="shared" si="133"/>
        <v>400</v>
      </c>
      <c r="AL152" s="36">
        <f t="shared" si="114"/>
        <v>320</v>
      </c>
      <c r="AM152" s="36">
        <f t="shared" si="114"/>
        <v>384</v>
      </c>
      <c r="AN152" s="36">
        <f t="shared" si="114"/>
        <v>576</v>
      </c>
      <c r="AO152" s="36">
        <f t="shared" si="114"/>
        <v>960</v>
      </c>
      <c r="AP152" s="36">
        <f t="shared" si="114"/>
        <v>1600</v>
      </c>
      <c r="AR152" s="4" t="str">
        <f t="shared" si="134"/>
        <v>25600,30720,46080,76800,128000,</v>
      </c>
      <c r="AS152" s="36">
        <f t="shared" si="135"/>
        <v>32000</v>
      </c>
      <c r="AT152" s="36">
        <f t="shared" si="115"/>
        <v>25600</v>
      </c>
      <c r="AU152" s="36">
        <f t="shared" si="115"/>
        <v>30720</v>
      </c>
      <c r="AV152" s="36">
        <f t="shared" si="115"/>
        <v>46080</v>
      </c>
      <c r="AW152" s="36">
        <f t="shared" si="115"/>
        <v>76800</v>
      </c>
      <c r="AX152" s="36">
        <f t="shared" si="115"/>
        <v>128000</v>
      </c>
      <c r="AZ152" s="4">
        <f t="shared" si="136"/>
        <v>47</v>
      </c>
      <c r="BA152" s="4">
        <f t="shared" si="137"/>
        <v>0</v>
      </c>
      <c r="BB152" s="4">
        <f t="shared" si="138"/>
        <v>4</v>
      </c>
      <c r="BC152" s="35" t="str">
        <f t="shared" si="139"/>
        <v>47,</v>
      </c>
      <c r="BD152" s="35" t="str">
        <f t="shared" si="116"/>
        <v/>
      </c>
      <c r="BE152" s="35" t="str">
        <f t="shared" si="140"/>
        <v>4,</v>
      </c>
      <c r="BF152" s="36" t="str">
        <f t="shared" si="141"/>
        <v>1,</v>
      </c>
      <c r="BG152" s="36" t="str">
        <f>IF(BA152=0,"",IF(Z152=0,"3,4,5",VLOOKUP(Z152,{1,3;2,4;3,5},2,0))&amp;",")</f>
        <v/>
      </c>
      <c r="BH152" s="36" t="str">
        <f t="shared" si="142"/>
        <v>6,</v>
      </c>
      <c r="BI152" s="34" t="str">
        <f t="shared" si="143"/>
        <v>1,6</v>
      </c>
      <c r="BJ152" s="34" t="str">
        <f t="shared" si="146"/>
        <v>47,4</v>
      </c>
      <c r="BK152" s="34" t="str">
        <f t="shared" si="144"/>
        <v>0,6,9,14,28,56</v>
      </c>
      <c r="BL152" s="4">
        <f t="shared" si="117"/>
        <v>0</v>
      </c>
      <c r="BM152" s="4">
        <f t="shared" si="118"/>
        <v>6</v>
      </c>
      <c r="BN152" s="4">
        <f t="shared" si="119"/>
        <v>9</v>
      </c>
      <c r="BO152" s="4">
        <f t="shared" si="120"/>
        <v>14</v>
      </c>
      <c r="BP152" s="4">
        <f t="shared" si="121"/>
        <v>28</v>
      </c>
      <c r="BQ152" s="4">
        <f t="shared" si="122"/>
        <v>56</v>
      </c>
      <c r="BR152" s="34" t="str">
        <f t="shared" si="123"/>
        <v>2001,2002,2003,2004,2005,2006</v>
      </c>
      <c r="BS152" s="34" t="str">
        <f t="shared" si="145"/>
        <v>21001,21002,21003,21004,21005,21006</v>
      </c>
      <c r="BT152" s="4">
        <f>VLOOKUP(LOOKUP($Y152,$K$48:$K$55,$L$48:$L$55)&amp;BT$1&amp;$W152,装备额外附加!$M:$O,3,0)</f>
        <v>21001</v>
      </c>
      <c r="BU152" s="4">
        <f>VLOOKUP(LOOKUP($Y152,$K$48:$K$55,$L$48:$L$55)&amp;BU$1&amp;$W152,装备额外附加!$M:$O,3,0)</f>
        <v>21002</v>
      </c>
      <c r="BV152" s="4">
        <f>VLOOKUP(LOOKUP($Y152,$K$48:$K$55,$L$48:$L$55)&amp;BV$1&amp;$W152,装备额外附加!$M:$O,3,0)</f>
        <v>21003</v>
      </c>
      <c r="BW152" s="4">
        <f>VLOOKUP(LOOKUP($Y152,$K$48:$K$55,$L$48:$L$55)&amp;BW$1&amp;$W152,装备额外附加!$M:$O,3,0)</f>
        <v>21004</v>
      </c>
      <c r="BX152" s="4">
        <f>VLOOKUP(LOOKUP($Y152,$K$48:$K$55,$L$48:$L$55)&amp;BX$1&amp;$W152,装备额外附加!$M:$O,3,0)</f>
        <v>21005</v>
      </c>
      <c r="BY152" s="4">
        <f>VLOOKUP(LOOKUP($Y152,$K$48:$K$55,$L$48:$L$55)&amp;BY$1&amp;$W152,装备额外附加!$M:$O,3,0)</f>
        <v>21006</v>
      </c>
    </row>
    <row r="153" spans="18:77">
      <c r="R153" s="4" t="s">
        <v>493</v>
      </c>
      <c r="S153" s="4" t="str">
        <f t="shared" si="124"/>
        <v>104025</v>
      </c>
      <c r="T153" s="4" t="s">
        <v>494</v>
      </c>
      <c r="U153" s="36">
        <v>30</v>
      </c>
      <c r="V153" s="36" t="str">
        <f t="shared" si="125"/>
        <v>鞋子</v>
      </c>
      <c r="W153" s="36" t="str">
        <f t="shared" si="126"/>
        <v>护甲</v>
      </c>
      <c r="X153" s="4">
        <f t="shared" si="127"/>
        <v>5</v>
      </c>
      <c r="Y153" s="4">
        <f t="shared" si="128"/>
        <v>32</v>
      </c>
      <c r="Z153" s="4">
        <f t="shared" si="129"/>
        <v>2</v>
      </c>
      <c r="AA153" s="4" t="str">
        <f t="shared" si="130"/>
        <v>64,76,115,192,320,640</v>
      </c>
      <c r="AB153" s="36">
        <f t="shared" si="131"/>
        <v>80</v>
      </c>
      <c r="AC153" s="36">
        <f t="shared" si="147"/>
        <v>64</v>
      </c>
      <c r="AD153" s="36">
        <f t="shared" si="148"/>
        <v>76</v>
      </c>
      <c r="AE153" s="36">
        <f t="shared" si="148"/>
        <v>115</v>
      </c>
      <c r="AF153" s="36">
        <f t="shared" si="148"/>
        <v>192</v>
      </c>
      <c r="AG153" s="36">
        <f t="shared" si="148"/>
        <v>320</v>
      </c>
      <c r="AH153" s="36">
        <f t="shared" si="149"/>
        <v>640</v>
      </c>
      <c r="AJ153" s="4" t="str">
        <f t="shared" si="132"/>
        <v>320,384,576,960,1600,</v>
      </c>
      <c r="AK153" s="36">
        <f t="shared" si="133"/>
        <v>400</v>
      </c>
      <c r="AL153" s="36">
        <f t="shared" si="114"/>
        <v>320</v>
      </c>
      <c r="AM153" s="36">
        <f t="shared" si="114"/>
        <v>384</v>
      </c>
      <c r="AN153" s="36">
        <f t="shared" si="114"/>
        <v>576</v>
      </c>
      <c r="AO153" s="36">
        <f t="shared" si="114"/>
        <v>960</v>
      </c>
      <c r="AP153" s="36">
        <f t="shared" si="114"/>
        <v>1600</v>
      </c>
      <c r="AR153" s="4" t="str">
        <f t="shared" si="134"/>
        <v>25600,30720,46080,76800,128000,</v>
      </c>
      <c r="AS153" s="36">
        <f t="shared" si="135"/>
        <v>32000</v>
      </c>
      <c r="AT153" s="36">
        <f t="shared" si="115"/>
        <v>25600</v>
      </c>
      <c r="AU153" s="36">
        <f t="shared" si="115"/>
        <v>30720</v>
      </c>
      <c r="AV153" s="36">
        <f t="shared" si="115"/>
        <v>46080</v>
      </c>
      <c r="AW153" s="36">
        <f t="shared" si="115"/>
        <v>76800</v>
      </c>
      <c r="AX153" s="36">
        <f t="shared" si="115"/>
        <v>128000</v>
      </c>
      <c r="AZ153" s="4">
        <f t="shared" si="136"/>
        <v>47</v>
      </c>
      <c r="BA153" s="4">
        <f t="shared" si="137"/>
        <v>0</v>
      </c>
      <c r="BB153" s="4">
        <f t="shared" si="138"/>
        <v>4</v>
      </c>
      <c r="BC153" s="35" t="str">
        <f t="shared" si="139"/>
        <v>47,</v>
      </c>
      <c r="BD153" s="35" t="str">
        <f t="shared" si="116"/>
        <v/>
      </c>
      <c r="BE153" s="35" t="str">
        <f t="shared" si="140"/>
        <v>4,</v>
      </c>
      <c r="BF153" s="36" t="str">
        <f t="shared" si="141"/>
        <v>1,</v>
      </c>
      <c r="BG153" s="36" t="str">
        <f>IF(BA153=0,"",IF(Z153=0,"3,4,5",VLOOKUP(Z153,{1,3;2,4;3,5},2,0))&amp;",")</f>
        <v/>
      </c>
      <c r="BH153" s="36" t="str">
        <f t="shared" si="142"/>
        <v>6,</v>
      </c>
      <c r="BI153" s="34" t="str">
        <f t="shared" si="143"/>
        <v>1,6</v>
      </c>
      <c r="BJ153" s="34" t="str">
        <f t="shared" si="146"/>
        <v>47,4</v>
      </c>
      <c r="BK153" s="34" t="str">
        <f t="shared" si="144"/>
        <v>0,6,9,14,28,56</v>
      </c>
      <c r="BL153" s="4">
        <f t="shared" si="117"/>
        <v>0</v>
      </c>
      <c r="BM153" s="4">
        <f t="shared" si="118"/>
        <v>6</v>
      </c>
      <c r="BN153" s="4">
        <f t="shared" si="119"/>
        <v>9</v>
      </c>
      <c r="BO153" s="4">
        <f t="shared" si="120"/>
        <v>14</v>
      </c>
      <c r="BP153" s="4">
        <f t="shared" si="121"/>
        <v>28</v>
      </c>
      <c r="BQ153" s="4">
        <f t="shared" si="122"/>
        <v>56</v>
      </c>
      <c r="BR153" s="34" t="str">
        <f t="shared" si="123"/>
        <v>2001,2002,2003,2004,2005,2006</v>
      </c>
      <c r="BS153" s="34" t="str">
        <f t="shared" si="145"/>
        <v>21001,21002,21003,21004,21005,21006</v>
      </c>
      <c r="BT153" s="4">
        <f>VLOOKUP(LOOKUP($Y153,$K$48:$K$55,$L$48:$L$55)&amp;BT$1&amp;$W153,装备额外附加!$M:$O,3,0)</f>
        <v>21001</v>
      </c>
      <c r="BU153" s="4">
        <f>VLOOKUP(LOOKUP($Y153,$K$48:$K$55,$L$48:$L$55)&amp;BU$1&amp;$W153,装备额外附加!$M:$O,3,0)</f>
        <v>21002</v>
      </c>
      <c r="BV153" s="4">
        <f>VLOOKUP(LOOKUP($Y153,$K$48:$K$55,$L$48:$L$55)&amp;BV$1&amp;$W153,装备额外附加!$M:$O,3,0)</f>
        <v>21003</v>
      </c>
      <c r="BW153" s="4">
        <f>VLOOKUP(LOOKUP($Y153,$K$48:$K$55,$L$48:$L$55)&amp;BW$1&amp;$W153,装备额外附加!$M:$O,3,0)</f>
        <v>21004</v>
      </c>
      <c r="BX153" s="4">
        <f>VLOOKUP(LOOKUP($Y153,$K$48:$K$55,$L$48:$L$55)&amp;BX$1&amp;$W153,装备额外附加!$M:$O,3,0)</f>
        <v>21005</v>
      </c>
      <c r="BY153" s="4">
        <f>VLOOKUP(LOOKUP($Y153,$K$48:$K$55,$L$48:$L$55)&amp;BY$1&amp;$W153,装备额外附加!$M:$O,3,0)</f>
        <v>21006</v>
      </c>
    </row>
    <row r="154" spans="18:77">
      <c r="R154" s="4" t="s">
        <v>495</v>
      </c>
      <c r="S154" s="4" t="str">
        <f t="shared" si="124"/>
        <v>105021</v>
      </c>
      <c r="T154" s="4" t="s">
        <v>496</v>
      </c>
      <c r="U154" s="36">
        <v>40</v>
      </c>
      <c r="V154" s="36" t="str">
        <f t="shared" si="125"/>
        <v>武器</v>
      </c>
      <c r="W154" s="36" t="str">
        <f t="shared" si="126"/>
        <v>武器</v>
      </c>
      <c r="X154" s="4">
        <f t="shared" si="127"/>
        <v>1</v>
      </c>
      <c r="Y154" s="4">
        <f t="shared" si="128"/>
        <v>41</v>
      </c>
      <c r="Z154" s="4">
        <f t="shared" si="129"/>
        <v>2</v>
      </c>
      <c r="AA154" s="4" t="str">
        <f t="shared" si="130"/>
        <v>100,120,180,300,500,1000</v>
      </c>
      <c r="AB154" s="36">
        <f t="shared" si="131"/>
        <v>100</v>
      </c>
      <c r="AC154" s="36">
        <f t="shared" si="147"/>
        <v>100</v>
      </c>
      <c r="AD154" s="36">
        <f t="shared" si="148"/>
        <v>120</v>
      </c>
      <c r="AE154" s="36">
        <f t="shared" si="148"/>
        <v>180</v>
      </c>
      <c r="AF154" s="36">
        <f t="shared" si="148"/>
        <v>300</v>
      </c>
      <c r="AG154" s="36">
        <f t="shared" si="148"/>
        <v>500</v>
      </c>
      <c r="AH154" s="36">
        <f t="shared" si="149"/>
        <v>1000</v>
      </c>
      <c r="AJ154" s="4" t="str">
        <f t="shared" si="132"/>
        <v>500,600,900,1500,2500,</v>
      </c>
      <c r="AK154" s="36">
        <f t="shared" si="133"/>
        <v>500</v>
      </c>
      <c r="AL154" s="36">
        <f t="shared" si="114"/>
        <v>500</v>
      </c>
      <c r="AM154" s="36">
        <f t="shared" si="114"/>
        <v>600</v>
      </c>
      <c r="AN154" s="36">
        <f t="shared" si="114"/>
        <v>900</v>
      </c>
      <c r="AO154" s="36">
        <f t="shared" si="114"/>
        <v>1500</v>
      </c>
      <c r="AP154" s="36">
        <f t="shared" si="114"/>
        <v>2500</v>
      </c>
      <c r="AR154" s="4" t="str">
        <f t="shared" si="134"/>
        <v>40000,48000,72000,120000,200000,</v>
      </c>
      <c r="AS154" s="36">
        <f t="shared" si="135"/>
        <v>40000</v>
      </c>
      <c r="AT154" s="36">
        <f t="shared" si="115"/>
        <v>40000</v>
      </c>
      <c r="AU154" s="36">
        <f t="shared" si="115"/>
        <v>48000</v>
      </c>
      <c r="AV154" s="36">
        <f t="shared" si="115"/>
        <v>72000</v>
      </c>
      <c r="AW154" s="36">
        <f t="shared" si="115"/>
        <v>120000</v>
      </c>
      <c r="AX154" s="36">
        <f t="shared" si="115"/>
        <v>200000</v>
      </c>
      <c r="AZ154" s="4">
        <f t="shared" si="136"/>
        <v>0</v>
      </c>
      <c r="BA154" s="4">
        <f t="shared" si="137"/>
        <v>17</v>
      </c>
      <c r="BB154" s="4">
        <f t="shared" si="138"/>
        <v>0</v>
      </c>
      <c r="BC154" s="35" t="str">
        <f t="shared" si="139"/>
        <v/>
      </c>
      <c r="BD154" s="35" t="str">
        <f t="shared" si="116"/>
        <v>37,</v>
      </c>
      <c r="BE154" s="35" t="str">
        <f t="shared" si="140"/>
        <v/>
      </c>
      <c r="BF154" s="36" t="str">
        <f t="shared" si="141"/>
        <v/>
      </c>
      <c r="BG154" s="36" t="str">
        <f>IF(BA154=0,"",IF(Z154=0,"3,4,5",VLOOKUP(Z154,{1,3;2,4;3,5},2,0))&amp;",")</f>
        <v>4,</v>
      </c>
      <c r="BH154" s="36" t="str">
        <f t="shared" si="142"/>
        <v/>
      </c>
      <c r="BI154" s="34" t="str">
        <f t="shared" si="143"/>
        <v>4</v>
      </c>
      <c r="BJ154" s="34" t="str">
        <f t="shared" si="146"/>
        <v>37</v>
      </c>
      <c r="BK154" s="34" t="str">
        <f t="shared" si="144"/>
        <v>0,12,18,28,57,115</v>
      </c>
      <c r="BL154" s="4">
        <f t="shared" si="117"/>
        <v>0</v>
      </c>
      <c r="BM154" s="4">
        <f t="shared" si="118"/>
        <v>12</v>
      </c>
      <c r="BN154" s="4">
        <f t="shared" si="119"/>
        <v>18</v>
      </c>
      <c r="BO154" s="4">
        <f t="shared" si="120"/>
        <v>28</v>
      </c>
      <c r="BP154" s="4">
        <f t="shared" si="121"/>
        <v>57</v>
      </c>
      <c r="BQ154" s="4">
        <f t="shared" si="122"/>
        <v>115</v>
      </c>
      <c r="BR154" s="34" t="str">
        <f t="shared" si="123"/>
        <v>1001,1002,1003,1004,1005,1006</v>
      </c>
      <c r="BS154" s="34" t="str">
        <f t="shared" si="145"/>
        <v>12001,12002,12003,12004,12005,12006</v>
      </c>
      <c r="BT154" s="4">
        <f>VLOOKUP(LOOKUP($Y154,$K$48:$K$55,$L$48:$L$55)&amp;BT$1&amp;$W154,装备额外附加!$M:$O,3,0)</f>
        <v>12001</v>
      </c>
      <c r="BU154" s="4">
        <f>VLOOKUP(LOOKUP($Y154,$K$48:$K$55,$L$48:$L$55)&amp;BU$1&amp;$W154,装备额外附加!$M:$O,3,0)</f>
        <v>12002</v>
      </c>
      <c r="BV154" s="4">
        <f>VLOOKUP(LOOKUP($Y154,$K$48:$K$55,$L$48:$L$55)&amp;BV$1&amp;$W154,装备额外附加!$M:$O,3,0)</f>
        <v>12003</v>
      </c>
      <c r="BW154" s="4">
        <f>VLOOKUP(LOOKUP($Y154,$K$48:$K$55,$L$48:$L$55)&amp;BW$1&amp;$W154,装备额外附加!$M:$O,3,0)</f>
        <v>12004</v>
      </c>
      <c r="BX154" s="4">
        <f>VLOOKUP(LOOKUP($Y154,$K$48:$K$55,$L$48:$L$55)&amp;BX$1&amp;$W154,装备额外附加!$M:$O,3,0)</f>
        <v>12005</v>
      </c>
      <c r="BY154" s="4">
        <f>VLOOKUP(LOOKUP($Y154,$K$48:$K$55,$L$48:$L$55)&amp;BY$1&amp;$W154,装备额外附加!$M:$O,3,0)</f>
        <v>12006</v>
      </c>
    </row>
    <row r="155" spans="18:77">
      <c r="R155" s="4" t="s">
        <v>497</v>
      </c>
      <c r="S155" s="4" t="str">
        <f t="shared" si="124"/>
        <v>105022</v>
      </c>
      <c r="T155" s="4" t="s">
        <v>498</v>
      </c>
      <c r="U155" s="36">
        <v>40</v>
      </c>
      <c r="V155" s="36" t="str">
        <f t="shared" si="125"/>
        <v>头盔</v>
      </c>
      <c r="W155" s="36" t="str">
        <f t="shared" si="126"/>
        <v>护甲</v>
      </c>
      <c r="X155" s="4">
        <f t="shared" si="127"/>
        <v>2</v>
      </c>
      <c r="Y155" s="4">
        <f t="shared" si="128"/>
        <v>47</v>
      </c>
      <c r="Z155" s="4">
        <f t="shared" si="129"/>
        <v>2</v>
      </c>
      <c r="AA155" s="4" t="str">
        <f t="shared" si="130"/>
        <v>90,108,162,270,450,900</v>
      </c>
      <c r="AB155" s="36">
        <f t="shared" si="131"/>
        <v>100</v>
      </c>
      <c r="AC155" s="36">
        <f t="shared" si="147"/>
        <v>90</v>
      </c>
      <c r="AD155" s="36">
        <f t="shared" si="148"/>
        <v>108</v>
      </c>
      <c r="AE155" s="36">
        <f t="shared" si="148"/>
        <v>162</v>
      </c>
      <c r="AF155" s="36">
        <f t="shared" si="148"/>
        <v>270</v>
      </c>
      <c r="AG155" s="36">
        <f t="shared" si="148"/>
        <v>450</v>
      </c>
      <c r="AH155" s="36">
        <f t="shared" si="149"/>
        <v>900</v>
      </c>
      <c r="AJ155" s="4" t="str">
        <f t="shared" si="132"/>
        <v>450,540,810,1350,2250,</v>
      </c>
      <c r="AK155" s="36">
        <f t="shared" si="133"/>
        <v>500</v>
      </c>
      <c r="AL155" s="36">
        <f t="shared" si="114"/>
        <v>450</v>
      </c>
      <c r="AM155" s="36">
        <f t="shared" si="114"/>
        <v>540</v>
      </c>
      <c r="AN155" s="36">
        <f t="shared" si="114"/>
        <v>810</v>
      </c>
      <c r="AO155" s="36">
        <f t="shared" si="114"/>
        <v>1350</v>
      </c>
      <c r="AP155" s="36">
        <f t="shared" si="114"/>
        <v>2250</v>
      </c>
      <c r="AR155" s="4" t="str">
        <f t="shared" si="134"/>
        <v>36000,43200,64800,108000,180000,</v>
      </c>
      <c r="AS155" s="36">
        <f t="shared" si="135"/>
        <v>40000</v>
      </c>
      <c r="AT155" s="36">
        <f t="shared" si="115"/>
        <v>36000</v>
      </c>
      <c r="AU155" s="36">
        <f t="shared" si="115"/>
        <v>43200</v>
      </c>
      <c r="AV155" s="36">
        <f t="shared" si="115"/>
        <v>64800</v>
      </c>
      <c r="AW155" s="36">
        <f t="shared" si="115"/>
        <v>108000</v>
      </c>
      <c r="AX155" s="36">
        <f t="shared" si="115"/>
        <v>180000</v>
      </c>
      <c r="AZ155" s="4">
        <f t="shared" si="136"/>
        <v>0</v>
      </c>
      <c r="BA155" s="4">
        <f t="shared" si="137"/>
        <v>8</v>
      </c>
      <c r="BB155" s="4">
        <f t="shared" si="138"/>
        <v>7</v>
      </c>
      <c r="BC155" s="35" t="str">
        <f t="shared" si="139"/>
        <v/>
      </c>
      <c r="BD155" s="35" t="str">
        <f t="shared" si="116"/>
        <v>17,</v>
      </c>
      <c r="BE155" s="35" t="str">
        <f t="shared" si="140"/>
        <v>7,</v>
      </c>
      <c r="BF155" s="36" t="str">
        <f t="shared" si="141"/>
        <v/>
      </c>
      <c r="BG155" s="36" t="str">
        <f>IF(BA155=0,"",IF(Z155=0,"3,4,5",VLOOKUP(Z155,{1,3;2,4;3,5},2,0))&amp;",")</f>
        <v>4,</v>
      </c>
      <c r="BH155" s="36" t="str">
        <f t="shared" si="142"/>
        <v>6,</v>
      </c>
      <c r="BI155" s="34" t="str">
        <f t="shared" si="143"/>
        <v>4,6</v>
      </c>
      <c r="BJ155" s="34" t="str">
        <f t="shared" si="146"/>
        <v>17,7</v>
      </c>
      <c r="BK155" s="34" t="str">
        <f t="shared" si="144"/>
        <v>0,8,12,19,38,77</v>
      </c>
      <c r="BL155" s="4">
        <f t="shared" si="117"/>
        <v>0</v>
      </c>
      <c r="BM155" s="4">
        <f t="shared" si="118"/>
        <v>8</v>
      </c>
      <c r="BN155" s="4">
        <f t="shared" si="119"/>
        <v>12</v>
      </c>
      <c r="BO155" s="4">
        <f t="shared" si="120"/>
        <v>19</v>
      </c>
      <c r="BP155" s="4">
        <f t="shared" si="121"/>
        <v>38</v>
      </c>
      <c r="BQ155" s="4">
        <f t="shared" si="122"/>
        <v>77</v>
      </c>
      <c r="BR155" s="34" t="str">
        <f t="shared" si="123"/>
        <v>2001,2002,2003,2004,2005,2006</v>
      </c>
      <c r="BS155" s="34" t="str">
        <f t="shared" si="145"/>
        <v>22001,22002,22003,22004,22005,22006</v>
      </c>
      <c r="BT155" s="4">
        <f>VLOOKUP(LOOKUP($Y155,$K$48:$K$55,$L$48:$L$55)&amp;BT$1&amp;$W155,装备额外附加!$M:$O,3,0)</f>
        <v>22001</v>
      </c>
      <c r="BU155" s="4">
        <f>VLOOKUP(LOOKUP($Y155,$K$48:$K$55,$L$48:$L$55)&amp;BU$1&amp;$W155,装备额外附加!$M:$O,3,0)</f>
        <v>22002</v>
      </c>
      <c r="BV155" s="4">
        <f>VLOOKUP(LOOKUP($Y155,$K$48:$K$55,$L$48:$L$55)&amp;BV$1&amp;$W155,装备额外附加!$M:$O,3,0)</f>
        <v>22003</v>
      </c>
      <c r="BW155" s="4">
        <f>VLOOKUP(LOOKUP($Y155,$K$48:$K$55,$L$48:$L$55)&amp;BW$1&amp;$W155,装备额外附加!$M:$O,3,0)</f>
        <v>22004</v>
      </c>
      <c r="BX155" s="4">
        <f>VLOOKUP(LOOKUP($Y155,$K$48:$K$55,$L$48:$L$55)&amp;BX$1&amp;$W155,装备额外附加!$M:$O,3,0)</f>
        <v>22005</v>
      </c>
      <c r="BY155" s="4">
        <f>VLOOKUP(LOOKUP($Y155,$K$48:$K$55,$L$48:$L$55)&amp;BY$1&amp;$W155,装备额外附加!$M:$O,3,0)</f>
        <v>22006</v>
      </c>
    </row>
    <row r="156" spans="18:77">
      <c r="R156" s="4" t="s">
        <v>499</v>
      </c>
      <c r="S156" s="4" t="str">
        <f t="shared" si="124"/>
        <v>105023</v>
      </c>
      <c r="T156" s="4" t="s">
        <v>500</v>
      </c>
      <c r="U156" s="36">
        <v>40</v>
      </c>
      <c r="V156" s="36" t="str">
        <f t="shared" si="125"/>
        <v>衣服</v>
      </c>
      <c r="W156" s="36" t="str">
        <f t="shared" si="126"/>
        <v>护甲</v>
      </c>
      <c r="X156" s="4">
        <f t="shared" si="127"/>
        <v>3</v>
      </c>
      <c r="Y156" s="4">
        <f t="shared" si="128"/>
        <v>45</v>
      </c>
      <c r="Z156" s="4">
        <f t="shared" si="129"/>
        <v>2</v>
      </c>
      <c r="AA156" s="4" t="str">
        <f t="shared" si="130"/>
        <v>90,108,162,270,450,900</v>
      </c>
      <c r="AB156" s="36">
        <f t="shared" si="131"/>
        <v>100</v>
      </c>
      <c r="AC156" s="36">
        <f t="shared" si="147"/>
        <v>90</v>
      </c>
      <c r="AD156" s="36">
        <f t="shared" si="148"/>
        <v>108</v>
      </c>
      <c r="AE156" s="36">
        <f t="shared" si="148"/>
        <v>162</v>
      </c>
      <c r="AF156" s="36">
        <f t="shared" si="148"/>
        <v>270</v>
      </c>
      <c r="AG156" s="36">
        <f t="shared" si="148"/>
        <v>450</v>
      </c>
      <c r="AH156" s="36">
        <f t="shared" si="149"/>
        <v>900</v>
      </c>
      <c r="AJ156" s="4" t="str">
        <f t="shared" si="132"/>
        <v>450,540,810,1350,2250,</v>
      </c>
      <c r="AK156" s="36">
        <f t="shared" si="133"/>
        <v>500</v>
      </c>
      <c r="AL156" s="36">
        <f t="shared" si="114"/>
        <v>450</v>
      </c>
      <c r="AM156" s="36">
        <f t="shared" si="114"/>
        <v>540</v>
      </c>
      <c r="AN156" s="36">
        <f t="shared" si="114"/>
        <v>810</v>
      </c>
      <c r="AO156" s="36">
        <f t="shared" si="114"/>
        <v>1350</v>
      </c>
      <c r="AP156" s="36">
        <f t="shared" si="114"/>
        <v>2250</v>
      </c>
      <c r="AR156" s="4" t="str">
        <f t="shared" si="134"/>
        <v>36000,43200,64800,108000,180000,</v>
      </c>
      <c r="AS156" s="36">
        <f t="shared" si="135"/>
        <v>40000</v>
      </c>
      <c r="AT156" s="36">
        <f t="shared" si="115"/>
        <v>36000</v>
      </c>
      <c r="AU156" s="36">
        <f t="shared" si="115"/>
        <v>43200</v>
      </c>
      <c r="AV156" s="36">
        <f t="shared" si="115"/>
        <v>64800</v>
      </c>
      <c r="AW156" s="36">
        <f t="shared" si="115"/>
        <v>108000</v>
      </c>
      <c r="AX156" s="36">
        <f t="shared" si="115"/>
        <v>180000</v>
      </c>
      <c r="AZ156" s="4">
        <f t="shared" si="136"/>
        <v>129</v>
      </c>
      <c r="BA156" s="4">
        <f t="shared" si="137"/>
        <v>0</v>
      </c>
      <c r="BB156" s="4">
        <f t="shared" si="138"/>
        <v>7</v>
      </c>
      <c r="BC156" s="35" t="str">
        <f t="shared" si="139"/>
        <v>129,</v>
      </c>
      <c r="BD156" s="35" t="str">
        <f t="shared" si="116"/>
        <v/>
      </c>
      <c r="BE156" s="35" t="str">
        <f t="shared" si="140"/>
        <v>7,</v>
      </c>
      <c r="BF156" s="36" t="str">
        <f t="shared" si="141"/>
        <v>1,</v>
      </c>
      <c r="BG156" s="36" t="str">
        <f>IF(BA156=0,"",IF(Z156=0,"3,4,5",VLOOKUP(Z156,{1,3;2,4;3,5},2,0))&amp;",")</f>
        <v/>
      </c>
      <c r="BH156" s="36" t="str">
        <f t="shared" si="142"/>
        <v>6,</v>
      </c>
      <c r="BI156" s="34" t="str">
        <f t="shared" si="143"/>
        <v>1,6</v>
      </c>
      <c r="BJ156" s="34" t="str">
        <f t="shared" si="146"/>
        <v>129,7</v>
      </c>
      <c r="BK156" s="34" t="str">
        <f t="shared" si="144"/>
        <v>0,8,12,19,38,77</v>
      </c>
      <c r="BL156" s="4">
        <f t="shared" si="117"/>
        <v>0</v>
      </c>
      <c r="BM156" s="4">
        <f t="shared" si="118"/>
        <v>8</v>
      </c>
      <c r="BN156" s="4">
        <f t="shared" si="119"/>
        <v>12</v>
      </c>
      <c r="BO156" s="4">
        <f t="shared" si="120"/>
        <v>19</v>
      </c>
      <c r="BP156" s="4">
        <f t="shared" si="121"/>
        <v>38</v>
      </c>
      <c r="BQ156" s="4">
        <f t="shared" si="122"/>
        <v>77</v>
      </c>
      <c r="BR156" s="34" t="str">
        <f t="shared" si="123"/>
        <v>2001,2002,2003,2004,2005,2006</v>
      </c>
      <c r="BS156" s="34" t="str">
        <f t="shared" si="145"/>
        <v>22001,22002,22003,22004,22005,22006</v>
      </c>
      <c r="BT156" s="4">
        <f>VLOOKUP(LOOKUP($Y156,$K$48:$K$55,$L$48:$L$55)&amp;BT$1&amp;$W156,装备额外附加!$M:$O,3,0)</f>
        <v>22001</v>
      </c>
      <c r="BU156" s="4">
        <f>VLOOKUP(LOOKUP($Y156,$K$48:$K$55,$L$48:$L$55)&amp;BU$1&amp;$W156,装备额外附加!$M:$O,3,0)</f>
        <v>22002</v>
      </c>
      <c r="BV156" s="4">
        <f>VLOOKUP(LOOKUP($Y156,$K$48:$K$55,$L$48:$L$55)&amp;BV$1&amp;$W156,装备额外附加!$M:$O,3,0)</f>
        <v>22003</v>
      </c>
      <c r="BW156" s="4">
        <f>VLOOKUP(LOOKUP($Y156,$K$48:$K$55,$L$48:$L$55)&amp;BW$1&amp;$W156,装备额外附加!$M:$O,3,0)</f>
        <v>22004</v>
      </c>
      <c r="BX156" s="4">
        <f>VLOOKUP(LOOKUP($Y156,$K$48:$K$55,$L$48:$L$55)&amp;BX$1&amp;$W156,装备额外附加!$M:$O,3,0)</f>
        <v>22005</v>
      </c>
      <c r="BY156" s="4">
        <f>VLOOKUP(LOOKUP($Y156,$K$48:$K$55,$L$48:$L$55)&amp;BY$1&amp;$W156,装备额外附加!$M:$O,3,0)</f>
        <v>22006</v>
      </c>
    </row>
    <row r="157" spans="18:77">
      <c r="R157" s="4" t="s">
        <v>501</v>
      </c>
      <c r="S157" s="4" t="str">
        <f t="shared" si="124"/>
        <v>105024</v>
      </c>
      <c r="T157" s="4" t="s">
        <v>502</v>
      </c>
      <c r="U157" s="36">
        <v>40</v>
      </c>
      <c r="V157" s="36" t="str">
        <f t="shared" si="125"/>
        <v>腰带</v>
      </c>
      <c r="W157" s="36" t="str">
        <f t="shared" si="126"/>
        <v>护甲</v>
      </c>
      <c r="X157" s="4">
        <f t="shared" si="127"/>
        <v>4</v>
      </c>
      <c r="Y157" s="4">
        <f t="shared" si="128"/>
        <v>48</v>
      </c>
      <c r="Z157" s="4">
        <f t="shared" si="129"/>
        <v>2</v>
      </c>
      <c r="AA157" s="4" t="str">
        <f t="shared" si="130"/>
        <v>80,96,144,240,400,800</v>
      </c>
      <c r="AB157" s="36">
        <f t="shared" si="131"/>
        <v>100</v>
      </c>
      <c r="AC157" s="36">
        <f t="shared" si="147"/>
        <v>80</v>
      </c>
      <c r="AD157" s="36">
        <f t="shared" si="148"/>
        <v>96</v>
      </c>
      <c r="AE157" s="36">
        <f t="shared" si="148"/>
        <v>144</v>
      </c>
      <c r="AF157" s="36">
        <f t="shared" si="148"/>
        <v>240</v>
      </c>
      <c r="AG157" s="36">
        <f t="shared" si="148"/>
        <v>400</v>
      </c>
      <c r="AH157" s="36">
        <f t="shared" si="149"/>
        <v>800</v>
      </c>
      <c r="AJ157" s="4" t="str">
        <f t="shared" si="132"/>
        <v>400,480,720,1200,2000,</v>
      </c>
      <c r="AK157" s="36">
        <f t="shared" si="133"/>
        <v>500</v>
      </c>
      <c r="AL157" s="36">
        <f t="shared" si="114"/>
        <v>400</v>
      </c>
      <c r="AM157" s="36">
        <f t="shared" si="114"/>
        <v>480</v>
      </c>
      <c r="AN157" s="36">
        <f t="shared" si="114"/>
        <v>720</v>
      </c>
      <c r="AO157" s="36">
        <f t="shared" si="114"/>
        <v>1200</v>
      </c>
      <c r="AP157" s="36">
        <f t="shared" si="114"/>
        <v>2000</v>
      </c>
      <c r="AR157" s="4" t="str">
        <f t="shared" si="134"/>
        <v>32000,38400,57600,96000,160000,</v>
      </c>
      <c r="AS157" s="36">
        <f t="shared" si="135"/>
        <v>40000</v>
      </c>
      <c r="AT157" s="36">
        <f t="shared" si="115"/>
        <v>32000</v>
      </c>
      <c r="AU157" s="36">
        <f t="shared" si="115"/>
        <v>38400</v>
      </c>
      <c r="AV157" s="36">
        <f t="shared" si="115"/>
        <v>57600</v>
      </c>
      <c r="AW157" s="36">
        <f t="shared" si="115"/>
        <v>96000</v>
      </c>
      <c r="AX157" s="36">
        <f t="shared" si="115"/>
        <v>160000</v>
      </c>
      <c r="AZ157" s="4">
        <f t="shared" si="136"/>
        <v>64</v>
      </c>
      <c r="BA157" s="4">
        <f t="shared" si="137"/>
        <v>0</v>
      </c>
      <c r="BB157" s="4">
        <f t="shared" si="138"/>
        <v>5</v>
      </c>
      <c r="BC157" s="35" t="str">
        <f t="shared" si="139"/>
        <v>64,</v>
      </c>
      <c r="BD157" s="35" t="str">
        <f t="shared" si="116"/>
        <v/>
      </c>
      <c r="BE157" s="35" t="str">
        <f t="shared" si="140"/>
        <v>5,</v>
      </c>
      <c r="BF157" s="36" t="str">
        <f t="shared" si="141"/>
        <v>1,</v>
      </c>
      <c r="BG157" s="36" t="str">
        <f>IF(BA157=0,"",IF(Z157=0,"3,4,5",VLOOKUP(Z157,{1,3;2,4;3,5},2,0))&amp;",")</f>
        <v/>
      </c>
      <c r="BH157" s="36" t="str">
        <f t="shared" si="142"/>
        <v>6,</v>
      </c>
      <c r="BI157" s="34" t="str">
        <f t="shared" si="143"/>
        <v>1,6</v>
      </c>
      <c r="BJ157" s="34" t="str">
        <f t="shared" si="146"/>
        <v>64,5</v>
      </c>
      <c r="BK157" s="34" t="str">
        <f t="shared" si="144"/>
        <v>0,8,12,19,38,77</v>
      </c>
      <c r="BL157" s="4">
        <f t="shared" si="117"/>
        <v>0</v>
      </c>
      <c r="BM157" s="4">
        <f t="shared" si="118"/>
        <v>8</v>
      </c>
      <c r="BN157" s="4">
        <f t="shared" si="119"/>
        <v>12</v>
      </c>
      <c r="BO157" s="4">
        <f t="shared" si="120"/>
        <v>19</v>
      </c>
      <c r="BP157" s="4">
        <f t="shared" si="121"/>
        <v>38</v>
      </c>
      <c r="BQ157" s="4">
        <f t="shared" si="122"/>
        <v>77</v>
      </c>
      <c r="BR157" s="34" t="str">
        <f t="shared" si="123"/>
        <v>2001,2002,2003,2004,2005,2006</v>
      </c>
      <c r="BS157" s="34" t="str">
        <f t="shared" si="145"/>
        <v>22001,22002,22003,22004,22005,22006</v>
      </c>
      <c r="BT157" s="4">
        <f>VLOOKUP(LOOKUP($Y157,$K$48:$K$55,$L$48:$L$55)&amp;BT$1&amp;$W157,装备额外附加!$M:$O,3,0)</f>
        <v>22001</v>
      </c>
      <c r="BU157" s="4">
        <f>VLOOKUP(LOOKUP($Y157,$K$48:$K$55,$L$48:$L$55)&amp;BU$1&amp;$W157,装备额外附加!$M:$O,3,0)</f>
        <v>22002</v>
      </c>
      <c r="BV157" s="4">
        <f>VLOOKUP(LOOKUP($Y157,$K$48:$K$55,$L$48:$L$55)&amp;BV$1&amp;$W157,装备额外附加!$M:$O,3,0)</f>
        <v>22003</v>
      </c>
      <c r="BW157" s="4">
        <f>VLOOKUP(LOOKUP($Y157,$K$48:$K$55,$L$48:$L$55)&amp;BW$1&amp;$W157,装备额外附加!$M:$O,3,0)</f>
        <v>22004</v>
      </c>
      <c r="BX157" s="4">
        <f>VLOOKUP(LOOKUP($Y157,$K$48:$K$55,$L$48:$L$55)&amp;BX$1&amp;$W157,装备额外附加!$M:$O,3,0)</f>
        <v>22005</v>
      </c>
      <c r="BY157" s="4">
        <f>VLOOKUP(LOOKUP($Y157,$K$48:$K$55,$L$48:$L$55)&amp;BY$1&amp;$W157,装备额外附加!$M:$O,3,0)</f>
        <v>22006</v>
      </c>
    </row>
    <row r="158" spans="18:77">
      <c r="R158" s="4" t="s">
        <v>503</v>
      </c>
      <c r="S158" s="4" t="str">
        <f t="shared" si="124"/>
        <v>105025</v>
      </c>
      <c r="T158" s="4" t="s">
        <v>504</v>
      </c>
      <c r="U158" s="36">
        <v>40</v>
      </c>
      <c r="V158" s="36" t="str">
        <f t="shared" si="125"/>
        <v>鞋子</v>
      </c>
      <c r="W158" s="36" t="str">
        <f t="shared" si="126"/>
        <v>护甲</v>
      </c>
      <c r="X158" s="4">
        <f t="shared" si="127"/>
        <v>5</v>
      </c>
      <c r="Y158" s="4">
        <f t="shared" si="128"/>
        <v>42</v>
      </c>
      <c r="Z158" s="4">
        <f t="shared" si="129"/>
        <v>2</v>
      </c>
      <c r="AA158" s="4" t="str">
        <f t="shared" si="130"/>
        <v>80,96,144,240,400,800</v>
      </c>
      <c r="AB158" s="36">
        <f t="shared" si="131"/>
        <v>100</v>
      </c>
      <c r="AC158" s="36">
        <f t="shared" si="147"/>
        <v>80</v>
      </c>
      <c r="AD158" s="36">
        <f t="shared" ref="AD158:AG177" si="150">INT($AB158*VLOOKUP(AD$1,$B$11:$L$16,11,0)*VLOOKUP($V158,$C$22:$M$29,11,0))</f>
        <v>96</v>
      </c>
      <c r="AE158" s="36">
        <f t="shared" si="150"/>
        <v>144</v>
      </c>
      <c r="AF158" s="36">
        <f t="shared" si="150"/>
        <v>240</v>
      </c>
      <c r="AG158" s="36">
        <f t="shared" si="150"/>
        <v>400</v>
      </c>
      <c r="AH158" s="36">
        <f t="shared" si="149"/>
        <v>800</v>
      </c>
      <c r="AJ158" s="4" t="str">
        <f t="shared" si="132"/>
        <v>400,480,720,1200,2000,</v>
      </c>
      <c r="AK158" s="36">
        <f t="shared" si="133"/>
        <v>500</v>
      </c>
      <c r="AL158" s="36">
        <f t="shared" si="114"/>
        <v>400</v>
      </c>
      <c r="AM158" s="36">
        <f t="shared" si="114"/>
        <v>480</v>
      </c>
      <c r="AN158" s="36">
        <f t="shared" si="114"/>
        <v>720</v>
      </c>
      <c r="AO158" s="36">
        <f t="shared" si="114"/>
        <v>1200</v>
      </c>
      <c r="AP158" s="36">
        <f t="shared" si="114"/>
        <v>2000</v>
      </c>
      <c r="AR158" s="4" t="str">
        <f t="shared" si="134"/>
        <v>32000,38400,57600,96000,160000,</v>
      </c>
      <c r="AS158" s="36">
        <f t="shared" si="135"/>
        <v>40000</v>
      </c>
      <c r="AT158" s="36">
        <f t="shared" si="115"/>
        <v>32000</v>
      </c>
      <c r="AU158" s="36">
        <f t="shared" si="115"/>
        <v>38400</v>
      </c>
      <c r="AV158" s="36">
        <f t="shared" si="115"/>
        <v>57600</v>
      </c>
      <c r="AW158" s="36">
        <f t="shared" si="115"/>
        <v>96000</v>
      </c>
      <c r="AX158" s="36">
        <f t="shared" si="115"/>
        <v>160000</v>
      </c>
      <c r="AZ158" s="4">
        <f t="shared" si="136"/>
        <v>64</v>
      </c>
      <c r="BA158" s="4">
        <f t="shared" si="137"/>
        <v>0</v>
      </c>
      <c r="BB158" s="4">
        <f t="shared" si="138"/>
        <v>5</v>
      </c>
      <c r="BC158" s="35" t="str">
        <f t="shared" si="139"/>
        <v>64,</v>
      </c>
      <c r="BD158" s="35" t="str">
        <f t="shared" si="116"/>
        <v/>
      </c>
      <c r="BE158" s="35" t="str">
        <f t="shared" si="140"/>
        <v>5,</v>
      </c>
      <c r="BF158" s="36" t="str">
        <f t="shared" si="141"/>
        <v>1,</v>
      </c>
      <c r="BG158" s="36" t="str">
        <f>IF(BA158=0,"",IF(Z158=0,"3,4,5",VLOOKUP(Z158,{1,3;2,4;3,5},2,0))&amp;",")</f>
        <v/>
      </c>
      <c r="BH158" s="36" t="str">
        <f t="shared" si="142"/>
        <v>6,</v>
      </c>
      <c r="BI158" s="34" t="str">
        <f t="shared" si="143"/>
        <v>1,6</v>
      </c>
      <c r="BJ158" s="34" t="str">
        <f t="shared" si="146"/>
        <v>64,5</v>
      </c>
      <c r="BK158" s="34" t="str">
        <f t="shared" si="144"/>
        <v>0,8,12,19,38,77</v>
      </c>
      <c r="BL158" s="4">
        <f t="shared" si="117"/>
        <v>0</v>
      </c>
      <c r="BM158" s="4">
        <f t="shared" si="118"/>
        <v>8</v>
      </c>
      <c r="BN158" s="4">
        <f t="shared" si="119"/>
        <v>12</v>
      </c>
      <c r="BO158" s="4">
        <f t="shared" si="120"/>
        <v>19</v>
      </c>
      <c r="BP158" s="4">
        <f t="shared" si="121"/>
        <v>38</v>
      </c>
      <c r="BQ158" s="4">
        <f t="shared" si="122"/>
        <v>77</v>
      </c>
      <c r="BR158" s="34" t="str">
        <f t="shared" si="123"/>
        <v>2001,2002,2003,2004,2005,2006</v>
      </c>
      <c r="BS158" s="34" t="str">
        <f t="shared" si="145"/>
        <v>22001,22002,22003,22004,22005,22006</v>
      </c>
      <c r="BT158" s="4">
        <f>VLOOKUP(LOOKUP($Y158,$K$48:$K$55,$L$48:$L$55)&amp;BT$1&amp;$W158,装备额外附加!$M:$O,3,0)</f>
        <v>22001</v>
      </c>
      <c r="BU158" s="4">
        <f>VLOOKUP(LOOKUP($Y158,$K$48:$K$55,$L$48:$L$55)&amp;BU$1&amp;$W158,装备额外附加!$M:$O,3,0)</f>
        <v>22002</v>
      </c>
      <c r="BV158" s="4">
        <f>VLOOKUP(LOOKUP($Y158,$K$48:$K$55,$L$48:$L$55)&amp;BV$1&amp;$W158,装备额外附加!$M:$O,3,0)</f>
        <v>22003</v>
      </c>
      <c r="BW158" s="4">
        <f>VLOOKUP(LOOKUP($Y158,$K$48:$K$55,$L$48:$L$55)&amp;BW$1&amp;$W158,装备额外附加!$M:$O,3,0)</f>
        <v>22004</v>
      </c>
      <c r="BX158" s="4">
        <f>VLOOKUP(LOOKUP($Y158,$K$48:$K$55,$L$48:$L$55)&amp;BX$1&amp;$W158,装备额外附加!$M:$O,3,0)</f>
        <v>22005</v>
      </c>
      <c r="BY158" s="4">
        <f>VLOOKUP(LOOKUP($Y158,$K$48:$K$55,$L$48:$L$55)&amp;BY$1&amp;$W158,装备额外附加!$M:$O,3,0)</f>
        <v>22006</v>
      </c>
    </row>
    <row r="159" spans="18:77">
      <c r="R159" s="4" t="s">
        <v>505</v>
      </c>
      <c r="S159" s="4" t="str">
        <f t="shared" si="124"/>
        <v>106021</v>
      </c>
      <c r="T159" s="4" t="s">
        <v>506</v>
      </c>
      <c r="U159" s="36">
        <v>50</v>
      </c>
      <c r="V159" s="36" t="str">
        <f t="shared" si="125"/>
        <v>武器</v>
      </c>
      <c r="W159" s="36" t="str">
        <f t="shared" si="126"/>
        <v>武器</v>
      </c>
      <c r="X159" s="4">
        <f t="shared" si="127"/>
        <v>1</v>
      </c>
      <c r="Y159" s="4">
        <f t="shared" si="128"/>
        <v>51</v>
      </c>
      <c r="Z159" s="4">
        <f t="shared" si="129"/>
        <v>2</v>
      </c>
      <c r="AA159" s="4" t="str">
        <f t="shared" si="130"/>
        <v>120,144,216,360,600,1200</v>
      </c>
      <c r="AB159" s="36">
        <f t="shared" si="131"/>
        <v>120</v>
      </c>
      <c r="AC159" s="36">
        <f t="shared" si="147"/>
        <v>120</v>
      </c>
      <c r="AD159" s="36">
        <f t="shared" si="150"/>
        <v>144</v>
      </c>
      <c r="AE159" s="36">
        <f t="shared" si="150"/>
        <v>216</v>
      </c>
      <c r="AF159" s="36">
        <f t="shared" si="150"/>
        <v>360</v>
      </c>
      <c r="AG159" s="36">
        <f t="shared" si="150"/>
        <v>600</v>
      </c>
      <c r="AH159" s="36">
        <f t="shared" si="149"/>
        <v>1200</v>
      </c>
      <c r="AJ159" s="4" t="str">
        <f t="shared" si="132"/>
        <v>600,720,1080,1800,3000,</v>
      </c>
      <c r="AK159" s="36">
        <f t="shared" si="133"/>
        <v>600</v>
      </c>
      <c r="AL159" s="36">
        <f t="shared" si="114"/>
        <v>600</v>
      </c>
      <c r="AM159" s="36">
        <f t="shared" si="114"/>
        <v>720</v>
      </c>
      <c r="AN159" s="36">
        <f t="shared" si="114"/>
        <v>1080</v>
      </c>
      <c r="AO159" s="36">
        <f t="shared" si="114"/>
        <v>1800</v>
      </c>
      <c r="AP159" s="36">
        <f t="shared" si="114"/>
        <v>3000</v>
      </c>
      <c r="AR159" s="4" t="str">
        <f t="shared" si="134"/>
        <v>48000,57600,86400,144000,240000,</v>
      </c>
      <c r="AS159" s="36">
        <f t="shared" si="135"/>
        <v>48000</v>
      </c>
      <c r="AT159" s="36">
        <f t="shared" si="115"/>
        <v>48000</v>
      </c>
      <c r="AU159" s="36">
        <f t="shared" si="115"/>
        <v>57600</v>
      </c>
      <c r="AV159" s="36">
        <f t="shared" si="115"/>
        <v>86400</v>
      </c>
      <c r="AW159" s="36">
        <f t="shared" si="115"/>
        <v>144000</v>
      </c>
      <c r="AX159" s="36">
        <f t="shared" si="115"/>
        <v>240000</v>
      </c>
      <c r="AZ159" s="4">
        <f t="shared" si="136"/>
        <v>0</v>
      </c>
      <c r="BA159" s="4">
        <f t="shared" si="137"/>
        <v>23</v>
      </c>
      <c r="BB159" s="4">
        <f t="shared" si="138"/>
        <v>0</v>
      </c>
      <c r="BC159" s="35" t="str">
        <f t="shared" si="139"/>
        <v/>
      </c>
      <c r="BD159" s="35" t="str">
        <f t="shared" si="116"/>
        <v>50,</v>
      </c>
      <c r="BE159" s="35" t="str">
        <f t="shared" si="140"/>
        <v/>
      </c>
      <c r="BF159" s="36" t="str">
        <f t="shared" si="141"/>
        <v/>
      </c>
      <c r="BG159" s="36" t="str">
        <f>IF(BA159=0,"",IF(Z159=0,"3,4,5",VLOOKUP(Z159,{1,3;2,4;3,5},2,0))&amp;",")</f>
        <v>4,</v>
      </c>
      <c r="BH159" s="36" t="str">
        <f t="shared" si="142"/>
        <v/>
      </c>
      <c r="BI159" s="34" t="str">
        <f t="shared" si="143"/>
        <v>4</v>
      </c>
      <c r="BJ159" s="34" t="str">
        <f t="shared" si="146"/>
        <v>50</v>
      </c>
      <c r="BK159" s="34" t="str">
        <f t="shared" si="144"/>
        <v>0,16,25,39,79,159</v>
      </c>
      <c r="BL159" s="4">
        <f t="shared" si="117"/>
        <v>0</v>
      </c>
      <c r="BM159" s="4">
        <f t="shared" si="118"/>
        <v>16</v>
      </c>
      <c r="BN159" s="4">
        <f t="shared" si="119"/>
        <v>25</v>
      </c>
      <c r="BO159" s="4">
        <f t="shared" si="120"/>
        <v>39</v>
      </c>
      <c r="BP159" s="4">
        <f t="shared" si="121"/>
        <v>79</v>
      </c>
      <c r="BQ159" s="4">
        <f t="shared" si="122"/>
        <v>159</v>
      </c>
      <c r="BR159" s="34" t="str">
        <f t="shared" si="123"/>
        <v>1001,1002,1003,1004,1005,1006</v>
      </c>
      <c r="BS159" s="34" t="str">
        <f t="shared" si="145"/>
        <v>12001,12002,12003,12004,12005,12006</v>
      </c>
      <c r="BT159" s="4">
        <f>VLOOKUP(LOOKUP($Y159,$K$48:$K$55,$L$48:$L$55)&amp;BT$1&amp;$W159,装备额外附加!$M:$O,3,0)</f>
        <v>12001</v>
      </c>
      <c r="BU159" s="4">
        <f>VLOOKUP(LOOKUP($Y159,$K$48:$K$55,$L$48:$L$55)&amp;BU$1&amp;$W159,装备额外附加!$M:$O,3,0)</f>
        <v>12002</v>
      </c>
      <c r="BV159" s="4">
        <f>VLOOKUP(LOOKUP($Y159,$K$48:$K$55,$L$48:$L$55)&amp;BV$1&amp;$W159,装备额外附加!$M:$O,3,0)</f>
        <v>12003</v>
      </c>
      <c r="BW159" s="4">
        <f>VLOOKUP(LOOKUP($Y159,$K$48:$K$55,$L$48:$L$55)&amp;BW$1&amp;$W159,装备额外附加!$M:$O,3,0)</f>
        <v>12004</v>
      </c>
      <c r="BX159" s="4">
        <f>VLOOKUP(LOOKUP($Y159,$K$48:$K$55,$L$48:$L$55)&amp;BX$1&amp;$W159,装备额外附加!$M:$O,3,0)</f>
        <v>12005</v>
      </c>
      <c r="BY159" s="4">
        <f>VLOOKUP(LOOKUP($Y159,$K$48:$K$55,$L$48:$L$55)&amp;BY$1&amp;$W159,装备额外附加!$M:$O,3,0)</f>
        <v>12006</v>
      </c>
    </row>
    <row r="160" spans="18:77">
      <c r="R160" s="4" t="s">
        <v>507</v>
      </c>
      <c r="S160" s="4" t="str">
        <f t="shared" si="124"/>
        <v>106022</v>
      </c>
      <c r="T160" s="4" t="s">
        <v>508</v>
      </c>
      <c r="U160" s="36">
        <v>50</v>
      </c>
      <c r="V160" s="36" t="str">
        <f t="shared" si="125"/>
        <v>头盔</v>
      </c>
      <c r="W160" s="36" t="str">
        <f t="shared" si="126"/>
        <v>护甲</v>
      </c>
      <c r="X160" s="4">
        <f t="shared" si="127"/>
        <v>2</v>
      </c>
      <c r="Y160" s="4">
        <f t="shared" si="128"/>
        <v>57</v>
      </c>
      <c r="Z160" s="4">
        <f t="shared" si="129"/>
        <v>2</v>
      </c>
      <c r="AA160" s="4" t="str">
        <f t="shared" si="130"/>
        <v>108,129,194,324,540,1080</v>
      </c>
      <c r="AB160" s="36">
        <f t="shared" si="131"/>
        <v>120</v>
      </c>
      <c r="AC160" s="36">
        <f t="shared" si="147"/>
        <v>108</v>
      </c>
      <c r="AD160" s="36">
        <f t="shared" si="150"/>
        <v>129</v>
      </c>
      <c r="AE160" s="36">
        <f t="shared" si="150"/>
        <v>194</v>
      </c>
      <c r="AF160" s="36">
        <f t="shared" si="150"/>
        <v>324</v>
      </c>
      <c r="AG160" s="36">
        <f t="shared" si="150"/>
        <v>540</v>
      </c>
      <c r="AH160" s="36">
        <f t="shared" si="149"/>
        <v>1080</v>
      </c>
      <c r="AJ160" s="4" t="str">
        <f t="shared" si="132"/>
        <v>540,648,972,1620,2700,</v>
      </c>
      <c r="AK160" s="36">
        <f t="shared" si="133"/>
        <v>600</v>
      </c>
      <c r="AL160" s="36">
        <f t="shared" si="114"/>
        <v>540</v>
      </c>
      <c r="AM160" s="36">
        <f t="shared" si="114"/>
        <v>648</v>
      </c>
      <c r="AN160" s="36">
        <f t="shared" si="114"/>
        <v>972</v>
      </c>
      <c r="AO160" s="36">
        <f t="shared" si="114"/>
        <v>1620</v>
      </c>
      <c r="AP160" s="36">
        <f t="shared" si="114"/>
        <v>2700</v>
      </c>
      <c r="AR160" s="4" t="str">
        <f t="shared" si="134"/>
        <v>43200,51840,77760,129600,216000,</v>
      </c>
      <c r="AS160" s="36">
        <f t="shared" si="135"/>
        <v>48000</v>
      </c>
      <c r="AT160" s="36">
        <f t="shared" si="115"/>
        <v>43200</v>
      </c>
      <c r="AU160" s="36">
        <f t="shared" si="115"/>
        <v>51840</v>
      </c>
      <c r="AV160" s="36">
        <f t="shared" si="115"/>
        <v>77760</v>
      </c>
      <c r="AW160" s="36">
        <f t="shared" si="115"/>
        <v>129600</v>
      </c>
      <c r="AX160" s="36">
        <f t="shared" si="115"/>
        <v>216000</v>
      </c>
      <c r="AZ160" s="4">
        <f t="shared" si="136"/>
        <v>0</v>
      </c>
      <c r="BA160" s="4">
        <f t="shared" si="137"/>
        <v>11</v>
      </c>
      <c r="BB160" s="4">
        <f t="shared" si="138"/>
        <v>9</v>
      </c>
      <c r="BC160" s="35" t="str">
        <f t="shared" si="139"/>
        <v/>
      </c>
      <c r="BD160" s="35" t="str">
        <f t="shared" si="116"/>
        <v>24,</v>
      </c>
      <c r="BE160" s="35" t="str">
        <f t="shared" si="140"/>
        <v>9,</v>
      </c>
      <c r="BF160" s="36" t="str">
        <f t="shared" si="141"/>
        <v/>
      </c>
      <c r="BG160" s="36" t="str">
        <f>IF(BA160=0,"",IF(Z160=0,"3,4,5",VLOOKUP(Z160,{1,3;2,4;3,5},2,0))&amp;",")</f>
        <v>4,</v>
      </c>
      <c r="BH160" s="36" t="str">
        <f t="shared" si="142"/>
        <v>6,</v>
      </c>
      <c r="BI160" s="34" t="str">
        <f t="shared" si="143"/>
        <v>4,6</v>
      </c>
      <c r="BJ160" s="34" t="str">
        <f t="shared" si="146"/>
        <v>24,9</v>
      </c>
      <c r="BK160" s="34" t="str">
        <f t="shared" si="144"/>
        <v>0,11,17,26,53,106</v>
      </c>
      <c r="BL160" s="4">
        <f t="shared" si="117"/>
        <v>0</v>
      </c>
      <c r="BM160" s="4">
        <f t="shared" si="118"/>
        <v>11</v>
      </c>
      <c r="BN160" s="4">
        <f t="shared" si="119"/>
        <v>17</v>
      </c>
      <c r="BO160" s="4">
        <f t="shared" si="120"/>
        <v>26</v>
      </c>
      <c r="BP160" s="4">
        <f t="shared" si="121"/>
        <v>53</v>
      </c>
      <c r="BQ160" s="4">
        <f t="shared" si="122"/>
        <v>106</v>
      </c>
      <c r="BR160" s="34" t="str">
        <f t="shared" si="123"/>
        <v>2001,2002,2003,2004,2005,2006</v>
      </c>
      <c r="BS160" s="34" t="str">
        <f t="shared" si="145"/>
        <v>22001,22002,22003,22004,22005,22006</v>
      </c>
      <c r="BT160" s="4">
        <f>VLOOKUP(LOOKUP($Y160,$K$48:$K$55,$L$48:$L$55)&amp;BT$1&amp;$W160,装备额外附加!$M:$O,3,0)</f>
        <v>22001</v>
      </c>
      <c r="BU160" s="4">
        <f>VLOOKUP(LOOKUP($Y160,$K$48:$K$55,$L$48:$L$55)&amp;BU$1&amp;$W160,装备额外附加!$M:$O,3,0)</f>
        <v>22002</v>
      </c>
      <c r="BV160" s="4">
        <f>VLOOKUP(LOOKUP($Y160,$K$48:$K$55,$L$48:$L$55)&amp;BV$1&amp;$W160,装备额外附加!$M:$O,3,0)</f>
        <v>22003</v>
      </c>
      <c r="BW160" s="4">
        <f>VLOOKUP(LOOKUP($Y160,$K$48:$K$55,$L$48:$L$55)&amp;BW$1&amp;$W160,装备额外附加!$M:$O,3,0)</f>
        <v>22004</v>
      </c>
      <c r="BX160" s="4">
        <f>VLOOKUP(LOOKUP($Y160,$K$48:$K$55,$L$48:$L$55)&amp;BX$1&amp;$W160,装备额外附加!$M:$O,3,0)</f>
        <v>22005</v>
      </c>
      <c r="BY160" s="4">
        <f>VLOOKUP(LOOKUP($Y160,$K$48:$K$55,$L$48:$L$55)&amp;BY$1&amp;$W160,装备额外附加!$M:$O,3,0)</f>
        <v>22006</v>
      </c>
    </row>
    <row r="161" spans="18:77">
      <c r="R161" s="4" t="s">
        <v>509</v>
      </c>
      <c r="S161" s="4" t="str">
        <f t="shared" si="124"/>
        <v>106023</v>
      </c>
      <c r="T161" s="4" t="s">
        <v>510</v>
      </c>
      <c r="U161" s="36">
        <v>50</v>
      </c>
      <c r="V161" s="36" t="str">
        <f t="shared" si="125"/>
        <v>衣服</v>
      </c>
      <c r="W161" s="36" t="str">
        <f t="shared" si="126"/>
        <v>护甲</v>
      </c>
      <c r="X161" s="4">
        <f t="shared" si="127"/>
        <v>3</v>
      </c>
      <c r="Y161" s="4">
        <f t="shared" si="128"/>
        <v>55</v>
      </c>
      <c r="Z161" s="4">
        <f t="shared" si="129"/>
        <v>2</v>
      </c>
      <c r="AA161" s="4" t="str">
        <f t="shared" si="130"/>
        <v>108,129,194,324,540,1080</v>
      </c>
      <c r="AB161" s="36">
        <f t="shared" si="131"/>
        <v>120</v>
      </c>
      <c r="AC161" s="36">
        <f t="shared" si="147"/>
        <v>108</v>
      </c>
      <c r="AD161" s="36">
        <f t="shared" si="150"/>
        <v>129</v>
      </c>
      <c r="AE161" s="36">
        <f t="shared" si="150"/>
        <v>194</v>
      </c>
      <c r="AF161" s="36">
        <f t="shared" si="150"/>
        <v>324</v>
      </c>
      <c r="AG161" s="36">
        <f t="shared" si="150"/>
        <v>540</v>
      </c>
      <c r="AH161" s="36">
        <f t="shared" si="149"/>
        <v>1080</v>
      </c>
      <c r="AJ161" s="4" t="str">
        <f t="shared" si="132"/>
        <v>540,648,972,1620,2700,</v>
      </c>
      <c r="AK161" s="36">
        <f t="shared" si="133"/>
        <v>600</v>
      </c>
      <c r="AL161" s="36">
        <f t="shared" si="114"/>
        <v>540</v>
      </c>
      <c r="AM161" s="36">
        <f t="shared" si="114"/>
        <v>648</v>
      </c>
      <c r="AN161" s="36">
        <f t="shared" si="114"/>
        <v>972</v>
      </c>
      <c r="AO161" s="36">
        <f t="shared" si="114"/>
        <v>1620</v>
      </c>
      <c r="AP161" s="36">
        <f t="shared" si="114"/>
        <v>2700</v>
      </c>
      <c r="AR161" s="4" t="str">
        <f t="shared" si="134"/>
        <v>43200,51840,77760,129600,216000,</v>
      </c>
      <c r="AS161" s="36">
        <f t="shared" si="135"/>
        <v>48000</v>
      </c>
      <c r="AT161" s="36">
        <f t="shared" si="115"/>
        <v>43200</v>
      </c>
      <c r="AU161" s="36">
        <f t="shared" si="115"/>
        <v>51840</v>
      </c>
      <c r="AV161" s="36">
        <f t="shared" si="115"/>
        <v>77760</v>
      </c>
      <c r="AW161" s="36">
        <f t="shared" si="115"/>
        <v>129600</v>
      </c>
      <c r="AX161" s="36">
        <f t="shared" si="115"/>
        <v>216000</v>
      </c>
      <c r="AZ161" s="4">
        <f t="shared" si="136"/>
        <v>178</v>
      </c>
      <c r="BA161" s="4">
        <f t="shared" si="137"/>
        <v>0</v>
      </c>
      <c r="BB161" s="4">
        <f t="shared" si="138"/>
        <v>9</v>
      </c>
      <c r="BC161" s="35" t="str">
        <f t="shared" si="139"/>
        <v>178,</v>
      </c>
      <c r="BD161" s="35" t="str">
        <f t="shared" si="116"/>
        <v/>
      </c>
      <c r="BE161" s="35" t="str">
        <f t="shared" si="140"/>
        <v>9,</v>
      </c>
      <c r="BF161" s="36" t="str">
        <f t="shared" si="141"/>
        <v>1,</v>
      </c>
      <c r="BG161" s="36" t="str">
        <f>IF(BA161=0,"",IF(Z161=0,"3,4,5",VLOOKUP(Z161,{1,3;2,4;3,5},2,0))&amp;",")</f>
        <v/>
      </c>
      <c r="BH161" s="36" t="str">
        <f t="shared" si="142"/>
        <v>6,</v>
      </c>
      <c r="BI161" s="34" t="str">
        <f t="shared" si="143"/>
        <v>1,6</v>
      </c>
      <c r="BJ161" s="34" t="str">
        <f t="shared" si="146"/>
        <v>178,9</v>
      </c>
      <c r="BK161" s="34" t="str">
        <f t="shared" si="144"/>
        <v>0,11,17,26,53,106</v>
      </c>
      <c r="BL161" s="4">
        <f t="shared" si="117"/>
        <v>0</v>
      </c>
      <c r="BM161" s="4">
        <f t="shared" si="118"/>
        <v>11</v>
      </c>
      <c r="BN161" s="4">
        <f t="shared" si="119"/>
        <v>17</v>
      </c>
      <c r="BO161" s="4">
        <f t="shared" si="120"/>
        <v>26</v>
      </c>
      <c r="BP161" s="4">
        <f t="shared" si="121"/>
        <v>53</v>
      </c>
      <c r="BQ161" s="4">
        <f t="shared" si="122"/>
        <v>106</v>
      </c>
      <c r="BR161" s="34" t="str">
        <f t="shared" si="123"/>
        <v>2001,2002,2003,2004,2005,2006</v>
      </c>
      <c r="BS161" s="34" t="str">
        <f t="shared" si="145"/>
        <v>22001,22002,22003,22004,22005,22006</v>
      </c>
      <c r="BT161" s="4">
        <f>VLOOKUP(LOOKUP($Y161,$K$48:$K$55,$L$48:$L$55)&amp;BT$1&amp;$W161,装备额外附加!$M:$O,3,0)</f>
        <v>22001</v>
      </c>
      <c r="BU161" s="4">
        <f>VLOOKUP(LOOKUP($Y161,$K$48:$K$55,$L$48:$L$55)&amp;BU$1&amp;$W161,装备额外附加!$M:$O,3,0)</f>
        <v>22002</v>
      </c>
      <c r="BV161" s="4">
        <f>VLOOKUP(LOOKUP($Y161,$K$48:$K$55,$L$48:$L$55)&amp;BV$1&amp;$W161,装备额外附加!$M:$O,3,0)</f>
        <v>22003</v>
      </c>
      <c r="BW161" s="4">
        <f>VLOOKUP(LOOKUP($Y161,$K$48:$K$55,$L$48:$L$55)&amp;BW$1&amp;$W161,装备额外附加!$M:$O,3,0)</f>
        <v>22004</v>
      </c>
      <c r="BX161" s="4">
        <f>VLOOKUP(LOOKUP($Y161,$K$48:$K$55,$L$48:$L$55)&amp;BX$1&amp;$W161,装备额外附加!$M:$O,3,0)</f>
        <v>22005</v>
      </c>
      <c r="BY161" s="4">
        <f>VLOOKUP(LOOKUP($Y161,$K$48:$K$55,$L$48:$L$55)&amp;BY$1&amp;$W161,装备额外附加!$M:$O,3,0)</f>
        <v>22006</v>
      </c>
    </row>
    <row r="162" spans="18:77">
      <c r="R162" s="4" t="s">
        <v>511</v>
      </c>
      <c r="S162" s="4" t="str">
        <f t="shared" si="124"/>
        <v>106024</v>
      </c>
      <c r="T162" s="4" t="s">
        <v>512</v>
      </c>
      <c r="U162" s="36">
        <v>50</v>
      </c>
      <c r="V162" s="36" t="str">
        <f t="shared" si="125"/>
        <v>腰带</v>
      </c>
      <c r="W162" s="36" t="str">
        <f t="shared" si="126"/>
        <v>护甲</v>
      </c>
      <c r="X162" s="4">
        <f t="shared" si="127"/>
        <v>4</v>
      </c>
      <c r="Y162" s="4">
        <f t="shared" si="128"/>
        <v>58</v>
      </c>
      <c r="Z162" s="4">
        <f t="shared" si="129"/>
        <v>2</v>
      </c>
      <c r="AA162" s="4" t="str">
        <f t="shared" si="130"/>
        <v>96,115,172,288,480,960</v>
      </c>
      <c r="AB162" s="36">
        <f t="shared" si="131"/>
        <v>120</v>
      </c>
      <c r="AC162" s="36">
        <f t="shared" si="147"/>
        <v>96</v>
      </c>
      <c r="AD162" s="36">
        <f t="shared" si="150"/>
        <v>115</v>
      </c>
      <c r="AE162" s="36">
        <f t="shared" si="150"/>
        <v>172</v>
      </c>
      <c r="AF162" s="36">
        <f t="shared" si="150"/>
        <v>288</v>
      </c>
      <c r="AG162" s="36">
        <f t="shared" si="150"/>
        <v>480</v>
      </c>
      <c r="AH162" s="36">
        <f t="shared" si="149"/>
        <v>960</v>
      </c>
      <c r="AJ162" s="4" t="str">
        <f t="shared" si="132"/>
        <v>480,576,864,1440,2400,</v>
      </c>
      <c r="AK162" s="36">
        <f t="shared" si="133"/>
        <v>600</v>
      </c>
      <c r="AL162" s="36">
        <f t="shared" ref="AL162:AP203" si="151">INT($AK162*VLOOKUP(AL$1,$B$11:$L$16,11,0)*VLOOKUP($V162,$C$22:$M$29,11,0))</f>
        <v>480</v>
      </c>
      <c r="AM162" s="36">
        <f t="shared" si="151"/>
        <v>576</v>
      </c>
      <c r="AN162" s="36">
        <f t="shared" si="151"/>
        <v>864</v>
      </c>
      <c r="AO162" s="36">
        <f t="shared" si="151"/>
        <v>1440</v>
      </c>
      <c r="AP162" s="36">
        <f t="shared" si="151"/>
        <v>2400</v>
      </c>
      <c r="AR162" s="4" t="str">
        <f t="shared" si="134"/>
        <v>38400,46080,69120,115200,192000,</v>
      </c>
      <c r="AS162" s="36">
        <f t="shared" si="135"/>
        <v>48000</v>
      </c>
      <c r="AT162" s="36">
        <f t="shared" ref="AT162:AX203" si="152">INT($AS162*VLOOKUP(AT$1,$B$11:$L$16,11,0)*VLOOKUP($V162,$C$22:$M$29,11,0))</f>
        <v>38400</v>
      </c>
      <c r="AU162" s="36">
        <f t="shared" si="152"/>
        <v>46080</v>
      </c>
      <c r="AV162" s="36">
        <f t="shared" si="152"/>
        <v>69120</v>
      </c>
      <c r="AW162" s="36">
        <f t="shared" si="152"/>
        <v>115200</v>
      </c>
      <c r="AX162" s="36">
        <f t="shared" si="152"/>
        <v>192000</v>
      </c>
      <c r="AZ162" s="4">
        <f t="shared" si="136"/>
        <v>89</v>
      </c>
      <c r="BA162" s="4">
        <f t="shared" si="137"/>
        <v>0</v>
      </c>
      <c r="BB162" s="4">
        <f t="shared" si="138"/>
        <v>7</v>
      </c>
      <c r="BC162" s="35" t="str">
        <f t="shared" si="139"/>
        <v>89,</v>
      </c>
      <c r="BD162" s="35" t="str">
        <f t="shared" si="116"/>
        <v/>
      </c>
      <c r="BE162" s="35" t="str">
        <f t="shared" si="140"/>
        <v>7,</v>
      </c>
      <c r="BF162" s="36" t="str">
        <f t="shared" si="141"/>
        <v>1,</v>
      </c>
      <c r="BG162" s="36" t="str">
        <f>IF(BA162=0,"",IF(Z162=0,"3,4,5",VLOOKUP(Z162,{1,3;2,4;3,5},2,0))&amp;",")</f>
        <v/>
      </c>
      <c r="BH162" s="36" t="str">
        <f t="shared" si="142"/>
        <v>6,</v>
      </c>
      <c r="BI162" s="34" t="str">
        <f t="shared" si="143"/>
        <v>1,6</v>
      </c>
      <c r="BJ162" s="34" t="str">
        <f t="shared" si="146"/>
        <v>89,7</v>
      </c>
      <c r="BK162" s="34" t="str">
        <f t="shared" si="144"/>
        <v>0,11,17,26,53,106</v>
      </c>
      <c r="BL162" s="4">
        <f t="shared" si="117"/>
        <v>0</v>
      </c>
      <c r="BM162" s="4">
        <f t="shared" si="118"/>
        <v>11</v>
      </c>
      <c r="BN162" s="4">
        <f t="shared" si="119"/>
        <v>17</v>
      </c>
      <c r="BO162" s="4">
        <f t="shared" si="120"/>
        <v>26</v>
      </c>
      <c r="BP162" s="4">
        <f t="shared" si="121"/>
        <v>53</v>
      </c>
      <c r="BQ162" s="4">
        <f t="shared" si="122"/>
        <v>106</v>
      </c>
      <c r="BR162" s="34" t="str">
        <f t="shared" si="123"/>
        <v>2001,2002,2003,2004,2005,2006</v>
      </c>
      <c r="BS162" s="34" t="str">
        <f t="shared" si="145"/>
        <v>22001,22002,22003,22004,22005,22006</v>
      </c>
      <c r="BT162" s="4">
        <f>VLOOKUP(LOOKUP($Y162,$K$48:$K$55,$L$48:$L$55)&amp;BT$1&amp;$W162,装备额外附加!$M:$O,3,0)</f>
        <v>22001</v>
      </c>
      <c r="BU162" s="4">
        <f>VLOOKUP(LOOKUP($Y162,$K$48:$K$55,$L$48:$L$55)&amp;BU$1&amp;$W162,装备额外附加!$M:$O,3,0)</f>
        <v>22002</v>
      </c>
      <c r="BV162" s="4">
        <f>VLOOKUP(LOOKUP($Y162,$K$48:$K$55,$L$48:$L$55)&amp;BV$1&amp;$W162,装备额外附加!$M:$O,3,0)</f>
        <v>22003</v>
      </c>
      <c r="BW162" s="4">
        <f>VLOOKUP(LOOKUP($Y162,$K$48:$K$55,$L$48:$L$55)&amp;BW$1&amp;$W162,装备额外附加!$M:$O,3,0)</f>
        <v>22004</v>
      </c>
      <c r="BX162" s="4">
        <f>VLOOKUP(LOOKUP($Y162,$K$48:$K$55,$L$48:$L$55)&amp;BX$1&amp;$W162,装备额外附加!$M:$O,3,0)</f>
        <v>22005</v>
      </c>
      <c r="BY162" s="4">
        <f>VLOOKUP(LOOKUP($Y162,$K$48:$K$55,$L$48:$L$55)&amp;BY$1&amp;$W162,装备额外附加!$M:$O,3,0)</f>
        <v>22006</v>
      </c>
    </row>
    <row r="163" spans="18:77">
      <c r="R163" s="4" t="s">
        <v>513</v>
      </c>
      <c r="S163" s="4" t="str">
        <f t="shared" si="124"/>
        <v>106025</v>
      </c>
      <c r="T163" s="4" t="s">
        <v>514</v>
      </c>
      <c r="U163" s="36">
        <v>50</v>
      </c>
      <c r="V163" s="36" t="str">
        <f t="shared" si="125"/>
        <v>鞋子</v>
      </c>
      <c r="W163" s="36" t="str">
        <f t="shared" si="126"/>
        <v>护甲</v>
      </c>
      <c r="X163" s="4">
        <f t="shared" si="127"/>
        <v>5</v>
      </c>
      <c r="Y163" s="4">
        <f t="shared" si="128"/>
        <v>52</v>
      </c>
      <c r="Z163" s="4">
        <f t="shared" si="129"/>
        <v>2</v>
      </c>
      <c r="AA163" s="4" t="str">
        <f t="shared" si="130"/>
        <v>96,115,172,288,480,960</v>
      </c>
      <c r="AB163" s="36">
        <f t="shared" si="131"/>
        <v>120</v>
      </c>
      <c r="AC163" s="36">
        <f t="shared" si="147"/>
        <v>96</v>
      </c>
      <c r="AD163" s="36">
        <f t="shared" si="150"/>
        <v>115</v>
      </c>
      <c r="AE163" s="36">
        <f t="shared" si="150"/>
        <v>172</v>
      </c>
      <c r="AF163" s="36">
        <f t="shared" si="150"/>
        <v>288</v>
      </c>
      <c r="AG163" s="36">
        <f t="shared" si="150"/>
        <v>480</v>
      </c>
      <c r="AH163" s="36">
        <f t="shared" si="149"/>
        <v>960</v>
      </c>
      <c r="AJ163" s="4" t="str">
        <f t="shared" si="132"/>
        <v>480,576,864,1440,2400,</v>
      </c>
      <c r="AK163" s="36">
        <f t="shared" si="133"/>
        <v>600</v>
      </c>
      <c r="AL163" s="36">
        <f t="shared" si="151"/>
        <v>480</v>
      </c>
      <c r="AM163" s="36">
        <f t="shared" si="151"/>
        <v>576</v>
      </c>
      <c r="AN163" s="36">
        <f t="shared" si="151"/>
        <v>864</v>
      </c>
      <c r="AO163" s="36">
        <f t="shared" si="151"/>
        <v>1440</v>
      </c>
      <c r="AP163" s="36">
        <f t="shared" si="151"/>
        <v>2400</v>
      </c>
      <c r="AR163" s="4" t="str">
        <f t="shared" si="134"/>
        <v>38400,46080,69120,115200,192000,</v>
      </c>
      <c r="AS163" s="36">
        <f t="shared" si="135"/>
        <v>48000</v>
      </c>
      <c r="AT163" s="36">
        <f t="shared" si="152"/>
        <v>38400</v>
      </c>
      <c r="AU163" s="36">
        <f t="shared" si="152"/>
        <v>46080</v>
      </c>
      <c r="AV163" s="36">
        <f t="shared" si="152"/>
        <v>69120</v>
      </c>
      <c r="AW163" s="36">
        <f t="shared" si="152"/>
        <v>115200</v>
      </c>
      <c r="AX163" s="36">
        <f t="shared" si="152"/>
        <v>192000</v>
      </c>
      <c r="AZ163" s="4">
        <f t="shared" si="136"/>
        <v>89</v>
      </c>
      <c r="BA163" s="4">
        <f t="shared" si="137"/>
        <v>0</v>
      </c>
      <c r="BB163" s="4">
        <f t="shared" si="138"/>
        <v>7</v>
      </c>
      <c r="BC163" s="35" t="str">
        <f t="shared" si="139"/>
        <v>89,</v>
      </c>
      <c r="BD163" s="35" t="str">
        <f t="shared" si="116"/>
        <v/>
      </c>
      <c r="BE163" s="35" t="str">
        <f t="shared" si="140"/>
        <v>7,</v>
      </c>
      <c r="BF163" s="36" t="str">
        <f t="shared" si="141"/>
        <v>1,</v>
      </c>
      <c r="BG163" s="36" t="str">
        <f>IF(BA163=0,"",IF(Z163=0,"3,4,5",VLOOKUP(Z163,{1,3;2,4;3,5},2,0))&amp;",")</f>
        <v/>
      </c>
      <c r="BH163" s="36" t="str">
        <f t="shared" si="142"/>
        <v>6,</v>
      </c>
      <c r="BI163" s="34" t="str">
        <f t="shared" si="143"/>
        <v>1,6</v>
      </c>
      <c r="BJ163" s="34" t="str">
        <f t="shared" si="146"/>
        <v>89,7</v>
      </c>
      <c r="BK163" s="34" t="str">
        <f t="shared" si="144"/>
        <v>0,11,17,26,53,106</v>
      </c>
      <c r="BL163" s="4">
        <f t="shared" si="117"/>
        <v>0</v>
      </c>
      <c r="BM163" s="4">
        <f t="shared" si="118"/>
        <v>11</v>
      </c>
      <c r="BN163" s="4">
        <f t="shared" si="119"/>
        <v>17</v>
      </c>
      <c r="BO163" s="4">
        <f t="shared" si="120"/>
        <v>26</v>
      </c>
      <c r="BP163" s="4">
        <f t="shared" si="121"/>
        <v>53</v>
      </c>
      <c r="BQ163" s="4">
        <f t="shared" si="122"/>
        <v>106</v>
      </c>
      <c r="BR163" s="34" t="str">
        <f t="shared" si="123"/>
        <v>2001,2002,2003,2004,2005,2006</v>
      </c>
      <c r="BS163" s="34" t="str">
        <f t="shared" si="145"/>
        <v>22001,22002,22003,22004,22005,22006</v>
      </c>
      <c r="BT163" s="4">
        <f>VLOOKUP(LOOKUP($Y163,$K$48:$K$55,$L$48:$L$55)&amp;BT$1&amp;$W163,装备额外附加!$M:$O,3,0)</f>
        <v>22001</v>
      </c>
      <c r="BU163" s="4">
        <f>VLOOKUP(LOOKUP($Y163,$K$48:$K$55,$L$48:$L$55)&amp;BU$1&amp;$W163,装备额外附加!$M:$O,3,0)</f>
        <v>22002</v>
      </c>
      <c r="BV163" s="4">
        <f>VLOOKUP(LOOKUP($Y163,$K$48:$K$55,$L$48:$L$55)&amp;BV$1&amp;$W163,装备额外附加!$M:$O,3,0)</f>
        <v>22003</v>
      </c>
      <c r="BW163" s="4">
        <f>VLOOKUP(LOOKUP($Y163,$K$48:$K$55,$L$48:$L$55)&amp;BW$1&amp;$W163,装备额外附加!$M:$O,3,0)</f>
        <v>22004</v>
      </c>
      <c r="BX163" s="4">
        <f>VLOOKUP(LOOKUP($Y163,$K$48:$K$55,$L$48:$L$55)&amp;BX$1&amp;$W163,装备额外附加!$M:$O,3,0)</f>
        <v>22005</v>
      </c>
      <c r="BY163" s="4">
        <f>VLOOKUP(LOOKUP($Y163,$K$48:$K$55,$L$48:$L$55)&amp;BY$1&amp;$W163,装备额外附加!$M:$O,3,0)</f>
        <v>22006</v>
      </c>
    </row>
    <row r="164" spans="18:77">
      <c r="R164" s="4" t="s">
        <v>515</v>
      </c>
      <c r="S164" s="4" t="str">
        <f t="shared" si="124"/>
        <v>107021</v>
      </c>
      <c r="T164" s="4" t="s">
        <v>516</v>
      </c>
      <c r="U164" s="36">
        <v>60</v>
      </c>
      <c r="V164" s="36" t="str">
        <f t="shared" si="125"/>
        <v>武器</v>
      </c>
      <c r="W164" s="36" t="str">
        <f t="shared" si="126"/>
        <v>武器</v>
      </c>
      <c r="X164" s="4">
        <f t="shared" si="127"/>
        <v>1</v>
      </c>
      <c r="Y164" s="4">
        <f t="shared" si="128"/>
        <v>61</v>
      </c>
      <c r="Z164" s="4">
        <f t="shared" si="129"/>
        <v>2</v>
      </c>
      <c r="AA164" s="4" t="str">
        <f t="shared" si="130"/>
        <v>140,168,252,420,700,1400</v>
      </c>
      <c r="AB164" s="36">
        <f t="shared" si="131"/>
        <v>140</v>
      </c>
      <c r="AC164" s="36">
        <f t="shared" si="147"/>
        <v>140</v>
      </c>
      <c r="AD164" s="36">
        <f t="shared" si="150"/>
        <v>168</v>
      </c>
      <c r="AE164" s="36">
        <f t="shared" si="150"/>
        <v>252</v>
      </c>
      <c r="AF164" s="36">
        <f t="shared" si="150"/>
        <v>420</v>
      </c>
      <c r="AG164" s="36">
        <f t="shared" si="150"/>
        <v>700</v>
      </c>
      <c r="AH164" s="36">
        <f t="shared" si="149"/>
        <v>1400</v>
      </c>
      <c r="AJ164" s="4" t="str">
        <f t="shared" si="132"/>
        <v>700,840,1260,2100,3500,</v>
      </c>
      <c r="AK164" s="36">
        <f t="shared" si="133"/>
        <v>700</v>
      </c>
      <c r="AL164" s="36">
        <f t="shared" si="151"/>
        <v>700</v>
      </c>
      <c r="AM164" s="36">
        <f t="shared" si="151"/>
        <v>840</v>
      </c>
      <c r="AN164" s="36">
        <f t="shared" si="151"/>
        <v>1260</v>
      </c>
      <c r="AO164" s="36">
        <f t="shared" si="151"/>
        <v>2100</v>
      </c>
      <c r="AP164" s="36">
        <f t="shared" si="151"/>
        <v>3500</v>
      </c>
      <c r="AR164" s="4" t="str">
        <f t="shared" si="134"/>
        <v>56000,67200,100800,168000,280000,</v>
      </c>
      <c r="AS164" s="36">
        <f t="shared" si="135"/>
        <v>56000</v>
      </c>
      <c r="AT164" s="36">
        <f t="shared" si="152"/>
        <v>56000</v>
      </c>
      <c r="AU164" s="36">
        <f t="shared" si="152"/>
        <v>67200</v>
      </c>
      <c r="AV164" s="36">
        <f t="shared" si="152"/>
        <v>100800</v>
      </c>
      <c r="AW164" s="36">
        <f t="shared" si="152"/>
        <v>168000</v>
      </c>
      <c r="AX164" s="36">
        <f t="shared" si="152"/>
        <v>280000</v>
      </c>
      <c r="AZ164" s="4">
        <f t="shared" si="136"/>
        <v>0</v>
      </c>
      <c r="BA164" s="4">
        <f t="shared" si="137"/>
        <v>32</v>
      </c>
      <c r="BB164" s="4">
        <f t="shared" si="138"/>
        <v>0</v>
      </c>
      <c r="BC164" s="35" t="str">
        <f t="shared" si="139"/>
        <v/>
      </c>
      <c r="BD164" s="35" t="str">
        <f t="shared" si="116"/>
        <v>70,</v>
      </c>
      <c r="BE164" s="35" t="str">
        <f t="shared" si="140"/>
        <v/>
      </c>
      <c r="BF164" s="36" t="str">
        <f t="shared" si="141"/>
        <v/>
      </c>
      <c r="BG164" s="36" t="str">
        <f>IF(BA164=0,"",IF(Z164=0,"3,4,5",VLOOKUP(Z164,{1,3;2,4;3,5},2,0))&amp;",")</f>
        <v>4,</v>
      </c>
      <c r="BH164" s="36" t="str">
        <f t="shared" si="142"/>
        <v/>
      </c>
      <c r="BI164" s="34" t="str">
        <f t="shared" si="143"/>
        <v>4</v>
      </c>
      <c r="BJ164" s="34" t="str">
        <f t="shared" si="146"/>
        <v>70</v>
      </c>
      <c r="BK164" s="34" t="str">
        <f t="shared" si="144"/>
        <v>0,24,36,54,108,217</v>
      </c>
      <c r="BL164" s="4">
        <f t="shared" si="117"/>
        <v>0</v>
      </c>
      <c r="BM164" s="4">
        <f t="shared" si="118"/>
        <v>24</v>
      </c>
      <c r="BN164" s="4">
        <f t="shared" si="119"/>
        <v>36</v>
      </c>
      <c r="BO164" s="4">
        <f t="shared" si="120"/>
        <v>54</v>
      </c>
      <c r="BP164" s="4">
        <f t="shared" si="121"/>
        <v>108</v>
      </c>
      <c r="BQ164" s="4">
        <f t="shared" si="122"/>
        <v>217</v>
      </c>
      <c r="BR164" s="34" t="str">
        <f t="shared" si="123"/>
        <v>1001,1002,1003,1004,1005,1006</v>
      </c>
      <c r="BS164" s="34" t="str">
        <f t="shared" si="145"/>
        <v>13001,13002,13003,13004,13005,13006</v>
      </c>
      <c r="BT164" s="4">
        <f>VLOOKUP(LOOKUP($Y164,$K$48:$K$55,$L$48:$L$55)&amp;BT$1&amp;$W164,装备额外附加!$M:$O,3,0)</f>
        <v>13001</v>
      </c>
      <c r="BU164" s="4">
        <f>VLOOKUP(LOOKUP($Y164,$K$48:$K$55,$L$48:$L$55)&amp;BU$1&amp;$W164,装备额外附加!$M:$O,3,0)</f>
        <v>13002</v>
      </c>
      <c r="BV164" s="4">
        <f>VLOOKUP(LOOKUP($Y164,$K$48:$K$55,$L$48:$L$55)&amp;BV$1&amp;$W164,装备额外附加!$M:$O,3,0)</f>
        <v>13003</v>
      </c>
      <c r="BW164" s="4">
        <f>VLOOKUP(LOOKUP($Y164,$K$48:$K$55,$L$48:$L$55)&amp;BW$1&amp;$W164,装备额外附加!$M:$O,3,0)</f>
        <v>13004</v>
      </c>
      <c r="BX164" s="4">
        <f>VLOOKUP(LOOKUP($Y164,$K$48:$K$55,$L$48:$L$55)&amp;BX$1&amp;$W164,装备额外附加!$M:$O,3,0)</f>
        <v>13005</v>
      </c>
      <c r="BY164" s="4">
        <f>VLOOKUP(LOOKUP($Y164,$K$48:$K$55,$L$48:$L$55)&amp;BY$1&amp;$W164,装备额外附加!$M:$O,3,0)</f>
        <v>13006</v>
      </c>
    </row>
    <row r="165" spans="18:77">
      <c r="R165" s="4" t="s">
        <v>517</v>
      </c>
      <c r="S165" s="4" t="str">
        <f t="shared" si="124"/>
        <v>107022</v>
      </c>
      <c r="T165" s="4" t="s">
        <v>518</v>
      </c>
      <c r="U165" s="36">
        <v>60</v>
      </c>
      <c r="V165" s="36" t="str">
        <f t="shared" si="125"/>
        <v>头盔</v>
      </c>
      <c r="W165" s="36" t="str">
        <f t="shared" si="126"/>
        <v>护甲</v>
      </c>
      <c r="X165" s="4">
        <f t="shared" si="127"/>
        <v>2</v>
      </c>
      <c r="Y165" s="4">
        <f t="shared" si="128"/>
        <v>67</v>
      </c>
      <c r="Z165" s="4">
        <f t="shared" si="129"/>
        <v>2</v>
      </c>
      <c r="AA165" s="4" t="str">
        <f t="shared" si="130"/>
        <v>126,151,226,378,630,1260</v>
      </c>
      <c r="AB165" s="36">
        <f t="shared" si="131"/>
        <v>140</v>
      </c>
      <c r="AC165" s="36">
        <f t="shared" si="147"/>
        <v>126</v>
      </c>
      <c r="AD165" s="36">
        <f t="shared" si="150"/>
        <v>151</v>
      </c>
      <c r="AE165" s="36">
        <f t="shared" si="150"/>
        <v>226</v>
      </c>
      <c r="AF165" s="36">
        <f t="shared" si="150"/>
        <v>378</v>
      </c>
      <c r="AG165" s="36">
        <f t="shared" si="150"/>
        <v>630</v>
      </c>
      <c r="AH165" s="36">
        <f t="shared" si="149"/>
        <v>1260</v>
      </c>
      <c r="AJ165" s="4" t="str">
        <f t="shared" si="132"/>
        <v>630,756,1134,1890,3150,</v>
      </c>
      <c r="AK165" s="36">
        <f t="shared" si="133"/>
        <v>700</v>
      </c>
      <c r="AL165" s="36">
        <f t="shared" si="151"/>
        <v>630</v>
      </c>
      <c r="AM165" s="36">
        <f t="shared" si="151"/>
        <v>756</v>
      </c>
      <c r="AN165" s="36">
        <f t="shared" si="151"/>
        <v>1134</v>
      </c>
      <c r="AO165" s="36">
        <f t="shared" si="151"/>
        <v>1890</v>
      </c>
      <c r="AP165" s="36">
        <f t="shared" si="151"/>
        <v>3150</v>
      </c>
      <c r="AR165" s="4" t="str">
        <f t="shared" si="134"/>
        <v>50400,60480,90720,151200,252000,</v>
      </c>
      <c r="AS165" s="36">
        <f t="shared" si="135"/>
        <v>56000</v>
      </c>
      <c r="AT165" s="36">
        <f t="shared" si="152"/>
        <v>50400</v>
      </c>
      <c r="AU165" s="36">
        <f t="shared" si="152"/>
        <v>60480</v>
      </c>
      <c r="AV165" s="36">
        <f t="shared" si="152"/>
        <v>90720</v>
      </c>
      <c r="AW165" s="36">
        <f t="shared" si="152"/>
        <v>151200</v>
      </c>
      <c r="AX165" s="36">
        <f t="shared" si="152"/>
        <v>252000</v>
      </c>
      <c r="AZ165" s="4">
        <f t="shared" si="136"/>
        <v>0</v>
      </c>
      <c r="BA165" s="4">
        <f t="shared" si="137"/>
        <v>16</v>
      </c>
      <c r="BB165" s="4">
        <f t="shared" si="138"/>
        <v>13</v>
      </c>
      <c r="BC165" s="35" t="str">
        <f t="shared" si="139"/>
        <v/>
      </c>
      <c r="BD165" s="35" t="str">
        <f t="shared" si="116"/>
        <v>35,</v>
      </c>
      <c r="BE165" s="35" t="str">
        <f t="shared" si="140"/>
        <v>13,</v>
      </c>
      <c r="BF165" s="36" t="str">
        <f t="shared" si="141"/>
        <v/>
      </c>
      <c r="BG165" s="36" t="str">
        <f>IF(BA165=0,"",IF(Z165=0,"3,4,5",VLOOKUP(Z165,{1,3;2,4;3,5},2,0))&amp;",")</f>
        <v>4,</v>
      </c>
      <c r="BH165" s="36" t="str">
        <f t="shared" si="142"/>
        <v>6,</v>
      </c>
      <c r="BI165" s="34" t="str">
        <f t="shared" si="143"/>
        <v>4,6</v>
      </c>
      <c r="BJ165" s="34" t="str">
        <f t="shared" si="146"/>
        <v>35,13</v>
      </c>
      <c r="BK165" s="34" t="str">
        <f t="shared" si="144"/>
        <v>0,16,24,36,72,145</v>
      </c>
      <c r="BL165" s="4">
        <f t="shared" si="117"/>
        <v>0</v>
      </c>
      <c r="BM165" s="4">
        <f t="shared" si="118"/>
        <v>16</v>
      </c>
      <c r="BN165" s="4">
        <f t="shared" si="119"/>
        <v>24</v>
      </c>
      <c r="BO165" s="4">
        <f t="shared" si="120"/>
        <v>36</v>
      </c>
      <c r="BP165" s="4">
        <f t="shared" si="121"/>
        <v>72</v>
      </c>
      <c r="BQ165" s="4">
        <f t="shared" si="122"/>
        <v>145</v>
      </c>
      <c r="BR165" s="34" t="str">
        <f t="shared" si="123"/>
        <v>2001,2002,2003,2004,2005,2006</v>
      </c>
      <c r="BS165" s="34" t="str">
        <f t="shared" si="145"/>
        <v>23001,23002,23003,23004,23005,23006</v>
      </c>
      <c r="BT165" s="4">
        <f>VLOOKUP(LOOKUP($Y165,$K$48:$K$55,$L$48:$L$55)&amp;BT$1&amp;$W165,装备额外附加!$M:$O,3,0)</f>
        <v>23001</v>
      </c>
      <c r="BU165" s="4">
        <f>VLOOKUP(LOOKUP($Y165,$K$48:$K$55,$L$48:$L$55)&amp;BU$1&amp;$W165,装备额外附加!$M:$O,3,0)</f>
        <v>23002</v>
      </c>
      <c r="BV165" s="4">
        <f>VLOOKUP(LOOKUP($Y165,$K$48:$K$55,$L$48:$L$55)&amp;BV$1&amp;$W165,装备额外附加!$M:$O,3,0)</f>
        <v>23003</v>
      </c>
      <c r="BW165" s="4">
        <f>VLOOKUP(LOOKUP($Y165,$K$48:$K$55,$L$48:$L$55)&amp;BW$1&amp;$W165,装备额外附加!$M:$O,3,0)</f>
        <v>23004</v>
      </c>
      <c r="BX165" s="4">
        <f>VLOOKUP(LOOKUP($Y165,$K$48:$K$55,$L$48:$L$55)&amp;BX$1&amp;$W165,装备额外附加!$M:$O,3,0)</f>
        <v>23005</v>
      </c>
      <c r="BY165" s="4">
        <f>VLOOKUP(LOOKUP($Y165,$K$48:$K$55,$L$48:$L$55)&amp;BY$1&amp;$W165,装备额外附加!$M:$O,3,0)</f>
        <v>23006</v>
      </c>
    </row>
    <row r="166" spans="18:77">
      <c r="R166" s="4" t="s">
        <v>519</v>
      </c>
      <c r="S166" s="4" t="str">
        <f t="shared" si="124"/>
        <v>107023</v>
      </c>
      <c r="T166" s="4" t="s">
        <v>520</v>
      </c>
      <c r="U166" s="36">
        <v>60</v>
      </c>
      <c r="V166" s="36" t="str">
        <f t="shared" si="125"/>
        <v>衣服</v>
      </c>
      <c r="W166" s="36" t="str">
        <f t="shared" si="126"/>
        <v>护甲</v>
      </c>
      <c r="X166" s="4">
        <f t="shared" si="127"/>
        <v>3</v>
      </c>
      <c r="Y166" s="4">
        <f t="shared" si="128"/>
        <v>65</v>
      </c>
      <c r="Z166" s="4">
        <f t="shared" si="129"/>
        <v>2</v>
      </c>
      <c r="AA166" s="4" t="str">
        <f t="shared" si="130"/>
        <v>126,151,226,378,630,1260</v>
      </c>
      <c r="AB166" s="36">
        <f t="shared" si="131"/>
        <v>140</v>
      </c>
      <c r="AC166" s="36">
        <f t="shared" si="147"/>
        <v>126</v>
      </c>
      <c r="AD166" s="36">
        <f t="shared" si="150"/>
        <v>151</v>
      </c>
      <c r="AE166" s="36">
        <f t="shared" si="150"/>
        <v>226</v>
      </c>
      <c r="AF166" s="36">
        <f t="shared" si="150"/>
        <v>378</v>
      </c>
      <c r="AG166" s="36">
        <f t="shared" si="150"/>
        <v>630</v>
      </c>
      <c r="AH166" s="36">
        <f t="shared" si="149"/>
        <v>1260</v>
      </c>
      <c r="AJ166" s="4" t="str">
        <f t="shared" si="132"/>
        <v>630,756,1134,1890,3150,</v>
      </c>
      <c r="AK166" s="36">
        <f t="shared" si="133"/>
        <v>700</v>
      </c>
      <c r="AL166" s="36">
        <f t="shared" si="151"/>
        <v>630</v>
      </c>
      <c r="AM166" s="36">
        <f t="shared" si="151"/>
        <v>756</v>
      </c>
      <c r="AN166" s="36">
        <f t="shared" si="151"/>
        <v>1134</v>
      </c>
      <c r="AO166" s="36">
        <f t="shared" si="151"/>
        <v>1890</v>
      </c>
      <c r="AP166" s="36">
        <f t="shared" si="151"/>
        <v>3150</v>
      </c>
      <c r="AR166" s="4" t="str">
        <f t="shared" si="134"/>
        <v>50400,60480,90720,151200,252000,</v>
      </c>
      <c r="AS166" s="36">
        <f t="shared" si="135"/>
        <v>56000</v>
      </c>
      <c r="AT166" s="36">
        <f t="shared" si="152"/>
        <v>50400</v>
      </c>
      <c r="AU166" s="36">
        <f t="shared" si="152"/>
        <v>60480</v>
      </c>
      <c r="AV166" s="36">
        <f t="shared" si="152"/>
        <v>90720</v>
      </c>
      <c r="AW166" s="36">
        <f t="shared" si="152"/>
        <v>151200</v>
      </c>
      <c r="AX166" s="36">
        <f t="shared" si="152"/>
        <v>252000</v>
      </c>
      <c r="AZ166" s="4">
        <f t="shared" si="136"/>
        <v>243</v>
      </c>
      <c r="BA166" s="4">
        <f t="shared" si="137"/>
        <v>0</v>
      </c>
      <c r="BB166" s="4">
        <f t="shared" si="138"/>
        <v>13</v>
      </c>
      <c r="BC166" s="35" t="str">
        <f t="shared" si="139"/>
        <v>243,</v>
      </c>
      <c r="BD166" s="35" t="str">
        <f t="shared" si="116"/>
        <v/>
      </c>
      <c r="BE166" s="35" t="str">
        <f t="shared" si="140"/>
        <v>13,</v>
      </c>
      <c r="BF166" s="36" t="str">
        <f t="shared" si="141"/>
        <v>1,</v>
      </c>
      <c r="BG166" s="36" t="str">
        <f>IF(BA166=0,"",IF(Z166=0,"3,4,5",VLOOKUP(Z166,{1,3;2,4;3,5},2,0))&amp;",")</f>
        <v/>
      </c>
      <c r="BH166" s="36" t="str">
        <f t="shared" si="142"/>
        <v>6,</v>
      </c>
      <c r="BI166" s="34" t="str">
        <f t="shared" si="143"/>
        <v>1,6</v>
      </c>
      <c r="BJ166" s="34" t="str">
        <f t="shared" si="146"/>
        <v>243,13</v>
      </c>
      <c r="BK166" s="34" t="str">
        <f t="shared" si="144"/>
        <v>0,16,24,36,72,145</v>
      </c>
      <c r="BL166" s="4">
        <f t="shared" si="117"/>
        <v>0</v>
      </c>
      <c r="BM166" s="4">
        <f t="shared" si="118"/>
        <v>16</v>
      </c>
      <c r="BN166" s="4">
        <f t="shared" si="119"/>
        <v>24</v>
      </c>
      <c r="BO166" s="4">
        <f t="shared" si="120"/>
        <v>36</v>
      </c>
      <c r="BP166" s="4">
        <f t="shared" si="121"/>
        <v>72</v>
      </c>
      <c r="BQ166" s="4">
        <f t="shared" si="122"/>
        <v>145</v>
      </c>
      <c r="BR166" s="34" t="str">
        <f t="shared" si="123"/>
        <v>2001,2002,2003,2004,2005,2006</v>
      </c>
      <c r="BS166" s="34" t="str">
        <f t="shared" si="145"/>
        <v>23001,23002,23003,23004,23005,23006</v>
      </c>
      <c r="BT166" s="4">
        <f>VLOOKUP(LOOKUP($Y166,$K$48:$K$55,$L$48:$L$55)&amp;BT$1&amp;$W166,装备额外附加!$M:$O,3,0)</f>
        <v>23001</v>
      </c>
      <c r="BU166" s="4">
        <f>VLOOKUP(LOOKUP($Y166,$K$48:$K$55,$L$48:$L$55)&amp;BU$1&amp;$W166,装备额外附加!$M:$O,3,0)</f>
        <v>23002</v>
      </c>
      <c r="BV166" s="4">
        <f>VLOOKUP(LOOKUP($Y166,$K$48:$K$55,$L$48:$L$55)&amp;BV$1&amp;$W166,装备额外附加!$M:$O,3,0)</f>
        <v>23003</v>
      </c>
      <c r="BW166" s="4">
        <f>VLOOKUP(LOOKUP($Y166,$K$48:$K$55,$L$48:$L$55)&amp;BW$1&amp;$W166,装备额外附加!$M:$O,3,0)</f>
        <v>23004</v>
      </c>
      <c r="BX166" s="4">
        <f>VLOOKUP(LOOKUP($Y166,$K$48:$K$55,$L$48:$L$55)&amp;BX$1&amp;$W166,装备额外附加!$M:$O,3,0)</f>
        <v>23005</v>
      </c>
      <c r="BY166" s="4">
        <f>VLOOKUP(LOOKUP($Y166,$K$48:$K$55,$L$48:$L$55)&amp;BY$1&amp;$W166,装备额外附加!$M:$O,3,0)</f>
        <v>23006</v>
      </c>
    </row>
    <row r="167" spans="18:77">
      <c r="R167" s="4" t="s">
        <v>521</v>
      </c>
      <c r="S167" s="4" t="str">
        <f t="shared" si="124"/>
        <v>107024</v>
      </c>
      <c r="T167" s="4" t="s">
        <v>522</v>
      </c>
      <c r="U167" s="36">
        <v>60</v>
      </c>
      <c r="V167" s="36" t="str">
        <f t="shared" si="125"/>
        <v>腰带</v>
      </c>
      <c r="W167" s="36" t="str">
        <f t="shared" si="126"/>
        <v>护甲</v>
      </c>
      <c r="X167" s="4">
        <f t="shared" si="127"/>
        <v>4</v>
      </c>
      <c r="Y167" s="4">
        <f t="shared" si="128"/>
        <v>68</v>
      </c>
      <c r="Z167" s="4">
        <f t="shared" si="129"/>
        <v>2</v>
      </c>
      <c r="AA167" s="4" t="str">
        <f t="shared" si="130"/>
        <v>112,134,201,336,560,1120</v>
      </c>
      <c r="AB167" s="36">
        <f t="shared" si="131"/>
        <v>140</v>
      </c>
      <c r="AC167" s="36">
        <f t="shared" ref="AC167:AC203" si="153">INT($AB167*VLOOKUP(AC$1,$B$11:$L$16,11,0)*VLOOKUP($V167,$C$22:$M$29,11,0))</f>
        <v>112</v>
      </c>
      <c r="AD167" s="36">
        <f t="shared" si="150"/>
        <v>134</v>
      </c>
      <c r="AE167" s="36">
        <f t="shared" si="150"/>
        <v>201</v>
      </c>
      <c r="AF167" s="36">
        <f t="shared" si="150"/>
        <v>336</v>
      </c>
      <c r="AG167" s="36">
        <f t="shared" si="150"/>
        <v>560</v>
      </c>
      <c r="AH167" s="36">
        <f t="shared" si="149"/>
        <v>1120</v>
      </c>
      <c r="AJ167" s="4" t="str">
        <f t="shared" si="132"/>
        <v>560,672,1008,1680,2800,</v>
      </c>
      <c r="AK167" s="36">
        <f t="shared" si="133"/>
        <v>700</v>
      </c>
      <c r="AL167" s="36">
        <f t="shared" si="151"/>
        <v>560</v>
      </c>
      <c r="AM167" s="36">
        <f t="shared" si="151"/>
        <v>672</v>
      </c>
      <c r="AN167" s="36">
        <f t="shared" si="151"/>
        <v>1008</v>
      </c>
      <c r="AO167" s="36">
        <f t="shared" si="151"/>
        <v>1680</v>
      </c>
      <c r="AP167" s="36">
        <f t="shared" si="151"/>
        <v>2800</v>
      </c>
      <c r="AR167" s="4" t="str">
        <f t="shared" si="134"/>
        <v>44800,53760,80640,134400,224000,</v>
      </c>
      <c r="AS167" s="36">
        <f t="shared" si="135"/>
        <v>56000</v>
      </c>
      <c r="AT167" s="36">
        <f t="shared" si="152"/>
        <v>44800</v>
      </c>
      <c r="AU167" s="36">
        <f t="shared" si="152"/>
        <v>53760</v>
      </c>
      <c r="AV167" s="36">
        <f t="shared" si="152"/>
        <v>80640</v>
      </c>
      <c r="AW167" s="36">
        <f t="shared" si="152"/>
        <v>134400</v>
      </c>
      <c r="AX167" s="36">
        <f t="shared" si="152"/>
        <v>224000</v>
      </c>
      <c r="AZ167" s="4">
        <f t="shared" si="136"/>
        <v>121</v>
      </c>
      <c r="BA167" s="4">
        <f t="shared" si="137"/>
        <v>0</v>
      </c>
      <c r="BB167" s="4">
        <f t="shared" si="138"/>
        <v>10</v>
      </c>
      <c r="BC167" s="35" t="str">
        <f t="shared" si="139"/>
        <v>121,</v>
      </c>
      <c r="BD167" s="35" t="str">
        <f t="shared" si="116"/>
        <v/>
      </c>
      <c r="BE167" s="35" t="str">
        <f t="shared" si="140"/>
        <v>10,</v>
      </c>
      <c r="BF167" s="36" t="str">
        <f t="shared" si="141"/>
        <v>1,</v>
      </c>
      <c r="BG167" s="36" t="str">
        <f>IF(BA167=0,"",IF(Z167=0,"3,4,5",VLOOKUP(Z167,{1,3;2,4;3,5},2,0))&amp;",")</f>
        <v/>
      </c>
      <c r="BH167" s="36" t="str">
        <f t="shared" si="142"/>
        <v>6,</v>
      </c>
      <c r="BI167" s="34" t="str">
        <f t="shared" si="143"/>
        <v>1,6</v>
      </c>
      <c r="BJ167" s="34" t="str">
        <f t="shared" si="146"/>
        <v>121,10</v>
      </c>
      <c r="BK167" s="34" t="str">
        <f t="shared" si="144"/>
        <v>0,16,24,36,72,145</v>
      </c>
      <c r="BL167" s="4">
        <f t="shared" si="117"/>
        <v>0</v>
      </c>
      <c r="BM167" s="4">
        <f t="shared" si="118"/>
        <v>16</v>
      </c>
      <c r="BN167" s="4">
        <f t="shared" si="119"/>
        <v>24</v>
      </c>
      <c r="BO167" s="4">
        <f t="shared" si="120"/>
        <v>36</v>
      </c>
      <c r="BP167" s="4">
        <f t="shared" si="121"/>
        <v>72</v>
      </c>
      <c r="BQ167" s="4">
        <f t="shared" si="122"/>
        <v>145</v>
      </c>
      <c r="BR167" s="34" t="str">
        <f t="shared" si="123"/>
        <v>2001,2002,2003,2004,2005,2006</v>
      </c>
      <c r="BS167" s="34" t="str">
        <f t="shared" si="145"/>
        <v>23001,23002,23003,23004,23005,23006</v>
      </c>
      <c r="BT167" s="4">
        <f>VLOOKUP(LOOKUP($Y167,$K$48:$K$55,$L$48:$L$55)&amp;BT$1&amp;$W167,装备额外附加!$M:$O,3,0)</f>
        <v>23001</v>
      </c>
      <c r="BU167" s="4">
        <f>VLOOKUP(LOOKUP($Y167,$K$48:$K$55,$L$48:$L$55)&amp;BU$1&amp;$W167,装备额外附加!$M:$O,3,0)</f>
        <v>23002</v>
      </c>
      <c r="BV167" s="4">
        <f>VLOOKUP(LOOKUP($Y167,$K$48:$K$55,$L$48:$L$55)&amp;BV$1&amp;$W167,装备额外附加!$M:$O,3,0)</f>
        <v>23003</v>
      </c>
      <c r="BW167" s="4">
        <f>VLOOKUP(LOOKUP($Y167,$K$48:$K$55,$L$48:$L$55)&amp;BW$1&amp;$W167,装备额外附加!$M:$O,3,0)</f>
        <v>23004</v>
      </c>
      <c r="BX167" s="4">
        <f>VLOOKUP(LOOKUP($Y167,$K$48:$K$55,$L$48:$L$55)&amp;BX$1&amp;$W167,装备额外附加!$M:$O,3,0)</f>
        <v>23005</v>
      </c>
      <c r="BY167" s="4">
        <f>VLOOKUP(LOOKUP($Y167,$K$48:$K$55,$L$48:$L$55)&amp;BY$1&amp;$W167,装备额外附加!$M:$O,3,0)</f>
        <v>23006</v>
      </c>
    </row>
    <row r="168" spans="18:77">
      <c r="R168" s="4" t="s">
        <v>523</v>
      </c>
      <c r="S168" s="4" t="str">
        <f t="shared" si="124"/>
        <v>107025</v>
      </c>
      <c r="T168" s="4" t="s">
        <v>524</v>
      </c>
      <c r="U168" s="36">
        <v>60</v>
      </c>
      <c r="V168" s="36" t="str">
        <f t="shared" si="125"/>
        <v>鞋子</v>
      </c>
      <c r="W168" s="36" t="str">
        <f t="shared" si="126"/>
        <v>护甲</v>
      </c>
      <c r="X168" s="4">
        <f t="shared" si="127"/>
        <v>5</v>
      </c>
      <c r="Y168" s="4">
        <f t="shared" si="128"/>
        <v>62</v>
      </c>
      <c r="Z168" s="4">
        <f t="shared" si="129"/>
        <v>2</v>
      </c>
      <c r="AA168" s="4" t="str">
        <f t="shared" si="130"/>
        <v>112,134,201,336,560,1120</v>
      </c>
      <c r="AB168" s="36">
        <f t="shared" si="131"/>
        <v>140</v>
      </c>
      <c r="AC168" s="36">
        <f t="shared" si="153"/>
        <v>112</v>
      </c>
      <c r="AD168" s="36">
        <f t="shared" si="150"/>
        <v>134</v>
      </c>
      <c r="AE168" s="36">
        <f t="shared" si="150"/>
        <v>201</v>
      </c>
      <c r="AF168" s="36">
        <f t="shared" si="150"/>
        <v>336</v>
      </c>
      <c r="AG168" s="36">
        <f t="shared" si="150"/>
        <v>560</v>
      </c>
      <c r="AH168" s="36">
        <f t="shared" si="149"/>
        <v>1120</v>
      </c>
      <c r="AJ168" s="4" t="str">
        <f t="shared" si="132"/>
        <v>560,672,1008,1680,2800,</v>
      </c>
      <c r="AK168" s="36">
        <f t="shared" si="133"/>
        <v>700</v>
      </c>
      <c r="AL168" s="36">
        <f t="shared" si="151"/>
        <v>560</v>
      </c>
      <c r="AM168" s="36">
        <f t="shared" si="151"/>
        <v>672</v>
      </c>
      <c r="AN168" s="36">
        <f t="shared" si="151"/>
        <v>1008</v>
      </c>
      <c r="AO168" s="36">
        <f t="shared" si="151"/>
        <v>1680</v>
      </c>
      <c r="AP168" s="36">
        <f t="shared" si="151"/>
        <v>2800</v>
      </c>
      <c r="AR168" s="4" t="str">
        <f t="shared" si="134"/>
        <v>44800,53760,80640,134400,224000,</v>
      </c>
      <c r="AS168" s="36">
        <f t="shared" si="135"/>
        <v>56000</v>
      </c>
      <c r="AT168" s="36">
        <f t="shared" si="152"/>
        <v>44800</v>
      </c>
      <c r="AU168" s="36">
        <f t="shared" si="152"/>
        <v>53760</v>
      </c>
      <c r="AV168" s="36">
        <f t="shared" si="152"/>
        <v>80640</v>
      </c>
      <c r="AW168" s="36">
        <f t="shared" si="152"/>
        <v>134400</v>
      </c>
      <c r="AX168" s="36">
        <f t="shared" si="152"/>
        <v>224000</v>
      </c>
      <c r="AZ168" s="4">
        <f t="shared" si="136"/>
        <v>121</v>
      </c>
      <c r="BA168" s="4">
        <f t="shared" si="137"/>
        <v>0</v>
      </c>
      <c r="BB168" s="4">
        <f t="shared" si="138"/>
        <v>10</v>
      </c>
      <c r="BC168" s="35" t="str">
        <f t="shared" si="139"/>
        <v>121,</v>
      </c>
      <c r="BD168" s="35" t="str">
        <f t="shared" si="116"/>
        <v/>
      </c>
      <c r="BE168" s="35" t="str">
        <f t="shared" si="140"/>
        <v>10,</v>
      </c>
      <c r="BF168" s="36" t="str">
        <f t="shared" si="141"/>
        <v>1,</v>
      </c>
      <c r="BG168" s="36" t="str">
        <f>IF(BA168=0,"",IF(Z168=0,"3,4,5",VLOOKUP(Z168,{1,3;2,4;3,5},2,0))&amp;",")</f>
        <v/>
      </c>
      <c r="BH168" s="36" t="str">
        <f t="shared" si="142"/>
        <v>6,</v>
      </c>
      <c r="BI168" s="34" t="str">
        <f t="shared" si="143"/>
        <v>1,6</v>
      </c>
      <c r="BJ168" s="34" t="str">
        <f t="shared" si="146"/>
        <v>121,10</v>
      </c>
      <c r="BK168" s="34" t="str">
        <f t="shared" si="144"/>
        <v>0,16,24,36,72,145</v>
      </c>
      <c r="BL168" s="4">
        <f t="shared" si="117"/>
        <v>0</v>
      </c>
      <c r="BM168" s="4">
        <f t="shared" si="118"/>
        <v>16</v>
      </c>
      <c r="BN168" s="4">
        <f t="shared" si="119"/>
        <v>24</v>
      </c>
      <c r="BO168" s="4">
        <f t="shared" si="120"/>
        <v>36</v>
      </c>
      <c r="BP168" s="4">
        <f t="shared" si="121"/>
        <v>72</v>
      </c>
      <c r="BQ168" s="4">
        <f t="shared" si="122"/>
        <v>145</v>
      </c>
      <c r="BR168" s="34" t="str">
        <f t="shared" si="123"/>
        <v>2001,2002,2003,2004,2005,2006</v>
      </c>
      <c r="BS168" s="34" t="str">
        <f t="shared" si="145"/>
        <v>23001,23002,23003,23004,23005,23006</v>
      </c>
      <c r="BT168" s="4">
        <f>VLOOKUP(LOOKUP($Y168,$K$48:$K$55,$L$48:$L$55)&amp;BT$1&amp;$W168,装备额外附加!$M:$O,3,0)</f>
        <v>23001</v>
      </c>
      <c r="BU168" s="4">
        <f>VLOOKUP(LOOKUP($Y168,$K$48:$K$55,$L$48:$L$55)&amp;BU$1&amp;$W168,装备额外附加!$M:$O,3,0)</f>
        <v>23002</v>
      </c>
      <c r="BV168" s="4">
        <f>VLOOKUP(LOOKUP($Y168,$K$48:$K$55,$L$48:$L$55)&amp;BV$1&amp;$W168,装备额外附加!$M:$O,3,0)</f>
        <v>23003</v>
      </c>
      <c r="BW168" s="4">
        <f>VLOOKUP(LOOKUP($Y168,$K$48:$K$55,$L$48:$L$55)&amp;BW$1&amp;$W168,装备额外附加!$M:$O,3,0)</f>
        <v>23004</v>
      </c>
      <c r="BX168" s="4">
        <f>VLOOKUP(LOOKUP($Y168,$K$48:$K$55,$L$48:$L$55)&amp;BX$1&amp;$W168,装备额外附加!$M:$O,3,0)</f>
        <v>23005</v>
      </c>
      <c r="BY168" s="4">
        <f>VLOOKUP(LOOKUP($Y168,$K$48:$K$55,$L$48:$L$55)&amp;BY$1&amp;$W168,装备额外附加!$M:$O,3,0)</f>
        <v>23006</v>
      </c>
    </row>
    <row r="169" spans="18:77">
      <c r="R169" s="4" t="s">
        <v>525</v>
      </c>
      <c r="S169" s="4" t="str">
        <f t="shared" si="124"/>
        <v>108021</v>
      </c>
      <c r="T169" s="4" t="s">
        <v>526</v>
      </c>
      <c r="U169" s="36">
        <v>70</v>
      </c>
      <c r="V169" s="36" t="str">
        <f t="shared" si="125"/>
        <v>武器</v>
      </c>
      <c r="W169" s="36" t="str">
        <f t="shared" si="126"/>
        <v>武器</v>
      </c>
      <c r="X169" s="4">
        <f t="shared" si="127"/>
        <v>1</v>
      </c>
      <c r="Y169" s="4">
        <f t="shared" si="128"/>
        <v>71</v>
      </c>
      <c r="Z169" s="4">
        <f t="shared" si="129"/>
        <v>2</v>
      </c>
      <c r="AA169" s="4" t="str">
        <f t="shared" si="130"/>
        <v>160,192,288,480,800,1600</v>
      </c>
      <c r="AB169" s="36">
        <f t="shared" si="131"/>
        <v>160</v>
      </c>
      <c r="AC169" s="36">
        <f t="shared" si="153"/>
        <v>160</v>
      </c>
      <c r="AD169" s="36">
        <f t="shared" si="150"/>
        <v>192</v>
      </c>
      <c r="AE169" s="36">
        <f t="shared" si="150"/>
        <v>288</v>
      </c>
      <c r="AF169" s="36">
        <f t="shared" si="150"/>
        <v>480</v>
      </c>
      <c r="AG169" s="36">
        <f t="shared" si="150"/>
        <v>800</v>
      </c>
      <c r="AH169" s="36">
        <f t="shared" si="149"/>
        <v>1600</v>
      </c>
      <c r="AJ169" s="4" t="str">
        <f t="shared" si="132"/>
        <v>800,960,1440,2400,4000,</v>
      </c>
      <c r="AK169" s="36">
        <f t="shared" si="133"/>
        <v>800</v>
      </c>
      <c r="AL169" s="36">
        <f t="shared" si="151"/>
        <v>800</v>
      </c>
      <c r="AM169" s="36">
        <f t="shared" si="151"/>
        <v>960</v>
      </c>
      <c r="AN169" s="36">
        <f t="shared" si="151"/>
        <v>1440</v>
      </c>
      <c r="AO169" s="36">
        <f t="shared" si="151"/>
        <v>2400</v>
      </c>
      <c r="AP169" s="36">
        <f t="shared" si="151"/>
        <v>4000</v>
      </c>
      <c r="AR169" s="4" t="str">
        <f t="shared" si="134"/>
        <v>64000,76800,115200,192000,320000,</v>
      </c>
      <c r="AS169" s="36">
        <f t="shared" si="135"/>
        <v>64000</v>
      </c>
      <c r="AT169" s="36">
        <f t="shared" si="152"/>
        <v>64000</v>
      </c>
      <c r="AU169" s="36">
        <f t="shared" si="152"/>
        <v>76800</v>
      </c>
      <c r="AV169" s="36">
        <f t="shared" si="152"/>
        <v>115200</v>
      </c>
      <c r="AW169" s="36">
        <f t="shared" si="152"/>
        <v>192000</v>
      </c>
      <c r="AX169" s="36">
        <f t="shared" si="152"/>
        <v>320000</v>
      </c>
      <c r="AZ169" s="4">
        <f t="shared" si="136"/>
        <v>0</v>
      </c>
      <c r="BA169" s="4">
        <f t="shared" si="137"/>
        <v>44</v>
      </c>
      <c r="BB169" s="4">
        <f t="shared" si="138"/>
        <v>0</v>
      </c>
      <c r="BC169" s="35" t="str">
        <f t="shared" si="139"/>
        <v/>
      </c>
      <c r="BD169" s="35" t="str">
        <f t="shared" si="116"/>
        <v>96,</v>
      </c>
      <c r="BE169" s="35" t="str">
        <f t="shared" si="140"/>
        <v/>
      </c>
      <c r="BF169" s="36" t="str">
        <f t="shared" si="141"/>
        <v/>
      </c>
      <c r="BG169" s="36" t="str">
        <f>IF(BA169=0,"",IF(Z169=0,"3,4,5",VLOOKUP(Z169,{1,3;2,4;3,5},2,0))&amp;",")</f>
        <v>4,</v>
      </c>
      <c r="BH169" s="36" t="str">
        <f t="shared" si="142"/>
        <v/>
      </c>
      <c r="BI169" s="34" t="str">
        <f t="shared" si="143"/>
        <v>4</v>
      </c>
      <c r="BJ169" s="34" t="str">
        <f t="shared" si="146"/>
        <v>96</v>
      </c>
      <c r="BK169" s="34" t="str">
        <f t="shared" si="144"/>
        <v>0,33,49,75,150,300</v>
      </c>
      <c r="BL169" s="4">
        <f t="shared" si="117"/>
        <v>0</v>
      </c>
      <c r="BM169" s="4">
        <f t="shared" si="118"/>
        <v>33</v>
      </c>
      <c r="BN169" s="4">
        <f t="shared" si="119"/>
        <v>49</v>
      </c>
      <c r="BO169" s="4">
        <f t="shared" si="120"/>
        <v>75</v>
      </c>
      <c r="BP169" s="4">
        <f t="shared" si="121"/>
        <v>150</v>
      </c>
      <c r="BQ169" s="4">
        <f t="shared" si="122"/>
        <v>300</v>
      </c>
      <c r="BR169" s="34" t="str">
        <f t="shared" si="123"/>
        <v>1001,1002,1003,1004,1005,1006</v>
      </c>
      <c r="BS169" s="34" t="str">
        <f t="shared" si="145"/>
        <v>13001,13002,13003,13004,13005,13006</v>
      </c>
      <c r="BT169" s="4">
        <f>VLOOKUP(LOOKUP($Y169,$K$48:$K$55,$L$48:$L$55)&amp;BT$1&amp;$W169,装备额外附加!$M:$O,3,0)</f>
        <v>13001</v>
      </c>
      <c r="BU169" s="4">
        <f>VLOOKUP(LOOKUP($Y169,$K$48:$K$55,$L$48:$L$55)&amp;BU$1&amp;$W169,装备额外附加!$M:$O,3,0)</f>
        <v>13002</v>
      </c>
      <c r="BV169" s="4">
        <f>VLOOKUP(LOOKUP($Y169,$K$48:$K$55,$L$48:$L$55)&amp;BV$1&amp;$W169,装备额外附加!$M:$O,3,0)</f>
        <v>13003</v>
      </c>
      <c r="BW169" s="4">
        <f>VLOOKUP(LOOKUP($Y169,$K$48:$K$55,$L$48:$L$55)&amp;BW$1&amp;$W169,装备额外附加!$M:$O,3,0)</f>
        <v>13004</v>
      </c>
      <c r="BX169" s="4">
        <f>VLOOKUP(LOOKUP($Y169,$K$48:$K$55,$L$48:$L$55)&amp;BX$1&amp;$W169,装备额外附加!$M:$O,3,0)</f>
        <v>13005</v>
      </c>
      <c r="BY169" s="4">
        <f>VLOOKUP(LOOKUP($Y169,$K$48:$K$55,$L$48:$L$55)&amp;BY$1&amp;$W169,装备额外附加!$M:$O,3,0)</f>
        <v>13006</v>
      </c>
    </row>
    <row r="170" spans="18:77">
      <c r="R170" s="4" t="s">
        <v>527</v>
      </c>
      <c r="S170" s="4" t="str">
        <f t="shared" si="124"/>
        <v>108022</v>
      </c>
      <c r="T170" s="4" t="s">
        <v>528</v>
      </c>
      <c r="U170" s="36">
        <v>70</v>
      </c>
      <c r="V170" s="36" t="str">
        <f t="shared" si="125"/>
        <v>头盔</v>
      </c>
      <c r="W170" s="36" t="str">
        <f t="shared" si="126"/>
        <v>护甲</v>
      </c>
      <c r="X170" s="4">
        <f t="shared" si="127"/>
        <v>2</v>
      </c>
      <c r="Y170" s="4">
        <f t="shared" si="128"/>
        <v>77</v>
      </c>
      <c r="Z170" s="4">
        <f t="shared" si="129"/>
        <v>2</v>
      </c>
      <c r="AA170" s="4" t="str">
        <f t="shared" si="130"/>
        <v>144,172,259,432,720,1440</v>
      </c>
      <c r="AB170" s="36">
        <f t="shared" si="131"/>
        <v>160</v>
      </c>
      <c r="AC170" s="36">
        <f t="shared" si="153"/>
        <v>144</v>
      </c>
      <c r="AD170" s="36">
        <f t="shared" si="150"/>
        <v>172</v>
      </c>
      <c r="AE170" s="36">
        <f t="shared" si="150"/>
        <v>259</v>
      </c>
      <c r="AF170" s="36">
        <f t="shared" si="150"/>
        <v>432</v>
      </c>
      <c r="AG170" s="36">
        <f t="shared" si="150"/>
        <v>720</v>
      </c>
      <c r="AH170" s="36">
        <f t="shared" si="149"/>
        <v>1440</v>
      </c>
      <c r="AJ170" s="4" t="str">
        <f t="shared" si="132"/>
        <v>720,864,1296,2160,3600,</v>
      </c>
      <c r="AK170" s="36">
        <f t="shared" si="133"/>
        <v>800</v>
      </c>
      <c r="AL170" s="36">
        <f t="shared" si="151"/>
        <v>720</v>
      </c>
      <c r="AM170" s="36">
        <f t="shared" si="151"/>
        <v>864</v>
      </c>
      <c r="AN170" s="36">
        <f t="shared" si="151"/>
        <v>1296</v>
      </c>
      <c r="AO170" s="36">
        <f t="shared" si="151"/>
        <v>2160</v>
      </c>
      <c r="AP170" s="36">
        <f t="shared" si="151"/>
        <v>3600</v>
      </c>
      <c r="AR170" s="4" t="str">
        <f t="shared" si="134"/>
        <v>57600,69120,103680,172800,288000,</v>
      </c>
      <c r="AS170" s="36">
        <f t="shared" si="135"/>
        <v>64000</v>
      </c>
      <c r="AT170" s="36">
        <f t="shared" si="152"/>
        <v>57600</v>
      </c>
      <c r="AU170" s="36">
        <f t="shared" si="152"/>
        <v>69120</v>
      </c>
      <c r="AV170" s="36">
        <f t="shared" si="152"/>
        <v>103680</v>
      </c>
      <c r="AW170" s="36">
        <f t="shared" si="152"/>
        <v>172800</v>
      </c>
      <c r="AX170" s="36">
        <f t="shared" si="152"/>
        <v>288000</v>
      </c>
      <c r="AZ170" s="4">
        <f t="shared" si="136"/>
        <v>0</v>
      </c>
      <c r="BA170" s="4">
        <f t="shared" si="137"/>
        <v>22</v>
      </c>
      <c r="BB170" s="4">
        <f t="shared" si="138"/>
        <v>18</v>
      </c>
      <c r="BC170" s="35" t="str">
        <f t="shared" si="139"/>
        <v/>
      </c>
      <c r="BD170" s="35" t="str">
        <f t="shared" si="116"/>
        <v>48,</v>
      </c>
      <c r="BE170" s="35" t="str">
        <f t="shared" si="140"/>
        <v>18,</v>
      </c>
      <c r="BF170" s="36" t="str">
        <f t="shared" si="141"/>
        <v/>
      </c>
      <c r="BG170" s="36" t="str">
        <f>IF(BA170=0,"",IF(Z170=0,"3,4,5",VLOOKUP(Z170,{1,3;2,4;3,5},2,0))&amp;",")</f>
        <v>4,</v>
      </c>
      <c r="BH170" s="36" t="str">
        <f t="shared" si="142"/>
        <v>6,</v>
      </c>
      <c r="BI170" s="34" t="str">
        <f t="shared" si="143"/>
        <v>4,6</v>
      </c>
      <c r="BJ170" s="34" t="str">
        <f t="shared" si="146"/>
        <v>48,18</v>
      </c>
      <c r="BK170" s="34" t="str">
        <f t="shared" si="144"/>
        <v>0,22,33,50,100,200</v>
      </c>
      <c r="BL170" s="4">
        <f t="shared" si="117"/>
        <v>0</v>
      </c>
      <c r="BM170" s="4">
        <f t="shared" si="118"/>
        <v>22</v>
      </c>
      <c r="BN170" s="4">
        <f t="shared" si="119"/>
        <v>33</v>
      </c>
      <c r="BO170" s="4">
        <f t="shared" si="120"/>
        <v>50</v>
      </c>
      <c r="BP170" s="4">
        <f t="shared" si="121"/>
        <v>100</v>
      </c>
      <c r="BQ170" s="4">
        <f t="shared" si="122"/>
        <v>200</v>
      </c>
      <c r="BR170" s="34" t="str">
        <f t="shared" si="123"/>
        <v>2001,2002,2003,2004,2005,2006</v>
      </c>
      <c r="BS170" s="34" t="str">
        <f t="shared" si="145"/>
        <v>23001,23002,23003,23004,23005,23006</v>
      </c>
      <c r="BT170" s="4">
        <f>VLOOKUP(LOOKUP($Y170,$K$48:$K$55,$L$48:$L$55)&amp;BT$1&amp;$W170,装备额外附加!$M:$O,3,0)</f>
        <v>23001</v>
      </c>
      <c r="BU170" s="4">
        <f>VLOOKUP(LOOKUP($Y170,$K$48:$K$55,$L$48:$L$55)&amp;BU$1&amp;$W170,装备额外附加!$M:$O,3,0)</f>
        <v>23002</v>
      </c>
      <c r="BV170" s="4">
        <f>VLOOKUP(LOOKUP($Y170,$K$48:$K$55,$L$48:$L$55)&amp;BV$1&amp;$W170,装备额外附加!$M:$O,3,0)</f>
        <v>23003</v>
      </c>
      <c r="BW170" s="4">
        <f>VLOOKUP(LOOKUP($Y170,$K$48:$K$55,$L$48:$L$55)&amp;BW$1&amp;$W170,装备额外附加!$M:$O,3,0)</f>
        <v>23004</v>
      </c>
      <c r="BX170" s="4">
        <f>VLOOKUP(LOOKUP($Y170,$K$48:$K$55,$L$48:$L$55)&amp;BX$1&amp;$W170,装备额外附加!$M:$O,3,0)</f>
        <v>23005</v>
      </c>
      <c r="BY170" s="4">
        <f>VLOOKUP(LOOKUP($Y170,$K$48:$K$55,$L$48:$L$55)&amp;BY$1&amp;$W170,装备额外附加!$M:$O,3,0)</f>
        <v>23006</v>
      </c>
    </row>
    <row r="171" spans="18:77">
      <c r="R171" s="4" t="s">
        <v>529</v>
      </c>
      <c r="S171" s="4" t="str">
        <f t="shared" si="124"/>
        <v>108023</v>
      </c>
      <c r="T171" s="4" t="s">
        <v>530</v>
      </c>
      <c r="U171" s="36">
        <v>70</v>
      </c>
      <c r="V171" s="36" t="str">
        <f t="shared" si="125"/>
        <v>衣服</v>
      </c>
      <c r="W171" s="36" t="str">
        <f t="shared" si="126"/>
        <v>护甲</v>
      </c>
      <c r="X171" s="4">
        <f t="shared" si="127"/>
        <v>3</v>
      </c>
      <c r="Y171" s="4">
        <f t="shared" si="128"/>
        <v>75</v>
      </c>
      <c r="Z171" s="4">
        <f t="shared" si="129"/>
        <v>2</v>
      </c>
      <c r="AA171" s="4" t="str">
        <f t="shared" si="130"/>
        <v>144,172,259,432,720,1440</v>
      </c>
      <c r="AB171" s="36">
        <f t="shared" si="131"/>
        <v>160</v>
      </c>
      <c r="AC171" s="36">
        <f t="shared" si="153"/>
        <v>144</v>
      </c>
      <c r="AD171" s="36">
        <f t="shared" si="150"/>
        <v>172</v>
      </c>
      <c r="AE171" s="36">
        <f t="shared" si="150"/>
        <v>259</v>
      </c>
      <c r="AF171" s="36">
        <f t="shared" si="150"/>
        <v>432</v>
      </c>
      <c r="AG171" s="36">
        <f t="shared" si="150"/>
        <v>720</v>
      </c>
      <c r="AH171" s="36">
        <f t="shared" si="149"/>
        <v>1440</v>
      </c>
      <c r="AJ171" s="4" t="str">
        <f t="shared" si="132"/>
        <v>720,864,1296,2160,3600,</v>
      </c>
      <c r="AK171" s="36">
        <f t="shared" si="133"/>
        <v>800</v>
      </c>
      <c r="AL171" s="36">
        <f t="shared" si="151"/>
        <v>720</v>
      </c>
      <c r="AM171" s="36">
        <f t="shared" si="151"/>
        <v>864</v>
      </c>
      <c r="AN171" s="36">
        <f t="shared" si="151"/>
        <v>1296</v>
      </c>
      <c r="AO171" s="36">
        <f t="shared" si="151"/>
        <v>2160</v>
      </c>
      <c r="AP171" s="36">
        <f t="shared" si="151"/>
        <v>3600</v>
      </c>
      <c r="AR171" s="4" t="str">
        <f t="shared" si="134"/>
        <v>57600,69120,103680,172800,288000,</v>
      </c>
      <c r="AS171" s="36">
        <f t="shared" si="135"/>
        <v>64000</v>
      </c>
      <c r="AT171" s="36">
        <f t="shared" si="152"/>
        <v>57600</v>
      </c>
      <c r="AU171" s="36">
        <f t="shared" si="152"/>
        <v>69120</v>
      </c>
      <c r="AV171" s="36">
        <f t="shared" si="152"/>
        <v>103680</v>
      </c>
      <c r="AW171" s="36">
        <f t="shared" si="152"/>
        <v>172800</v>
      </c>
      <c r="AX171" s="36">
        <f t="shared" si="152"/>
        <v>288000</v>
      </c>
      <c r="AZ171" s="4">
        <f t="shared" si="136"/>
        <v>334</v>
      </c>
      <c r="BA171" s="4">
        <f t="shared" si="137"/>
        <v>0</v>
      </c>
      <c r="BB171" s="4">
        <f t="shared" si="138"/>
        <v>18</v>
      </c>
      <c r="BC171" s="35" t="str">
        <f t="shared" si="139"/>
        <v>334,</v>
      </c>
      <c r="BD171" s="35" t="str">
        <f t="shared" si="116"/>
        <v/>
      </c>
      <c r="BE171" s="35" t="str">
        <f t="shared" si="140"/>
        <v>18,</v>
      </c>
      <c r="BF171" s="36" t="str">
        <f t="shared" si="141"/>
        <v>1,</v>
      </c>
      <c r="BG171" s="36" t="str">
        <f>IF(BA171=0,"",IF(Z171=0,"3,4,5",VLOOKUP(Z171,{1,3;2,4;3,5},2,0))&amp;",")</f>
        <v/>
      </c>
      <c r="BH171" s="36" t="str">
        <f t="shared" si="142"/>
        <v>6,</v>
      </c>
      <c r="BI171" s="34" t="str">
        <f t="shared" si="143"/>
        <v>1,6</v>
      </c>
      <c r="BJ171" s="34" t="str">
        <f t="shared" si="146"/>
        <v>334,18</v>
      </c>
      <c r="BK171" s="34" t="str">
        <f t="shared" si="144"/>
        <v>0,22,33,50,100,200</v>
      </c>
      <c r="BL171" s="4">
        <f t="shared" si="117"/>
        <v>0</v>
      </c>
      <c r="BM171" s="4">
        <f t="shared" si="118"/>
        <v>22</v>
      </c>
      <c r="BN171" s="4">
        <f t="shared" si="119"/>
        <v>33</v>
      </c>
      <c r="BO171" s="4">
        <f t="shared" si="120"/>
        <v>50</v>
      </c>
      <c r="BP171" s="4">
        <f t="shared" si="121"/>
        <v>100</v>
      </c>
      <c r="BQ171" s="4">
        <f t="shared" si="122"/>
        <v>200</v>
      </c>
      <c r="BR171" s="34" t="str">
        <f t="shared" si="123"/>
        <v>2001,2002,2003,2004,2005,2006</v>
      </c>
      <c r="BS171" s="34" t="str">
        <f t="shared" si="145"/>
        <v>23001,23002,23003,23004,23005,23006</v>
      </c>
      <c r="BT171" s="4">
        <f>VLOOKUP(LOOKUP($Y171,$K$48:$K$55,$L$48:$L$55)&amp;BT$1&amp;$W171,装备额外附加!$M:$O,3,0)</f>
        <v>23001</v>
      </c>
      <c r="BU171" s="4">
        <f>VLOOKUP(LOOKUP($Y171,$K$48:$K$55,$L$48:$L$55)&amp;BU$1&amp;$W171,装备额外附加!$M:$O,3,0)</f>
        <v>23002</v>
      </c>
      <c r="BV171" s="4">
        <f>VLOOKUP(LOOKUP($Y171,$K$48:$K$55,$L$48:$L$55)&amp;BV$1&amp;$W171,装备额外附加!$M:$O,3,0)</f>
        <v>23003</v>
      </c>
      <c r="BW171" s="4">
        <f>VLOOKUP(LOOKUP($Y171,$K$48:$K$55,$L$48:$L$55)&amp;BW$1&amp;$W171,装备额外附加!$M:$O,3,0)</f>
        <v>23004</v>
      </c>
      <c r="BX171" s="4">
        <f>VLOOKUP(LOOKUP($Y171,$K$48:$K$55,$L$48:$L$55)&amp;BX$1&amp;$W171,装备额外附加!$M:$O,3,0)</f>
        <v>23005</v>
      </c>
      <c r="BY171" s="4">
        <f>VLOOKUP(LOOKUP($Y171,$K$48:$K$55,$L$48:$L$55)&amp;BY$1&amp;$W171,装备额外附加!$M:$O,3,0)</f>
        <v>23006</v>
      </c>
    </row>
    <row r="172" spans="18:77">
      <c r="R172" s="4" t="s">
        <v>531</v>
      </c>
      <c r="S172" s="4" t="str">
        <f t="shared" si="124"/>
        <v>108024</v>
      </c>
      <c r="T172" s="4" t="s">
        <v>532</v>
      </c>
      <c r="U172" s="36">
        <v>70</v>
      </c>
      <c r="V172" s="36" t="str">
        <f t="shared" si="125"/>
        <v>腰带</v>
      </c>
      <c r="W172" s="36" t="str">
        <f t="shared" si="126"/>
        <v>护甲</v>
      </c>
      <c r="X172" s="4">
        <f t="shared" si="127"/>
        <v>4</v>
      </c>
      <c r="Y172" s="4">
        <f t="shared" si="128"/>
        <v>78</v>
      </c>
      <c r="Z172" s="4">
        <f t="shared" si="129"/>
        <v>2</v>
      </c>
      <c r="AA172" s="4" t="str">
        <f t="shared" si="130"/>
        <v>128,153,230,384,640,1280</v>
      </c>
      <c r="AB172" s="36">
        <f t="shared" si="131"/>
        <v>160</v>
      </c>
      <c r="AC172" s="36">
        <f t="shared" si="153"/>
        <v>128</v>
      </c>
      <c r="AD172" s="36">
        <f t="shared" si="150"/>
        <v>153</v>
      </c>
      <c r="AE172" s="36">
        <f t="shared" si="150"/>
        <v>230</v>
      </c>
      <c r="AF172" s="36">
        <f t="shared" si="150"/>
        <v>384</v>
      </c>
      <c r="AG172" s="36">
        <f t="shared" si="150"/>
        <v>640</v>
      </c>
      <c r="AH172" s="36">
        <f t="shared" si="149"/>
        <v>1280</v>
      </c>
      <c r="AJ172" s="4" t="str">
        <f t="shared" si="132"/>
        <v>640,768,1152,1920,3200,</v>
      </c>
      <c r="AK172" s="36">
        <f t="shared" si="133"/>
        <v>800</v>
      </c>
      <c r="AL172" s="36">
        <f t="shared" si="151"/>
        <v>640</v>
      </c>
      <c r="AM172" s="36">
        <f t="shared" si="151"/>
        <v>768</v>
      </c>
      <c r="AN172" s="36">
        <f t="shared" si="151"/>
        <v>1152</v>
      </c>
      <c r="AO172" s="36">
        <f t="shared" si="151"/>
        <v>1920</v>
      </c>
      <c r="AP172" s="36">
        <f t="shared" si="151"/>
        <v>3200</v>
      </c>
      <c r="AR172" s="4" t="str">
        <f t="shared" si="134"/>
        <v>51200,61440,92160,153600,256000,</v>
      </c>
      <c r="AS172" s="36">
        <f t="shared" si="135"/>
        <v>64000</v>
      </c>
      <c r="AT172" s="36">
        <f t="shared" si="152"/>
        <v>51200</v>
      </c>
      <c r="AU172" s="36">
        <f t="shared" si="152"/>
        <v>61440</v>
      </c>
      <c r="AV172" s="36">
        <f t="shared" si="152"/>
        <v>92160</v>
      </c>
      <c r="AW172" s="36">
        <f t="shared" si="152"/>
        <v>153600</v>
      </c>
      <c r="AX172" s="36">
        <f t="shared" si="152"/>
        <v>256000</v>
      </c>
      <c r="AZ172" s="4">
        <f t="shared" si="136"/>
        <v>167</v>
      </c>
      <c r="BA172" s="4">
        <f t="shared" si="137"/>
        <v>0</v>
      </c>
      <c r="BB172" s="4">
        <f t="shared" si="138"/>
        <v>14</v>
      </c>
      <c r="BC172" s="35" t="str">
        <f t="shared" si="139"/>
        <v>167,</v>
      </c>
      <c r="BD172" s="35" t="str">
        <f t="shared" si="116"/>
        <v/>
      </c>
      <c r="BE172" s="35" t="str">
        <f t="shared" si="140"/>
        <v>14,</v>
      </c>
      <c r="BF172" s="36" t="str">
        <f t="shared" si="141"/>
        <v>1,</v>
      </c>
      <c r="BG172" s="36" t="str">
        <f>IF(BA172=0,"",IF(Z172=0,"3,4,5",VLOOKUP(Z172,{1,3;2,4;3,5},2,0))&amp;",")</f>
        <v/>
      </c>
      <c r="BH172" s="36" t="str">
        <f t="shared" si="142"/>
        <v>6,</v>
      </c>
      <c r="BI172" s="34" t="str">
        <f t="shared" si="143"/>
        <v>1,6</v>
      </c>
      <c r="BJ172" s="34" t="str">
        <f t="shared" si="146"/>
        <v>167,14</v>
      </c>
      <c r="BK172" s="34" t="str">
        <f t="shared" si="144"/>
        <v>0,22,33,50,100,200</v>
      </c>
      <c r="BL172" s="4">
        <f t="shared" si="117"/>
        <v>0</v>
      </c>
      <c r="BM172" s="4">
        <f t="shared" si="118"/>
        <v>22</v>
      </c>
      <c r="BN172" s="4">
        <f t="shared" si="119"/>
        <v>33</v>
      </c>
      <c r="BO172" s="4">
        <f t="shared" si="120"/>
        <v>50</v>
      </c>
      <c r="BP172" s="4">
        <f t="shared" si="121"/>
        <v>100</v>
      </c>
      <c r="BQ172" s="4">
        <f t="shared" si="122"/>
        <v>200</v>
      </c>
      <c r="BR172" s="34" t="str">
        <f t="shared" si="123"/>
        <v>2001,2002,2003,2004,2005,2006</v>
      </c>
      <c r="BS172" s="34" t="str">
        <f t="shared" si="145"/>
        <v>23001,23002,23003,23004,23005,23006</v>
      </c>
      <c r="BT172" s="4">
        <f>VLOOKUP(LOOKUP($Y172,$K$48:$K$55,$L$48:$L$55)&amp;BT$1&amp;$W172,装备额外附加!$M:$O,3,0)</f>
        <v>23001</v>
      </c>
      <c r="BU172" s="4">
        <f>VLOOKUP(LOOKUP($Y172,$K$48:$K$55,$L$48:$L$55)&amp;BU$1&amp;$W172,装备额外附加!$M:$O,3,0)</f>
        <v>23002</v>
      </c>
      <c r="BV172" s="4">
        <f>VLOOKUP(LOOKUP($Y172,$K$48:$K$55,$L$48:$L$55)&amp;BV$1&amp;$W172,装备额外附加!$M:$O,3,0)</f>
        <v>23003</v>
      </c>
      <c r="BW172" s="4">
        <f>VLOOKUP(LOOKUP($Y172,$K$48:$K$55,$L$48:$L$55)&amp;BW$1&amp;$W172,装备额外附加!$M:$O,3,0)</f>
        <v>23004</v>
      </c>
      <c r="BX172" s="4">
        <f>VLOOKUP(LOOKUP($Y172,$K$48:$K$55,$L$48:$L$55)&amp;BX$1&amp;$W172,装备额外附加!$M:$O,3,0)</f>
        <v>23005</v>
      </c>
      <c r="BY172" s="4">
        <f>VLOOKUP(LOOKUP($Y172,$K$48:$K$55,$L$48:$L$55)&amp;BY$1&amp;$W172,装备额外附加!$M:$O,3,0)</f>
        <v>23006</v>
      </c>
    </row>
    <row r="173" spans="18:77">
      <c r="R173" s="4" t="s">
        <v>533</v>
      </c>
      <c r="S173" s="4" t="str">
        <f t="shared" si="124"/>
        <v>108025</v>
      </c>
      <c r="T173" s="4" t="s">
        <v>534</v>
      </c>
      <c r="U173" s="36">
        <v>70</v>
      </c>
      <c r="V173" s="36" t="str">
        <f t="shared" si="125"/>
        <v>鞋子</v>
      </c>
      <c r="W173" s="36" t="str">
        <f t="shared" si="126"/>
        <v>护甲</v>
      </c>
      <c r="X173" s="4">
        <f t="shared" si="127"/>
        <v>5</v>
      </c>
      <c r="Y173" s="4">
        <f t="shared" si="128"/>
        <v>72</v>
      </c>
      <c r="Z173" s="4">
        <f t="shared" si="129"/>
        <v>2</v>
      </c>
      <c r="AA173" s="4" t="str">
        <f t="shared" si="130"/>
        <v>128,153,230,384,640,1280</v>
      </c>
      <c r="AB173" s="36">
        <f t="shared" si="131"/>
        <v>160</v>
      </c>
      <c r="AC173" s="36">
        <f t="shared" si="153"/>
        <v>128</v>
      </c>
      <c r="AD173" s="36">
        <f t="shared" si="150"/>
        <v>153</v>
      </c>
      <c r="AE173" s="36">
        <f t="shared" si="150"/>
        <v>230</v>
      </c>
      <c r="AF173" s="36">
        <f t="shared" si="150"/>
        <v>384</v>
      </c>
      <c r="AG173" s="36">
        <f t="shared" si="150"/>
        <v>640</v>
      </c>
      <c r="AH173" s="36">
        <f t="shared" si="149"/>
        <v>1280</v>
      </c>
      <c r="AJ173" s="4" t="str">
        <f t="shared" si="132"/>
        <v>640,768,1152,1920,3200,</v>
      </c>
      <c r="AK173" s="36">
        <f t="shared" si="133"/>
        <v>800</v>
      </c>
      <c r="AL173" s="36">
        <f t="shared" si="151"/>
        <v>640</v>
      </c>
      <c r="AM173" s="36">
        <f t="shared" si="151"/>
        <v>768</v>
      </c>
      <c r="AN173" s="36">
        <f t="shared" si="151"/>
        <v>1152</v>
      </c>
      <c r="AO173" s="36">
        <f t="shared" si="151"/>
        <v>1920</v>
      </c>
      <c r="AP173" s="36">
        <f t="shared" si="151"/>
        <v>3200</v>
      </c>
      <c r="AR173" s="4" t="str">
        <f t="shared" si="134"/>
        <v>51200,61440,92160,153600,256000,</v>
      </c>
      <c r="AS173" s="36">
        <f t="shared" si="135"/>
        <v>64000</v>
      </c>
      <c r="AT173" s="36">
        <f t="shared" si="152"/>
        <v>51200</v>
      </c>
      <c r="AU173" s="36">
        <f t="shared" si="152"/>
        <v>61440</v>
      </c>
      <c r="AV173" s="36">
        <f t="shared" si="152"/>
        <v>92160</v>
      </c>
      <c r="AW173" s="36">
        <f t="shared" si="152"/>
        <v>153600</v>
      </c>
      <c r="AX173" s="36">
        <f t="shared" si="152"/>
        <v>256000</v>
      </c>
      <c r="AZ173" s="4">
        <f t="shared" si="136"/>
        <v>167</v>
      </c>
      <c r="BA173" s="4">
        <f t="shared" si="137"/>
        <v>0</v>
      </c>
      <c r="BB173" s="4">
        <f t="shared" si="138"/>
        <v>14</v>
      </c>
      <c r="BC173" s="35" t="str">
        <f t="shared" si="139"/>
        <v>167,</v>
      </c>
      <c r="BD173" s="35" t="str">
        <f t="shared" si="116"/>
        <v/>
      </c>
      <c r="BE173" s="35" t="str">
        <f t="shared" si="140"/>
        <v>14,</v>
      </c>
      <c r="BF173" s="36" t="str">
        <f t="shared" si="141"/>
        <v>1,</v>
      </c>
      <c r="BG173" s="36" t="str">
        <f>IF(BA173=0,"",IF(Z173=0,"3,4,5",VLOOKUP(Z173,{1,3;2,4;3,5},2,0))&amp;",")</f>
        <v/>
      </c>
      <c r="BH173" s="36" t="str">
        <f t="shared" si="142"/>
        <v>6,</v>
      </c>
      <c r="BI173" s="34" t="str">
        <f t="shared" si="143"/>
        <v>1,6</v>
      </c>
      <c r="BJ173" s="34" t="str">
        <f t="shared" si="146"/>
        <v>167,14</v>
      </c>
      <c r="BK173" s="34" t="str">
        <f t="shared" si="144"/>
        <v>0,22,33,50,100,200</v>
      </c>
      <c r="BL173" s="4">
        <f t="shared" si="117"/>
        <v>0</v>
      </c>
      <c r="BM173" s="4">
        <f t="shared" si="118"/>
        <v>22</v>
      </c>
      <c r="BN173" s="4">
        <f t="shared" si="119"/>
        <v>33</v>
      </c>
      <c r="BO173" s="4">
        <f t="shared" si="120"/>
        <v>50</v>
      </c>
      <c r="BP173" s="4">
        <f t="shared" si="121"/>
        <v>100</v>
      </c>
      <c r="BQ173" s="4">
        <f t="shared" si="122"/>
        <v>200</v>
      </c>
      <c r="BR173" s="34" t="str">
        <f t="shared" si="123"/>
        <v>2001,2002,2003,2004,2005,2006</v>
      </c>
      <c r="BS173" s="34" t="str">
        <f t="shared" si="145"/>
        <v>23001,23002,23003,23004,23005,23006</v>
      </c>
      <c r="BT173" s="4">
        <f>VLOOKUP(LOOKUP($Y173,$K$48:$K$55,$L$48:$L$55)&amp;BT$1&amp;$W173,装备额外附加!$M:$O,3,0)</f>
        <v>23001</v>
      </c>
      <c r="BU173" s="4">
        <f>VLOOKUP(LOOKUP($Y173,$K$48:$K$55,$L$48:$L$55)&amp;BU$1&amp;$W173,装备额外附加!$M:$O,3,0)</f>
        <v>23002</v>
      </c>
      <c r="BV173" s="4">
        <f>VLOOKUP(LOOKUP($Y173,$K$48:$K$55,$L$48:$L$55)&amp;BV$1&amp;$W173,装备额外附加!$M:$O,3,0)</f>
        <v>23003</v>
      </c>
      <c r="BW173" s="4">
        <f>VLOOKUP(LOOKUP($Y173,$K$48:$K$55,$L$48:$L$55)&amp;BW$1&amp;$W173,装备额外附加!$M:$O,3,0)</f>
        <v>23004</v>
      </c>
      <c r="BX173" s="4">
        <f>VLOOKUP(LOOKUP($Y173,$K$48:$K$55,$L$48:$L$55)&amp;BX$1&amp;$W173,装备额外附加!$M:$O,3,0)</f>
        <v>23005</v>
      </c>
      <c r="BY173" s="4">
        <f>VLOOKUP(LOOKUP($Y173,$K$48:$K$55,$L$48:$L$55)&amp;BY$1&amp;$W173,装备额外附加!$M:$O,3,0)</f>
        <v>23006</v>
      </c>
    </row>
    <row r="174" spans="18:77">
      <c r="R174" s="4" t="s">
        <v>535</v>
      </c>
      <c r="S174" s="4" t="str">
        <f t="shared" si="124"/>
        <v>103031</v>
      </c>
      <c r="T174" s="4" t="s">
        <v>536</v>
      </c>
      <c r="U174" s="36">
        <v>20</v>
      </c>
      <c r="V174" s="36" t="str">
        <f t="shared" si="125"/>
        <v>武器</v>
      </c>
      <c r="W174" s="36" t="str">
        <f t="shared" si="126"/>
        <v>武器</v>
      </c>
      <c r="X174" s="4">
        <f t="shared" si="127"/>
        <v>1</v>
      </c>
      <c r="Y174" s="4">
        <f t="shared" si="128"/>
        <v>21</v>
      </c>
      <c r="Z174" s="4">
        <f t="shared" si="129"/>
        <v>3</v>
      </c>
      <c r="AA174" s="4" t="str">
        <f t="shared" si="130"/>
        <v>60,72,108,180,300,600</v>
      </c>
      <c r="AB174" s="36">
        <f t="shared" si="131"/>
        <v>60</v>
      </c>
      <c r="AC174" s="36">
        <f t="shared" si="153"/>
        <v>60</v>
      </c>
      <c r="AD174" s="36">
        <f t="shared" si="150"/>
        <v>72</v>
      </c>
      <c r="AE174" s="36">
        <f t="shared" si="150"/>
        <v>108</v>
      </c>
      <c r="AF174" s="36">
        <f t="shared" si="150"/>
        <v>180</v>
      </c>
      <c r="AG174" s="36">
        <f t="shared" si="150"/>
        <v>300</v>
      </c>
      <c r="AH174" s="36">
        <f t="shared" si="149"/>
        <v>600</v>
      </c>
      <c r="AJ174" s="4" t="str">
        <f t="shared" si="132"/>
        <v>300,360,540,900,1500,</v>
      </c>
      <c r="AK174" s="36">
        <f t="shared" si="133"/>
        <v>300</v>
      </c>
      <c r="AL174" s="36">
        <f t="shared" si="151"/>
        <v>300</v>
      </c>
      <c r="AM174" s="36">
        <f t="shared" si="151"/>
        <v>360</v>
      </c>
      <c r="AN174" s="36">
        <f t="shared" si="151"/>
        <v>540</v>
      </c>
      <c r="AO174" s="36">
        <f t="shared" si="151"/>
        <v>900</v>
      </c>
      <c r="AP174" s="36">
        <f t="shared" si="151"/>
        <v>1500</v>
      </c>
      <c r="AR174" s="4" t="str">
        <f t="shared" si="134"/>
        <v>24000,28800,43200,72000,120000,</v>
      </c>
      <c r="AS174" s="36">
        <f t="shared" si="135"/>
        <v>24000</v>
      </c>
      <c r="AT174" s="36">
        <f t="shared" si="152"/>
        <v>24000</v>
      </c>
      <c r="AU174" s="36">
        <f t="shared" si="152"/>
        <v>28800</v>
      </c>
      <c r="AV174" s="36">
        <f t="shared" si="152"/>
        <v>43200</v>
      </c>
      <c r="AW174" s="36">
        <f t="shared" si="152"/>
        <v>72000</v>
      </c>
      <c r="AX174" s="36">
        <f t="shared" si="152"/>
        <v>120000</v>
      </c>
      <c r="AZ174" s="4">
        <f t="shared" si="136"/>
        <v>0</v>
      </c>
      <c r="BA174" s="4">
        <f t="shared" si="137"/>
        <v>9</v>
      </c>
      <c r="BB174" s="4">
        <f t="shared" si="138"/>
        <v>0</v>
      </c>
      <c r="BC174" s="35" t="str">
        <f t="shared" si="139"/>
        <v/>
      </c>
      <c r="BD174" s="35" t="str">
        <f t="shared" si="116"/>
        <v>19,</v>
      </c>
      <c r="BE174" s="35" t="str">
        <f t="shared" si="140"/>
        <v/>
      </c>
      <c r="BF174" s="36" t="str">
        <f t="shared" si="141"/>
        <v/>
      </c>
      <c r="BG174" s="36" t="str">
        <f>IF(BA174=0,"",IF(Z174=0,"3,4,5",VLOOKUP(Z174,{1,3;2,4;3,5},2,0))&amp;",")</f>
        <v>5,</v>
      </c>
      <c r="BH174" s="36" t="str">
        <f t="shared" si="142"/>
        <v/>
      </c>
      <c r="BI174" s="34" t="str">
        <f t="shared" si="143"/>
        <v>5</v>
      </c>
      <c r="BJ174" s="34" t="str">
        <f t="shared" si="146"/>
        <v>19</v>
      </c>
      <c r="BK174" s="34" t="str">
        <f t="shared" si="144"/>
        <v>0,6,10,15,31,63</v>
      </c>
      <c r="BL174" s="4">
        <f t="shared" si="117"/>
        <v>0</v>
      </c>
      <c r="BM174" s="4">
        <f t="shared" si="118"/>
        <v>6</v>
      </c>
      <c r="BN174" s="4">
        <f t="shared" si="119"/>
        <v>10</v>
      </c>
      <c r="BO174" s="4">
        <f t="shared" si="120"/>
        <v>15</v>
      </c>
      <c r="BP174" s="4">
        <f t="shared" si="121"/>
        <v>31</v>
      </c>
      <c r="BQ174" s="4">
        <f t="shared" si="122"/>
        <v>63</v>
      </c>
      <c r="BR174" s="34" t="str">
        <f t="shared" si="123"/>
        <v>1001,1002,1003,1004,1005,1006</v>
      </c>
      <c r="BS174" s="34" t="str">
        <f t="shared" si="145"/>
        <v>11001,11002,11003,11004,11005,11006</v>
      </c>
      <c r="BT174" s="4">
        <f>VLOOKUP(LOOKUP($Y174,$K$48:$K$55,$L$48:$L$55)&amp;BT$1&amp;$W174,装备额外附加!$M:$O,3,0)</f>
        <v>11001</v>
      </c>
      <c r="BU174" s="4">
        <f>VLOOKUP(LOOKUP($Y174,$K$48:$K$55,$L$48:$L$55)&amp;BU$1&amp;$W174,装备额外附加!$M:$O,3,0)</f>
        <v>11002</v>
      </c>
      <c r="BV174" s="4">
        <f>VLOOKUP(LOOKUP($Y174,$K$48:$K$55,$L$48:$L$55)&amp;BV$1&amp;$W174,装备额外附加!$M:$O,3,0)</f>
        <v>11003</v>
      </c>
      <c r="BW174" s="4">
        <f>VLOOKUP(LOOKUP($Y174,$K$48:$K$55,$L$48:$L$55)&amp;BW$1&amp;$W174,装备额外附加!$M:$O,3,0)</f>
        <v>11004</v>
      </c>
      <c r="BX174" s="4">
        <f>VLOOKUP(LOOKUP($Y174,$K$48:$K$55,$L$48:$L$55)&amp;BX$1&amp;$W174,装备额外附加!$M:$O,3,0)</f>
        <v>11005</v>
      </c>
      <c r="BY174" s="4">
        <f>VLOOKUP(LOOKUP($Y174,$K$48:$K$55,$L$48:$L$55)&amp;BY$1&amp;$W174,装备额外附加!$M:$O,3,0)</f>
        <v>11006</v>
      </c>
    </row>
    <row r="175" spans="18:77">
      <c r="R175" s="4" t="s">
        <v>537</v>
      </c>
      <c r="S175" s="4" t="str">
        <f t="shared" si="124"/>
        <v>103032</v>
      </c>
      <c r="T175" s="4" t="s">
        <v>538</v>
      </c>
      <c r="U175" s="36">
        <v>20</v>
      </c>
      <c r="V175" s="36" t="str">
        <f t="shared" si="125"/>
        <v>头盔</v>
      </c>
      <c r="W175" s="36" t="str">
        <f t="shared" si="126"/>
        <v>护甲</v>
      </c>
      <c r="X175" s="4">
        <f t="shared" si="127"/>
        <v>2</v>
      </c>
      <c r="Y175" s="4">
        <f t="shared" si="128"/>
        <v>27</v>
      </c>
      <c r="Z175" s="4">
        <f t="shared" si="129"/>
        <v>3</v>
      </c>
      <c r="AA175" s="4" t="str">
        <f t="shared" si="130"/>
        <v>54,64,97,162,270,540</v>
      </c>
      <c r="AB175" s="36">
        <f t="shared" si="131"/>
        <v>60</v>
      </c>
      <c r="AC175" s="36">
        <f t="shared" si="153"/>
        <v>54</v>
      </c>
      <c r="AD175" s="36">
        <f t="shared" si="150"/>
        <v>64</v>
      </c>
      <c r="AE175" s="36">
        <f t="shared" si="150"/>
        <v>97</v>
      </c>
      <c r="AF175" s="36">
        <f t="shared" si="150"/>
        <v>162</v>
      </c>
      <c r="AG175" s="36">
        <f t="shared" si="150"/>
        <v>270</v>
      </c>
      <c r="AH175" s="36">
        <f t="shared" si="149"/>
        <v>540</v>
      </c>
      <c r="AJ175" s="4" t="str">
        <f t="shared" si="132"/>
        <v>270,324,486,810,1350,</v>
      </c>
      <c r="AK175" s="36">
        <f t="shared" si="133"/>
        <v>300</v>
      </c>
      <c r="AL175" s="36">
        <f t="shared" si="151"/>
        <v>270</v>
      </c>
      <c r="AM175" s="36">
        <f t="shared" si="151"/>
        <v>324</v>
      </c>
      <c r="AN175" s="36">
        <f t="shared" si="151"/>
        <v>486</v>
      </c>
      <c r="AO175" s="36">
        <f t="shared" si="151"/>
        <v>810</v>
      </c>
      <c r="AP175" s="36">
        <f t="shared" si="151"/>
        <v>1350</v>
      </c>
      <c r="AR175" s="4" t="str">
        <f t="shared" si="134"/>
        <v>21600,25920,38880,64800,108000,</v>
      </c>
      <c r="AS175" s="36">
        <f t="shared" si="135"/>
        <v>24000</v>
      </c>
      <c r="AT175" s="36">
        <f t="shared" si="152"/>
        <v>21600</v>
      </c>
      <c r="AU175" s="36">
        <f t="shared" si="152"/>
        <v>25920</v>
      </c>
      <c r="AV175" s="36">
        <f t="shared" si="152"/>
        <v>38880</v>
      </c>
      <c r="AW175" s="36">
        <f t="shared" si="152"/>
        <v>64800</v>
      </c>
      <c r="AX175" s="36">
        <f t="shared" si="152"/>
        <v>108000</v>
      </c>
      <c r="AZ175" s="4">
        <f t="shared" si="136"/>
        <v>0</v>
      </c>
      <c r="BA175" s="4">
        <f t="shared" si="137"/>
        <v>4</v>
      </c>
      <c r="BB175" s="4">
        <f t="shared" si="138"/>
        <v>3</v>
      </c>
      <c r="BC175" s="35" t="str">
        <f t="shared" si="139"/>
        <v/>
      </c>
      <c r="BD175" s="35" t="str">
        <f t="shared" si="116"/>
        <v>8,</v>
      </c>
      <c r="BE175" s="35" t="str">
        <f t="shared" si="140"/>
        <v>3,</v>
      </c>
      <c r="BF175" s="36" t="str">
        <f t="shared" si="141"/>
        <v/>
      </c>
      <c r="BG175" s="36" t="str">
        <f>IF(BA175=0,"",IF(Z175=0,"3,4,5",VLOOKUP(Z175,{1,3;2,4;3,5},2,0))&amp;",")</f>
        <v>5,</v>
      </c>
      <c r="BH175" s="36" t="str">
        <f t="shared" si="142"/>
        <v>6,</v>
      </c>
      <c r="BI175" s="34" t="str">
        <f t="shared" si="143"/>
        <v>5,6</v>
      </c>
      <c r="BJ175" s="34" t="str">
        <f t="shared" si="146"/>
        <v>8,3</v>
      </c>
      <c r="BK175" s="34" t="str">
        <f t="shared" si="144"/>
        <v>0,4,7,10,21,42</v>
      </c>
      <c r="BL175" s="4">
        <f t="shared" si="117"/>
        <v>0</v>
      </c>
      <c r="BM175" s="4">
        <f t="shared" si="118"/>
        <v>4</v>
      </c>
      <c r="BN175" s="4">
        <f t="shared" si="119"/>
        <v>7</v>
      </c>
      <c r="BO175" s="4">
        <f t="shared" si="120"/>
        <v>10</v>
      </c>
      <c r="BP175" s="4">
        <f t="shared" si="121"/>
        <v>21</v>
      </c>
      <c r="BQ175" s="4">
        <f t="shared" si="122"/>
        <v>42</v>
      </c>
      <c r="BR175" s="34" t="str">
        <f t="shared" si="123"/>
        <v>2001,2002,2003,2004,2005,2006</v>
      </c>
      <c r="BS175" s="34" t="str">
        <f t="shared" si="145"/>
        <v>21001,21002,21003,21004,21005,21006</v>
      </c>
      <c r="BT175" s="4">
        <f>VLOOKUP(LOOKUP($Y175,$K$48:$K$55,$L$48:$L$55)&amp;BT$1&amp;$W175,装备额外附加!$M:$O,3,0)</f>
        <v>21001</v>
      </c>
      <c r="BU175" s="4">
        <f>VLOOKUP(LOOKUP($Y175,$K$48:$K$55,$L$48:$L$55)&amp;BU$1&amp;$W175,装备额外附加!$M:$O,3,0)</f>
        <v>21002</v>
      </c>
      <c r="BV175" s="4">
        <f>VLOOKUP(LOOKUP($Y175,$K$48:$K$55,$L$48:$L$55)&amp;BV$1&amp;$W175,装备额外附加!$M:$O,3,0)</f>
        <v>21003</v>
      </c>
      <c r="BW175" s="4">
        <f>VLOOKUP(LOOKUP($Y175,$K$48:$K$55,$L$48:$L$55)&amp;BW$1&amp;$W175,装备额外附加!$M:$O,3,0)</f>
        <v>21004</v>
      </c>
      <c r="BX175" s="4">
        <f>VLOOKUP(LOOKUP($Y175,$K$48:$K$55,$L$48:$L$55)&amp;BX$1&amp;$W175,装备额外附加!$M:$O,3,0)</f>
        <v>21005</v>
      </c>
      <c r="BY175" s="4">
        <f>VLOOKUP(LOOKUP($Y175,$K$48:$K$55,$L$48:$L$55)&amp;BY$1&amp;$W175,装备额外附加!$M:$O,3,0)</f>
        <v>21006</v>
      </c>
    </row>
    <row r="176" spans="18:77">
      <c r="R176" s="4" t="s">
        <v>539</v>
      </c>
      <c r="S176" s="4" t="str">
        <f t="shared" si="124"/>
        <v>103033</v>
      </c>
      <c r="T176" s="4" t="s">
        <v>540</v>
      </c>
      <c r="U176" s="36">
        <v>20</v>
      </c>
      <c r="V176" s="36" t="str">
        <f t="shared" si="125"/>
        <v>衣服</v>
      </c>
      <c r="W176" s="36" t="str">
        <f t="shared" si="126"/>
        <v>护甲</v>
      </c>
      <c r="X176" s="4">
        <f t="shared" si="127"/>
        <v>3</v>
      </c>
      <c r="Y176" s="4">
        <f t="shared" si="128"/>
        <v>25</v>
      </c>
      <c r="Z176" s="4">
        <f t="shared" si="129"/>
        <v>3</v>
      </c>
      <c r="AA176" s="4" t="str">
        <f t="shared" si="130"/>
        <v>54,64,97,162,270,540</v>
      </c>
      <c r="AB176" s="36">
        <f t="shared" si="131"/>
        <v>60</v>
      </c>
      <c r="AC176" s="36">
        <f t="shared" si="153"/>
        <v>54</v>
      </c>
      <c r="AD176" s="36">
        <f t="shared" si="150"/>
        <v>64</v>
      </c>
      <c r="AE176" s="36">
        <f t="shared" si="150"/>
        <v>97</v>
      </c>
      <c r="AF176" s="36">
        <f t="shared" si="150"/>
        <v>162</v>
      </c>
      <c r="AG176" s="36">
        <f t="shared" si="150"/>
        <v>270</v>
      </c>
      <c r="AH176" s="36">
        <f t="shared" si="149"/>
        <v>540</v>
      </c>
      <c r="AJ176" s="4" t="str">
        <f t="shared" si="132"/>
        <v>270,324,486,810,1350,</v>
      </c>
      <c r="AK176" s="36">
        <f t="shared" si="133"/>
        <v>300</v>
      </c>
      <c r="AL176" s="36">
        <f t="shared" si="151"/>
        <v>270</v>
      </c>
      <c r="AM176" s="36">
        <f t="shared" si="151"/>
        <v>324</v>
      </c>
      <c r="AN176" s="36">
        <f t="shared" si="151"/>
        <v>486</v>
      </c>
      <c r="AO176" s="36">
        <f t="shared" si="151"/>
        <v>810</v>
      </c>
      <c r="AP176" s="36">
        <f t="shared" si="151"/>
        <v>1350</v>
      </c>
      <c r="AR176" s="4" t="str">
        <f t="shared" si="134"/>
        <v>21600,25920,38880,64800,108000,</v>
      </c>
      <c r="AS176" s="36">
        <f t="shared" si="135"/>
        <v>24000</v>
      </c>
      <c r="AT176" s="36">
        <f t="shared" si="152"/>
        <v>21600</v>
      </c>
      <c r="AU176" s="36">
        <f t="shared" si="152"/>
        <v>25920</v>
      </c>
      <c r="AV176" s="36">
        <f t="shared" si="152"/>
        <v>38880</v>
      </c>
      <c r="AW176" s="36">
        <f t="shared" si="152"/>
        <v>64800</v>
      </c>
      <c r="AX176" s="36">
        <f t="shared" si="152"/>
        <v>108000</v>
      </c>
      <c r="AZ176" s="4">
        <f t="shared" si="136"/>
        <v>70</v>
      </c>
      <c r="BA176" s="4">
        <f t="shared" si="137"/>
        <v>0</v>
      </c>
      <c r="BB176" s="4">
        <f t="shared" si="138"/>
        <v>3</v>
      </c>
      <c r="BC176" s="35" t="str">
        <f t="shared" si="139"/>
        <v>70,</v>
      </c>
      <c r="BD176" s="35" t="str">
        <f t="shared" si="116"/>
        <v/>
      </c>
      <c r="BE176" s="35" t="str">
        <f t="shared" si="140"/>
        <v>3,</v>
      </c>
      <c r="BF176" s="36" t="str">
        <f t="shared" si="141"/>
        <v>1,</v>
      </c>
      <c r="BG176" s="36" t="str">
        <f>IF(BA176=0,"",IF(Z176=0,"3,4,5",VLOOKUP(Z176,{1,3;2,4;3,5},2,0))&amp;",")</f>
        <v/>
      </c>
      <c r="BH176" s="36" t="str">
        <f t="shared" si="142"/>
        <v>6,</v>
      </c>
      <c r="BI176" s="34" t="str">
        <f t="shared" si="143"/>
        <v>1,6</v>
      </c>
      <c r="BJ176" s="34" t="str">
        <f t="shared" si="146"/>
        <v>70,3</v>
      </c>
      <c r="BK176" s="34" t="str">
        <f t="shared" si="144"/>
        <v>0,4,7,10,21,42</v>
      </c>
      <c r="BL176" s="4">
        <f t="shared" si="117"/>
        <v>0</v>
      </c>
      <c r="BM176" s="4">
        <f t="shared" si="118"/>
        <v>4</v>
      </c>
      <c r="BN176" s="4">
        <f t="shared" si="119"/>
        <v>7</v>
      </c>
      <c r="BO176" s="4">
        <f t="shared" si="120"/>
        <v>10</v>
      </c>
      <c r="BP176" s="4">
        <f t="shared" si="121"/>
        <v>21</v>
      </c>
      <c r="BQ176" s="4">
        <f t="shared" si="122"/>
        <v>42</v>
      </c>
      <c r="BR176" s="34" t="str">
        <f t="shared" si="123"/>
        <v>2001,2002,2003,2004,2005,2006</v>
      </c>
      <c r="BS176" s="34" t="str">
        <f t="shared" si="145"/>
        <v>21001,21002,21003,21004,21005,21006</v>
      </c>
      <c r="BT176" s="4">
        <f>VLOOKUP(LOOKUP($Y176,$K$48:$K$55,$L$48:$L$55)&amp;BT$1&amp;$W176,装备额外附加!$M:$O,3,0)</f>
        <v>21001</v>
      </c>
      <c r="BU176" s="4">
        <f>VLOOKUP(LOOKUP($Y176,$K$48:$K$55,$L$48:$L$55)&amp;BU$1&amp;$W176,装备额外附加!$M:$O,3,0)</f>
        <v>21002</v>
      </c>
      <c r="BV176" s="4">
        <f>VLOOKUP(LOOKUP($Y176,$K$48:$K$55,$L$48:$L$55)&amp;BV$1&amp;$W176,装备额外附加!$M:$O,3,0)</f>
        <v>21003</v>
      </c>
      <c r="BW176" s="4">
        <f>VLOOKUP(LOOKUP($Y176,$K$48:$K$55,$L$48:$L$55)&amp;BW$1&amp;$W176,装备额外附加!$M:$O,3,0)</f>
        <v>21004</v>
      </c>
      <c r="BX176" s="4">
        <f>VLOOKUP(LOOKUP($Y176,$K$48:$K$55,$L$48:$L$55)&amp;BX$1&amp;$W176,装备额外附加!$M:$O,3,0)</f>
        <v>21005</v>
      </c>
      <c r="BY176" s="4">
        <f>VLOOKUP(LOOKUP($Y176,$K$48:$K$55,$L$48:$L$55)&amp;BY$1&amp;$W176,装备额外附加!$M:$O,3,0)</f>
        <v>21006</v>
      </c>
    </row>
    <row r="177" spans="18:77">
      <c r="R177" s="4" t="s">
        <v>541</v>
      </c>
      <c r="S177" s="4" t="str">
        <f t="shared" si="124"/>
        <v>103034</v>
      </c>
      <c r="T177" s="4" t="s">
        <v>542</v>
      </c>
      <c r="U177" s="36">
        <v>20</v>
      </c>
      <c r="V177" s="36" t="str">
        <f t="shared" si="125"/>
        <v>腰带</v>
      </c>
      <c r="W177" s="36" t="str">
        <f t="shared" si="126"/>
        <v>护甲</v>
      </c>
      <c r="X177" s="4">
        <f t="shared" si="127"/>
        <v>4</v>
      </c>
      <c r="Y177" s="4">
        <f t="shared" si="128"/>
        <v>28</v>
      </c>
      <c r="Z177" s="4">
        <f t="shared" si="129"/>
        <v>3</v>
      </c>
      <c r="AA177" s="4" t="str">
        <f t="shared" si="130"/>
        <v>48,57,86,144,240,480</v>
      </c>
      <c r="AB177" s="36">
        <f t="shared" si="131"/>
        <v>60</v>
      </c>
      <c r="AC177" s="36">
        <f t="shared" si="153"/>
        <v>48</v>
      </c>
      <c r="AD177" s="36">
        <f t="shared" si="150"/>
        <v>57</v>
      </c>
      <c r="AE177" s="36">
        <f t="shared" si="150"/>
        <v>86</v>
      </c>
      <c r="AF177" s="36">
        <f t="shared" si="150"/>
        <v>144</v>
      </c>
      <c r="AG177" s="36">
        <f t="shared" si="150"/>
        <v>240</v>
      </c>
      <c r="AH177" s="36">
        <f t="shared" si="149"/>
        <v>480</v>
      </c>
      <c r="AJ177" s="4" t="str">
        <f t="shared" si="132"/>
        <v>240,288,432,720,1200,</v>
      </c>
      <c r="AK177" s="36">
        <f t="shared" si="133"/>
        <v>300</v>
      </c>
      <c r="AL177" s="36">
        <f t="shared" si="151"/>
        <v>240</v>
      </c>
      <c r="AM177" s="36">
        <f t="shared" si="151"/>
        <v>288</v>
      </c>
      <c r="AN177" s="36">
        <f t="shared" si="151"/>
        <v>432</v>
      </c>
      <c r="AO177" s="36">
        <f t="shared" si="151"/>
        <v>720</v>
      </c>
      <c r="AP177" s="36">
        <f t="shared" si="151"/>
        <v>1200</v>
      </c>
      <c r="AR177" s="4" t="str">
        <f t="shared" si="134"/>
        <v>19200,23040,34560,57600,96000,</v>
      </c>
      <c r="AS177" s="36">
        <f t="shared" si="135"/>
        <v>24000</v>
      </c>
      <c r="AT177" s="36">
        <f t="shared" si="152"/>
        <v>19200</v>
      </c>
      <c r="AU177" s="36">
        <f t="shared" si="152"/>
        <v>23040</v>
      </c>
      <c r="AV177" s="36">
        <f t="shared" si="152"/>
        <v>34560</v>
      </c>
      <c r="AW177" s="36">
        <f t="shared" si="152"/>
        <v>57600</v>
      </c>
      <c r="AX177" s="36">
        <f t="shared" si="152"/>
        <v>96000</v>
      </c>
      <c r="AZ177" s="4">
        <f t="shared" si="136"/>
        <v>35</v>
      </c>
      <c r="BA177" s="4">
        <f t="shared" si="137"/>
        <v>0</v>
      </c>
      <c r="BB177" s="4">
        <f t="shared" si="138"/>
        <v>3</v>
      </c>
      <c r="BC177" s="35" t="str">
        <f t="shared" si="139"/>
        <v>35,</v>
      </c>
      <c r="BD177" s="35" t="str">
        <f t="shared" si="116"/>
        <v/>
      </c>
      <c r="BE177" s="35" t="str">
        <f t="shared" si="140"/>
        <v>3,</v>
      </c>
      <c r="BF177" s="36" t="str">
        <f t="shared" si="141"/>
        <v>1,</v>
      </c>
      <c r="BG177" s="36" t="str">
        <f>IF(BA177=0,"",IF(Z177=0,"3,4,5",VLOOKUP(Z177,{1,3;2,4;3,5},2,0))&amp;",")</f>
        <v/>
      </c>
      <c r="BH177" s="36" t="str">
        <f t="shared" si="142"/>
        <v>6,</v>
      </c>
      <c r="BI177" s="34" t="str">
        <f t="shared" si="143"/>
        <v>1,6</v>
      </c>
      <c r="BJ177" s="34" t="str">
        <f t="shared" si="146"/>
        <v>35,3</v>
      </c>
      <c r="BK177" s="34" t="str">
        <f t="shared" si="144"/>
        <v>0,4,7,10,21,42</v>
      </c>
      <c r="BL177" s="4">
        <f t="shared" si="117"/>
        <v>0</v>
      </c>
      <c r="BM177" s="4">
        <f t="shared" si="118"/>
        <v>4</v>
      </c>
      <c r="BN177" s="4">
        <f t="shared" si="119"/>
        <v>7</v>
      </c>
      <c r="BO177" s="4">
        <f t="shared" si="120"/>
        <v>10</v>
      </c>
      <c r="BP177" s="4">
        <f t="shared" si="121"/>
        <v>21</v>
      </c>
      <c r="BQ177" s="4">
        <f t="shared" si="122"/>
        <v>42</v>
      </c>
      <c r="BR177" s="34" t="str">
        <f t="shared" si="123"/>
        <v>2001,2002,2003,2004,2005,2006</v>
      </c>
      <c r="BS177" s="34" t="str">
        <f t="shared" si="145"/>
        <v>21001,21002,21003,21004,21005,21006</v>
      </c>
      <c r="BT177" s="4">
        <f>VLOOKUP(LOOKUP($Y177,$K$48:$K$55,$L$48:$L$55)&amp;BT$1&amp;$W177,装备额外附加!$M:$O,3,0)</f>
        <v>21001</v>
      </c>
      <c r="BU177" s="4">
        <f>VLOOKUP(LOOKUP($Y177,$K$48:$K$55,$L$48:$L$55)&amp;BU$1&amp;$W177,装备额外附加!$M:$O,3,0)</f>
        <v>21002</v>
      </c>
      <c r="BV177" s="4">
        <f>VLOOKUP(LOOKUP($Y177,$K$48:$K$55,$L$48:$L$55)&amp;BV$1&amp;$W177,装备额外附加!$M:$O,3,0)</f>
        <v>21003</v>
      </c>
      <c r="BW177" s="4">
        <f>VLOOKUP(LOOKUP($Y177,$K$48:$K$55,$L$48:$L$55)&amp;BW$1&amp;$W177,装备额外附加!$M:$O,3,0)</f>
        <v>21004</v>
      </c>
      <c r="BX177" s="4">
        <f>VLOOKUP(LOOKUP($Y177,$K$48:$K$55,$L$48:$L$55)&amp;BX$1&amp;$W177,装备额外附加!$M:$O,3,0)</f>
        <v>21005</v>
      </c>
      <c r="BY177" s="4">
        <f>VLOOKUP(LOOKUP($Y177,$K$48:$K$55,$L$48:$L$55)&amp;BY$1&amp;$W177,装备额外附加!$M:$O,3,0)</f>
        <v>21006</v>
      </c>
    </row>
    <row r="178" spans="18:77">
      <c r="R178" s="4" t="s">
        <v>543</v>
      </c>
      <c r="S178" s="4" t="str">
        <f t="shared" si="124"/>
        <v>103035</v>
      </c>
      <c r="T178" s="4" t="s">
        <v>544</v>
      </c>
      <c r="U178" s="36">
        <v>20</v>
      </c>
      <c r="V178" s="36" t="str">
        <f t="shared" si="125"/>
        <v>鞋子</v>
      </c>
      <c r="W178" s="36" t="str">
        <f t="shared" si="126"/>
        <v>护甲</v>
      </c>
      <c r="X178" s="4">
        <f t="shared" si="127"/>
        <v>5</v>
      </c>
      <c r="Y178" s="4">
        <f t="shared" si="128"/>
        <v>22</v>
      </c>
      <c r="Z178" s="4">
        <f t="shared" si="129"/>
        <v>3</v>
      </c>
      <c r="AA178" s="4" t="str">
        <f t="shared" si="130"/>
        <v>48,57,86,144,240,480</v>
      </c>
      <c r="AB178" s="36">
        <f t="shared" si="131"/>
        <v>60</v>
      </c>
      <c r="AC178" s="36">
        <f t="shared" si="153"/>
        <v>48</v>
      </c>
      <c r="AD178" s="36">
        <f t="shared" ref="AD178:AG197" si="154">INT($AB178*VLOOKUP(AD$1,$B$11:$L$16,11,0)*VLOOKUP($V178,$C$22:$M$29,11,0))</f>
        <v>57</v>
      </c>
      <c r="AE178" s="36">
        <f t="shared" si="154"/>
        <v>86</v>
      </c>
      <c r="AF178" s="36">
        <f t="shared" si="154"/>
        <v>144</v>
      </c>
      <c r="AG178" s="36">
        <f t="shared" si="154"/>
        <v>240</v>
      </c>
      <c r="AH178" s="36">
        <f t="shared" ref="AH178:AH203" si="155">INT($AB178*VLOOKUP(AH$1,$B$11:$L$16,11,0)*VLOOKUP($V178,$C$22:$M$29,11,0))</f>
        <v>480</v>
      </c>
      <c r="AJ178" s="4" t="str">
        <f t="shared" si="132"/>
        <v>240,288,432,720,1200,</v>
      </c>
      <c r="AK178" s="36">
        <f t="shared" si="133"/>
        <v>300</v>
      </c>
      <c r="AL178" s="36">
        <f t="shared" si="151"/>
        <v>240</v>
      </c>
      <c r="AM178" s="36">
        <f t="shared" si="151"/>
        <v>288</v>
      </c>
      <c r="AN178" s="36">
        <f t="shared" si="151"/>
        <v>432</v>
      </c>
      <c r="AO178" s="36">
        <f t="shared" si="151"/>
        <v>720</v>
      </c>
      <c r="AP178" s="36">
        <f t="shared" si="151"/>
        <v>1200</v>
      </c>
      <c r="AR178" s="4" t="str">
        <f t="shared" si="134"/>
        <v>19200,23040,34560,57600,96000,</v>
      </c>
      <c r="AS178" s="36">
        <f t="shared" si="135"/>
        <v>24000</v>
      </c>
      <c r="AT178" s="36">
        <f t="shared" si="152"/>
        <v>19200</v>
      </c>
      <c r="AU178" s="36">
        <f t="shared" si="152"/>
        <v>23040</v>
      </c>
      <c r="AV178" s="36">
        <f t="shared" si="152"/>
        <v>34560</v>
      </c>
      <c r="AW178" s="36">
        <f t="shared" si="152"/>
        <v>57600</v>
      </c>
      <c r="AX178" s="36">
        <f t="shared" si="152"/>
        <v>96000</v>
      </c>
      <c r="AZ178" s="4">
        <f t="shared" si="136"/>
        <v>35</v>
      </c>
      <c r="BA178" s="4">
        <f t="shared" si="137"/>
        <v>0</v>
      </c>
      <c r="BB178" s="4">
        <f t="shared" si="138"/>
        <v>3</v>
      </c>
      <c r="BC178" s="35" t="str">
        <f t="shared" si="139"/>
        <v>35,</v>
      </c>
      <c r="BD178" s="35" t="str">
        <f t="shared" si="116"/>
        <v/>
      </c>
      <c r="BE178" s="35" t="str">
        <f t="shared" si="140"/>
        <v>3,</v>
      </c>
      <c r="BF178" s="36" t="str">
        <f t="shared" si="141"/>
        <v>1,</v>
      </c>
      <c r="BG178" s="36" t="str">
        <f>IF(BA178=0,"",IF(Z178=0,"3,4,5",VLOOKUP(Z178,{1,3;2,4;3,5},2,0))&amp;",")</f>
        <v/>
      </c>
      <c r="BH178" s="36" t="str">
        <f t="shared" si="142"/>
        <v>6,</v>
      </c>
      <c r="BI178" s="34" t="str">
        <f t="shared" si="143"/>
        <v>1,6</v>
      </c>
      <c r="BJ178" s="34" t="str">
        <f t="shared" si="146"/>
        <v>35,3</v>
      </c>
      <c r="BK178" s="34" t="str">
        <f t="shared" si="144"/>
        <v>0,4,7,10,21,42</v>
      </c>
      <c r="BL178" s="4">
        <f t="shared" si="117"/>
        <v>0</v>
      </c>
      <c r="BM178" s="4">
        <f t="shared" si="118"/>
        <v>4</v>
      </c>
      <c r="BN178" s="4">
        <f t="shared" si="119"/>
        <v>7</v>
      </c>
      <c r="BO178" s="4">
        <f t="shared" si="120"/>
        <v>10</v>
      </c>
      <c r="BP178" s="4">
        <f t="shared" si="121"/>
        <v>21</v>
      </c>
      <c r="BQ178" s="4">
        <f t="shared" si="122"/>
        <v>42</v>
      </c>
      <c r="BR178" s="34" t="str">
        <f t="shared" si="123"/>
        <v>2001,2002,2003,2004,2005,2006</v>
      </c>
      <c r="BS178" s="34" t="str">
        <f t="shared" si="145"/>
        <v>21001,21002,21003,21004,21005,21006</v>
      </c>
      <c r="BT178" s="4">
        <f>VLOOKUP(LOOKUP($Y178,$K$48:$K$55,$L$48:$L$55)&amp;BT$1&amp;$W178,装备额外附加!$M:$O,3,0)</f>
        <v>21001</v>
      </c>
      <c r="BU178" s="4">
        <f>VLOOKUP(LOOKUP($Y178,$K$48:$K$55,$L$48:$L$55)&amp;BU$1&amp;$W178,装备额外附加!$M:$O,3,0)</f>
        <v>21002</v>
      </c>
      <c r="BV178" s="4">
        <f>VLOOKUP(LOOKUP($Y178,$K$48:$K$55,$L$48:$L$55)&amp;BV$1&amp;$W178,装备额外附加!$M:$O,3,0)</f>
        <v>21003</v>
      </c>
      <c r="BW178" s="4">
        <f>VLOOKUP(LOOKUP($Y178,$K$48:$K$55,$L$48:$L$55)&amp;BW$1&amp;$W178,装备额外附加!$M:$O,3,0)</f>
        <v>21004</v>
      </c>
      <c r="BX178" s="4">
        <f>VLOOKUP(LOOKUP($Y178,$K$48:$K$55,$L$48:$L$55)&amp;BX$1&amp;$W178,装备额外附加!$M:$O,3,0)</f>
        <v>21005</v>
      </c>
      <c r="BY178" s="4">
        <f>VLOOKUP(LOOKUP($Y178,$K$48:$K$55,$L$48:$L$55)&amp;BY$1&amp;$W178,装备额外附加!$M:$O,3,0)</f>
        <v>21006</v>
      </c>
    </row>
    <row r="179" spans="18:77">
      <c r="R179" s="4" t="s">
        <v>545</v>
      </c>
      <c r="S179" s="4" t="str">
        <f t="shared" si="124"/>
        <v>104031</v>
      </c>
      <c r="T179" s="4" t="s">
        <v>546</v>
      </c>
      <c r="U179" s="36">
        <v>30</v>
      </c>
      <c r="V179" s="36" t="str">
        <f t="shared" si="125"/>
        <v>武器</v>
      </c>
      <c r="W179" s="36" t="str">
        <f t="shared" si="126"/>
        <v>武器</v>
      </c>
      <c r="X179" s="4">
        <f t="shared" si="127"/>
        <v>1</v>
      </c>
      <c r="Y179" s="4">
        <f t="shared" si="128"/>
        <v>31</v>
      </c>
      <c r="Z179" s="4">
        <f t="shared" si="129"/>
        <v>3</v>
      </c>
      <c r="AA179" s="4" t="str">
        <f t="shared" si="130"/>
        <v>80,96,144,240,400,800</v>
      </c>
      <c r="AB179" s="36">
        <f t="shared" si="131"/>
        <v>80</v>
      </c>
      <c r="AC179" s="36">
        <f t="shared" si="153"/>
        <v>80</v>
      </c>
      <c r="AD179" s="36">
        <f t="shared" si="154"/>
        <v>96</v>
      </c>
      <c r="AE179" s="36">
        <f t="shared" si="154"/>
        <v>144</v>
      </c>
      <c r="AF179" s="36">
        <f t="shared" si="154"/>
        <v>240</v>
      </c>
      <c r="AG179" s="36">
        <f t="shared" si="154"/>
        <v>400</v>
      </c>
      <c r="AH179" s="36">
        <f t="shared" si="155"/>
        <v>800</v>
      </c>
      <c r="AJ179" s="4" t="str">
        <f t="shared" si="132"/>
        <v>400,480,720,1200,2000,</v>
      </c>
      <c r="AK179" s="36">
        <f t="shared" si="133"/>
        <v>400</v>
      </c>
      <c r="AL179" s="36">
        <f t="shared" si="151"/>
        <v>400</v>
      </c>
      <c r="AM179" s="36">
        <f t="shared" si="151"/>
        <v>480</v>
      </c>
      <c r="AN179" s="36">
        <f t="shared" si="151"/>
        <v>720</v>
      </c>
      <c r="AO179" s="36">
        <f t="shared" si="151"/>
        <v>1200</v>
      </c>
      <c r="AP179" s="36">
        <f t="shared" si="151"/>
        <v>2000</v>
      </c>
      <c r="AR179" s="4" t="str">
        <f t="shared" si="134"/>
        <v>32000,38400,57600,96000,160000,</v>
      </c>
      <c r="AS179" s="36">
        <f t="shared" si="135"/>
        <v>32000</v>
      </c>
      <c r="AT179" s="36">
        <f t="shared" si="152"/>
        <v>32000</v>
      </c>
      <c r="AU179" s="36">
        <f t="shared" si="152"/>
        <v>38400</v>
      </c>
      <c r="AV179" s="36">
        <f t="shared" si="152"/>
        <v>57600</v>
      </c>
      <c r="AW179" s="36">
        <f t="shared" si="152"/>
        <v>96000</v>
      </c>
      <c r="AX179" s="36">
        <f t="shared" si="152"/>
        <v>160000</v>
      </c>
      <c r="AZ179" s="4">
        <f t="shared" si="136"/>
        <v>0</v>
      </c>
      <c r="BA179" s="4">
        <f t="shared" si="137"/>
        <v>12</v>
      </c>
      <c r="BB179" s="4">
        <f t="shared" si="138"/>
        <v>0</v>
      </c>
      <c r="BC179" s="35" t="str">
        <f t="shared" si="139"/>
        <v/>
      </c>
      <c r="BD179" s="35" t="str">
        <f t="shared" si="116"/>
        <v>26,</v>
      </c>
      <c r="BE179" s="35" t="str">
        <f t="shared" si="140"/>
        <v/>
      </c>
      <c r="BF179" s="36" t="str">
        <f t="shared" si="141"/>
        <v/>
      </c>
      <c r="BG179" s="36" t="str">
        <f>IF(BA179=0,"",IF(Z179=0,"3,4,5",VLOOKUP(Z179,{1,3;2,4;3,5},2,0))&amp;",")</f>
        <v>5,</v>
      </c>
      <c r="BH179" s="36" t="str">
        <f t="shared" si="142"/>
        <v/>
      </c>
      <c r="BI179" s="34" t="str">
        <f t="shared" si="143"/>
        <v>5</v>
      </c>
      <c r="BJ179" s="34" t="str">
        <f t="shared" si="146"/>
        <v>26</v>
      </c>
      <c r="BK179" s="34" t="str">
        <f t="shared" si="144"/>
        <v>0,9,13,21,42,84</v>
      </c>
      <c r="BL179" s="4">
        <f t="shared" si="117"/>
        <v>0</v>
      </c>
      <c r="BM179" s="4">
        <f t="shared" si="118"/>
        <v>9</v>
      </c>
      <c r="BN179" s="4">
        <f t="shared" si="119"/>
        <v>13</v>
      </c>
      <c r="BO179" s="4">
        <f t="shared" si="120"/>
        <v>21</v>
      </c>
      <c r="BP179" s="4">
        <f t="shared" si="121"/>
        <v>42</v>
      </c>
      <c r="BQ179" s="4">
        <f t="shared" si="122"/>
        <v>84</v>
      </c>
      <c r="BR179" s="34" t="str">
        <f t="shared" si="123"/>
        <v>1001,1002,1003,1004,1005,1006</v>
      </c>
      <c r="BS179" s="34" t="str">
        <f t="shared" si="145"/>
        <v>11001,11002,11003,11004,11005,11006</v>
      </c>
      <c r="BT179" s="4">
        <f>VLOOKUP(LOOKUP($Y179,$K$48:$K$55,$L$48:$L$55)&amp;BT$1&amp;$W179,装备额外附加!$M:$O,3,0)</f>
        <v>11001</v>
      </c>
      <c r="BU179" s="4">
        <f>VLOOKUP(LOOKUP($Y179,$K$48:$K$55,$L$48:$L$55)&amp;BU$1&amp;$W179,装备额外附加!$M:$O,3,0)</f>
        <v>11002</v>
      </c>
      <c r="BV179" s="4">
        <f>VLOOKUP(LOOKUP($Y179,$K$48:$K$55,$L$48:$L$55)&amp;BV$1&amp;$W179,装备额外附加!$M:$O,3,0)</f>
        <v>11003</v>
      </c>
      <c r="BW179" s="4">
        <f>VLOOKUP(LOOKUP($Y179,$K$48:$K$55,$L$48:$L$55)&amp;BW$1&amp;$W179,装备额外附加!$M:$O,3,0)</f>
        <v>11004</v>
      </c>
      <c r="BX179" s="4">
        <f>VLOOKUP(LOOKUP($Y179,$K$48:$K$55,$L$48:$L$55)&amp;BX$1&amp;$W179,装备额外附加!$M:$O,3,0)</f>
        <v>11005</v>
      </c>
      <c r="BY179" s="4">
        <f>VLOOKUP(LOOKUP($Y179,$K$48:$K$55,$L$48:$L$55)&amp;BY$1&amp;$W179,装备额外附加!$M:$O,3,0)</f>
        <v>11006</v>
      </c>
    </row>
    <row r="180" spans="18:77">
      <c r="R180" s="4" t="s">
        <v>547</v>
      </c>
      <c r="S180" s="4" t="str">
        <f t="shared" si="124"/>
        <v>104032</v>
      </c>
      <c r="T180" s="4" t="s">
        <v>548</v>
      </c>
      <c r="U180" s="36">
        <v>30</v>
      </c>
      <c r="V180" s="36" t="str">
        <f t="shared" si="125"/>
        <v>头盔</v>
      </c>
      <c r="W180" s="36" t="str">
        <f t="shared" si="126"/>
        <v>护甲</v>
      </c>
      <c r="X180" s="4">
        <f t="shared" si="127"/>
        <v>2</v>
      </c>
      <c r="Y180" s="4">
        <f t="shared" si="128"/>
        <v>37</v>
      </c>
      <c r="Z180" s="4">
        <f t="shared" si="129"/>
        <v>3</v>
      </c>
      <c r="AA180" s="4" t="str">
        <f t="shared" si="130"/>
        <v>72,86,129,216,360,720</v>
      </c>
      <c r="AB180" s="36">
        <f t="shared" si="131"/>
        <v>80</v>
      </c>
      <c r="AC180" s="36">
        <f t="shared" si="153"/>
        <v>72</v>
      </c>
      <c r="AD180" s="36">
        <f t="shared" si="154"/>
        <v>86</v>
      </c>
      <c r="AE180" s="36">
        <f t="shared" si="154"/>
        <v>129</v>
      </c>
      <c r="AF180" s="36">
        <f t="shared" si="154"/>
        <v>216</v>
      </c>
      <c r="AG180" s="36">
        <f t="shared" si="154"/>
        <v>360</v>
      </c>
      <c r="AH180" s="36">
        <f t="shared" si="155"/>
        <v>720</v>
      </c>
      <c r="AJ180" s="4" t="str">
        <f t="shared" si="132"/>
        <v>360,432,648,1080,1800,</v>
      </c>
      <c r="AK180" s="36">
        <f t="shared" si="133"/>
        <v>400</v>
      </c>
      <c r="AL180" s="36">
        <f t="shared" si="151"/>
        <v>360</v>
      </c>
      <c r="AM180" s="36">
        <f t="shared" si="151"/>
        <v>432</v>
      </c>
      <c r="AN180" s="36">
        <f t="shared" si="151"/>
        <v>648</v>
      </c>
      <c r="AO180" s="36">
        <f t="shared" si="151"/>
        <v>1080</v>
      </c>
      <c r="AP180" s="36">
        <f t="shared" si="151"/>
        <v>1800</v>
      </c>
      <c r="AR180" s="4" t="str">
        <f t="shared" si="134"/>
        <v>28800,34560,51840,86400,144000,</v>
      </c>
      <c r="AS180" s="36">
        <f t="shared" si="135"/>
        <v>32000</v>
      </c>
      <c r="AT180" s="36">
        <f t="shared" si="152"/>
        <v>28800</v>
      </c>
      <c r="AU180" s="36">
        <f t="shared" si="152"/>
        <v>34560</v>
      </c>
      <c r="AV180" s="36">
        <f t="shared" si="152"/>
        <v>51840</v>
      </c>
      <c r="AW180" s="36">
        <f t="shared" si="152"/>
        <v>86400</v>
      </c>
      <c r="AX180" s="36">
        <f t="shared" si="152"/>
        <v>144000</v>
      </c>
      <c r="AZ180" s="4">
        <f t="shared" si="136"/>
        <v>0</v>
      </c>
      <c r="BA180" s="4">
        <f t="shared" si="137"/>
        <v>6</v>
      </c>
      <c r="BB180" s="4">
        <f t="shared" si="138"/>
        <v>5</v>
      </c>
      <c r="BC180" s="35" t="str">
        <f t="shared" si="139"/>
        <v/>
      </c>
      <c r="BD180" s="35" t="str">
        <f t="shared" si="116"/>
        <v>13,</v>
      </c>
      <c r="BE180" s="35" t="str">
        <f t="shared" si="140"/>
        <v>5,</v>
      </c>
      <c r="BF180" s="36" t="str">
        <f t="shared" si="141"/>
        <v/>
      </c>
      <c r="BG180" s="36" t="str">
        <f>IF(BA180=0,"",IF(Z180=0,"3,4,5",VLOOKUP(Z180,{1,3;2,4;3,5},2,0))&amp;",")</f>
        <v>5,</v>
      </c>
      <c r="BH180" s="36" t="str">
        <f t="shared" si="142"/>
        <v>6,</v>
      </c>
      <c r="BI180" s="34" t="str">
        <f t="shared" si="143"/>
        <v>5,6</v>
      </c>
      <c r="BJ180" s="34" t="str">
        <f t="shared" si="146"/>
        <v>13,5</v>
      </c>
      <c r="BK180" s="34" t="str">
        <f t="shared" si="144"/>
        <v>0,6,9,14,28,56</v>
      </c>
      <c r="BL180" s="4">
        <f t="shared" si="117"/>
        <v>0</v>
      </c>
      <c r="BM180" s="4">
        <f t="shared" si="118"/>
        <v>6</v>
      </c>
      <c r="BN180" s="4">
        <f t="shared" si="119"/>
        <v>9</v>
      </c>
      <c r="BO180" s="4">
        <f t="shared" si="120"/>
        <v>14</v>
      </c>
      <c r="BP180" s="4">
        <f t="shared" si="121"/>
        <v>28</v>
      </c>
      <c r="BQ180" s="4">
        <f t="shared" si="122"/>
        <v>56</v>
      </c>
      <c r="BR180" s="34" t="str">
        <f t="shared" si="123"/>
        <v>2001,2002,2003,2004,2005,2006</v>
      </c>
      <c r="BS180" s="34" t="str">
        <f t="shared" si="145"/>
        <v>21001,21002,21003,21004,21005,21006</v>
      </c>
      <c r="BT180" s="4">
        <f>VLOOKUP(LOOKUP($Y180,$K$48:$K$55,$L$48:$L$55)&amp;BT$1&amp;$W180,装备额外附加!$M:$O,3,0)</f>
        <v>21001</v>
      </c>
      <c r="BU180" s="4">
        <f>VLOOKUP(LOOKUP($Y180,$K$48:$K$55,$L$48:$L$55)&amp;BU$1&amp;$W180,装备额外附加!$M:$O,3,0)</f>
        <v>21002</v>
      </c>
      <c r="BV180" s="4">
        <f>VLOOKUP(LOOKUP($Y180,$K$48:$K$55,$L$48:$L$55)&amp;BV$1&amp;$W180,装备额外附加!$M:$O,3,0)</f>
        <v>21003</v>
      </c>
      <c r="BW180" s="4">
        <f>VLOOKUP(LOOKUP($Y180,$K$48:$K$55,$L$48:$L$55)&amp;BW$1&amp;$W180,装备额外附加!$M:$O,3,0)</f>
        <v>21004</v>
      </c>
      <c r="BX180" s="4">
        <f>VLOOKUP(LOOKUP($Y180,$K$48:$K$55,$L$48:$L$55)&amp;BX$1&amp;$W180,装备额外附加!$M:$O,3,0)</f>
        <v>21005</v>
      </c>
      <c r="BY180" s="4">
        <f>VLOOKUP(LOOKUP($Y180,$K$48:$K$55,$L$48:$L$55)&amp;BY$1&amp;$W180,装备额外附加!$M:$O,3,0)</f>
        <v>21006</v>
      </c>
    </row>
    <row r="181" spans="18:77">
      <c r="R181" s="4" t="s">
        <v>549</v>
      </c>
      <c r="S181" s="4" t="str">
        <f t="shared" si="124"/>
        <v>104033</v>
      </c>
      <c r="T181" s="4" t="s">
        <v>550</v>
      </c>
      <c r="U181" s="36">
        <v>30</v>
      </c>
      <c r="V181" s="36" t="str">
        <f t="shared" si="125"/>
        <v>衣服</v>
      </c>
      <c r="W181" s="36" t="str">
        <f t="shared" si="126"/>
        <v>护甲</v>
      </c>
      <c r="X181" s="4">
        <f t="shared" si="127"/>
        <v>3</v>
      </c>
      <c r="Y181" s="4">
        <f t="shared" si="128"/>
        <v>35</v>
      </c>
      <c r="Z181" s="4">
        <f t="shared" si="129"/>
        <v>3</v>
      </c>
      <c r="AA181" s="4" t="str">
        <f t="shared" si="130"/>
        <v>72,86,129,216,360,720</v>
      </c>
      <c r="AB181" s="36">
        <f t="shared" si="131"/>
        <v>80</v>
      </c>
      <c r="AC181" s="36">
        <f t="shared" si="153"/>
        <v>72</v>
      </c>
      <c r="AD181" s="36">
        <f t="shared" si="154"/>
        <v>86</v>
      </c>
      <c r="AE181" s="36">
        <f t="shared" si="154"/>
        <v>129</v>
      </c>
      <c r="AF181" s="36">
        <f t="shared" si="154"/>
        <v>216</v>
      </c>
      <c r="AG181" s="36">
        <f t="shared" si="154"/>
        <v>360</v>
      </c>
      <c r="AH181" s="36">
        <f t="shared" si="155"/>
        <v>720</v>
      </c>
      <c r="AJ181" s="4" t="str">
        <f t="shared" si="132"/>
        <v>360,432,648,1080,1800,</v>
      </c>
      <c r="AK181" s="36">
        <f t="shared" si="133"/>
        <v>400</v>
      </c>
      <c r="AL181" s="36">
        <f t="shared" si="151"/>
        <v>360</v>
      </c>
      <c r="AM181" s="36">
        <f t="shared" si="151"/>
        <v>432</v>
      </c>
      <c r="AN181" s="36">
        <f t="shared" si="151"/>
        <v>648</v>
      </c>
      <c r="AO181" s="36">
        <f t="shared" si="151"/>
        <v>1080</v>
      </c>
      <c r="AP181" s="36">
        <f t="shared" si="151"/>
        <v>1800</v>
      </c>
      <c r="AR181" s="4" t="str">
        <f t="shared" si="134"/>
        <v>28800,34560,51840,86400,144000,</v>
      </c>
      <c r="AS181" s="36">
        <f t="shared" si="135"/>
        <v>32000</v>
      </c>
      <c r="AT181" s="36">
        <f t="shared" si="152"/>
        <v>28800</v>
      </c>
      <c r="AU181" s="36">
        <f t="shared" si="152"/>
        <v>34560</v>
      </c>
      <c r="AV181" s="36">
        <f t="shared" si="152"/>
        <v>51840</v>
      </c>
      <c r="AW181" s="36">
        <f t="shared" si="152"/>
        <v>86400</v>
      </c>
      <c r="AX181" s="36">
        <f t="shared" si="152"/>
        <v>144000</v>
      </c>
      <c r="AZ181" s="4">
        <f t="shared" si="136"/>
        <v>94</v>
      </c>
      <c r="BA181" s="4">
        <f t="shared" si="137"/>
        <v>0</v>
      </c>
      <c r="BB181" s="4">
        <f t="shared" si="138"/>
        <v>5</v>
      </c>
      <c r="BC181" s="35" t="str">
        <f t="shared" si="139"/>
        <v>94,</v>
      </c>
      <c r="BD181" s="35" t="str">
        <f t="shared" si="116"/>
        <v/>
      </c>
      <c r="BE181" s="35" t="str">
        <f t="shared" si="140"/>
        <v>5,</v>
      </c>
      <c r="BF181" s="36" t="str">
        <f t="shared" si="141"/>
        <v>1,</v>
      </c>
      <c r="BG181" s="36" t="str">
        <f>IF(BA181=0,"",IF(Z181=0,"3,4,5",VLOOKUP(Z181,{1,3;2,4;3,5},2,0))&amp;",")</f>
        <v/>
      </c>
      <c r="BH181" s="36" t="str">
        <f t="shared" si="142"/>
        <v>6,</v>
      </c>
      <c r="BI181" s="34" t="str">
        <f t="shared" si="143"/>
        <v>1,6</v>
      </c>
      <c r="BJ181" s="34" t="str">
        <f t="shared" si="146"/>
        <v>94,5</v>
      </c>
      <c r="BK181" s="34" t="str">
        <f t="shared" si="144"/>
        <v>0,6,9,14,28,56</v>
      </c>
      <c r="BL181" s="4">
        <f t="shared" si="117"/>
        <v>0</v>
      </c>
      <c r="BM181" s="4">
        <f t="shared" si="118"/>
        <v>6</v>
      </c>
      <c r="BN181" s="4">
        <f t="shared" si="119"/>
        <v>9</v>
      </c>
      <c r="BO181" s="4">
        <f t="shared" si="120"/>
        <v>14</v>
      </c>
      <c r="BP181" s="4">
        <f t="shared" si="121"/>
        <v>28</v>
      </c>
      <c r="BQ181" s="4">
        <f t="shared" si="122"/>
        <v>56</v>
      </c>
      <c r="BR181" s="34" t="str">
        <f t="shared" si="123"/>
        <v>2001,2002,2003,2004,2005,2006</v>
      </c>
      <c r="BS181" s="34" t="str">
        <f t="shared" si="145"/>
        <v>21001,21002,21003,21004,21005,21006</v>
      </c>
      <c r="BT181" s="4">
        <f>VLOOKUP(LOOKUP($Y181,$K$48:$K$55,$L$48:$L$55)&amp;BT$1&amp;$W181,装备额外附加!$M:$O,3,0)</f>
        <v>21001</v>
      </c>
      <c r="BU181" s="4">
        <f>VLOOKUP(LOOKUP($Y181,$K$48:$K$55,$L$48:$L$55)&amp;BU$1&amp;$W181,装备额外附加!$M:$O,3,0)</f>
        <v>21002</v>
      </c>
      <c r="BV181" s="4">
        <f>VLOOKUP(LOOKUP($Y181,$K$48:$K$55,$L$48:$L$55)&amp;BV$1&amp;$W181,装备额外附加!$M:$O,3,0)</f>
        <v>21003</v>
      </c>
      <c r="BW181" s="4">
        <f>VLOOKUP(LOOKUP($Y181,$K$48:$K$55,$L$48:$L$55)&amp;BW$1&amp;$W181,装备额外附加!$M:$O,3,0)</f>
        <v>21004</v>
      </c>
      <c r="BX181" s="4">
        <f>VLOOKUP(LOOKUP($Y181,$K$48:$K$55,$L$48:$L$55)&amp;BX$1&amp;$W181,装备额外附加!$M:$O,3,0)</f>
        <v>21005</v>
      </c>
      <c r="BY181" s="4">
        <f>VLOOKUP(LOOKUP($Y181,$K$48:$K$55,$L$48:$L$55)&amp;BY$1&amp;$W181,装备额外附加!$M:$O,3,0)</f>
        <v>21006</v>
      </c>
    </row>
    <row r="182" spans="18:77">
      <c r="R182" s="4" t="s">
        <v>551</v>
      </c>
      <c r="S182" s="4" t="str">
        <f t="shared" si="124"/>
        <v>104034</v>
      </c>
      <c r="T182" s="4" t="s">
        <v>552</v>
      </c>
      <c r="U182" s="36">
        <v>30</v>
      </c>
      <c r="V182" s="36" t="str">
        <f t="shared" si="125"/>
        <v>腰带</v>
      </c>
      <c r="W182" s="36" t="str">
        <f t="shared" si="126"/>
        <v>护甲</v>
      </c>
      <c r="X182" s="4">
        <f t="shared" si="127"/>
        <v>4</v>
      </c>
      <c r="Y182" s="4">
        <f t="shared" si="128"/>
        <v>38</v>
      </c>
      <c r="Z182" s="4">
        <f t="shared" si="129"/>
        <v>3</v>
      </c>
      <c r="AA182" s="4" t="str">
        <f t="shared" si="130"/>
        <v>64,76,115,192,320,640</v>
      </c>
      <c r="AB182" s="36">
        <f t="shared" si="131"/>
        <v>80</v>
      </c>
      <c r="AC182" s="36">
        <f t="shared" si="153"/>
        <v>64</v>
      </c>
      <c r="AD182" s="36">
        <f t="shared" si="154"/>
        <v>76</v>
      </c>
      <c r="AE182" s="36">
        <f t="shared" si="154"/>
        <v>115</v>
      </c>
      <c r="AF182" s="36">
        <f t="shared" si="154"/>
        <v>192</v>
      </c>
      <c r="AG182" s="36">
        <f t="shared" si="154"/>
        <v>320</v>
      </c>
      <c r="AH182" s="36">
        <f t="shared" si="155"/>
        <v>640</v>
      </c>
      <c r="AJ182" s="4" t="str">
        <f t="shared" si="132"/>
        <v>320,384,576,960,1600,</v>
      </c>
      <c r="AK182" s="36">
        <f t="shared" si="133"/>
        <v>400</v>
      </c>
      <c r="AL182" s="36">
        <f t="shared" si="151"/>
        <v>320</v>
      </c>
      <c r="AM182" s="36">
        <f t="shared" si="151"/>
        <v>384</v>
      </c>
      <c r="AN182" s="36">
        <f t="shared" si="151"/>
        <v>576</v>
      </c>
      <c r="AO182" s="36">
        <f t="shared" si="151"/>
        <v>960</v>
      </c>
      <c r="AP182" s="36">
        <f t="shared" si="151"/>
        <v>1600</v>
      </c>
      <c r="AR182" s="4" t="str">
        <f t="shared" si="134"/>
        <v>25600,30720,46080,76800,128000,</v>
      </c>
      <c r="AS182" s="36">
        <f t="shared" si="135"/>
        <v>32000</v>
      </c>
      <c r="AT182" s="36">
        <f t="shared" si="152"/>
        <v>25600</v>
      </c>
      <c r="AU182" s="36">
        <f t="shared" si="152"/>
        <v>30720</v>
      </c>
      <c r="AV182" s="36">
        <f t="shared" si="152"/>
        <v>46080</v>
      </c>
      <c r="AW182" s="36">
        <f t="shared" si="152"/>
        <v>76800</v>
      </c>
      <c r="AX182" s="36">
        <f t="shared" si="152"/>
        <v>128000</v>
      </c>
      <c r="AZ182" s="4">
        <f t="shared" si="136"/>
        <v>47</v>
      </c>
      <c r="BA182" s="4">
        <f t="shared" si="137"/>
        <v>0</v>
      </c>
      <c r="BB182" s="4">
        <f t="shared" si="138"/>
        <v>4</v>
      </c>
      <c r="BC182" s="35" t="str">
        <f t="shared" si="139"/>
        <v>47,</v>
      </c>
      <c r="BD182" s="35" t="str">
        <f t="shared" si="116"/>
        <v/>
      </c>
      <c r="BE182" s="35" t="str">
        <f t="shared" si="140"/>
        <v>4,</v>
      </c>
      <c r="BF182" s="36" t="str">
        <f t="shared" si="141"/>
        <v>1,</v>
      </c>
      <c r="BG182" s="36" t="str">
        <f>IF(BA182=0,"",IF(Z182=0,"3,4,5",VLOOKUP(Z182,{1,3;2,4;3,5},2,0))&amp;",")</f>
        <v/>
      </c>
      <c r="BH182" s="36" t="str">
        <f t="shared" si="142"/>
        <v>6,</v>
      </c>
      <c r="BI182" s="34" t="str">
        <f t="shared" si="143"/>
        <v>1,6</v>
      </c>
      <c r="BJ182" s="34" t="str">
        <f t="shared" si="146"/>
        <v>47,4</v>
      </c>
      <c r="BK182" s="34" t="str">
        <f t="shared" si="144"/>
        <v>0,6,9,14,28,56</v>
      </c>
      <c r="BL182" s="4">
        <f t="shared" si="117"/>
        <v>0</v>
      </c>
      <c r="BM182" s="4">
        <f t="shared" si="118"/>
        <v>6</v>
      </c>
      <c r="BN182" s="4">
        <f t="shared" si="119"/>
        <v>9</v>
      </c>
      <c r="BO182" s="4">
        <f t="shared" si="120"/>
        <v>14</v>
      </c>
      <c r="BP182" s="4">
        <f t="shared" si="121"/>
        <v>28</v>
      </c>
      <c r="BQ182" s="4">
        <f t="shared" si="122"/>
        <v>56</v>
      </c>
      <c r="BR182" s="34" t="str">
        <f t="shared" si="123"/>
        <v>2001,2002,2003,2004,2005,2006</v>
      </c>
      <c r="BS182" s="34" t="str">
        <f t="shared" si="145"/>
        <v>21001,21002,21003,21004,21005,21006</v>
      </c>
      <c r="BT182" s="4">
        <f>VLOOKUP(LOOKUP($Y182,$K$48:$K$55,$L$48:$L$55)&amp;BT$1&amp;$W182,装备额外附加!$M:$O,3,0)</f>
        <v>21001</v>
      </c>
      <c r="BU182" s="4">
        <f>VLOOKUP(LOOKUP($Y182,$K$48:$K$55,$L$48:$L$55)&amp;BU$1&amp;$W182,装备额外附加!$M:$O,3,0)</f>
        <v>21002</v>
      </c>
      <c r="BV182" s="4">
        <f>VLOOKUP(LOOKUP($Y182,$K$48:$K$55,$L$48:$L$55)&amp;BV$1&amp;$W182,装备额外附加!$M:$O,3,0)</f>
        <v>21003</v>
      </c>
      <c r="BW182" s="4">
        <f>VLOOKUP(LOOKUP($Y182,$K$48:$K$55,$L$48:$L$55)&amp;BW$1&amp;$W182,装备额外附加!$M:$O,3,0)</f>
        <v>21004</v>
      </c>
      <c r="BX182" s="4">
        <f>VLOOKUP(LOOKUP($Y182,$K$48:$K$55,$L$48:$L$55)&amp;BX$1&amp;$W182,装备额外附加!$M:$O,3,0)</f>
        <v>21005</v>
      </c>
      <c r="BY182" s="4">
        <f>VLOOKUP(LOOKUP($Y182,$K$48:$K$55,$L$48:$L$55)&amp;BY$1&amp;$W182,装备额外附加!$M:$O,3,0)</f>
        <v>21006</v>
      </c>
    </row>
    <row r="183" spans="18:77">
      <c r="R183" s="4" t="s">
        <v>553</v>
      </c>
      <c r="S183" s="4" t="str">
        <f t="shared" si="124"/>
        <v>104035</v>
      </c>
      <c r="T183" s="4" t="s">
        <v>554</v>
      </c>
      <c r="U183" s="36">
        <v>30</v>
      </c>
      <c r="V183" s="36" t="str">
        <f t="shared" si="125"/>
        <v>鞋子</v>
      </c>
      <c r="W183" s="36" t="str">
        <f t="shared" si="126"/>
        <v>护甲</v>
      </c>
      <c r="X183" s="4">
        <f t="shared" si="127"/>
        <v>5</v>
      </c>
      <c r="Y183" s="4">
        <f t="shared" si="128"/>
        <v>32</v>
      </c>
      <c r="Z183" s="4">
        <f t="shared" si="129"/>
        <v>3</v>
      </c>
      <c r="AA183" s="4" t="str">
        <f t="shared" si="130"/>
        <v>64,76,115,192,320,640</v>
      </c>
      <c r="AB183" s="36">
        <f t="shared" si="131"/>
        <v>80</v>
      </c>
      <c r="AC183" s="36">
        <f t="shared" si="153"/>
        <v>64</v>
      </c>
      <c r="AD183" s="36">
        <f t="shared" si="154"/>
        <v>76</v>
      </c>
      <c r="AE183" s="36">
        <f t="shared" si="154"/>
        <v>115</v>
      </c>
      <c r="AF183" s="36">
        <f t="shared" si="154"/>
        <v>192</v>
      </c>
      <c r="AG183" s="36">
        <f t="shared" si="154"/>
        <v>320</v>
      </c>
      <c r="AH183" s="36">
        <f t="shared" si="155"/>
        <v>640</v>
      </c>
      <c r="AJ183" s="4" t="str">
        <f t="shared" si="132"/>
        <v>320,384,576,960,1600,</v>
      </c>
      <c r="AK183" s="36">
        <f t="shared" si="133"/>
        <v>400</v>
      </c>
      <c r="AL183" s="36">
        <f t="shared" si="151"/>
        <v>320</v>
      </c>
      <c r="AM183" s="36">
        <f t="shared" si="151"/>
        <v>384</v>
      </c>
      <c r="AN183" s="36">
        <f t="shared" si="151"/>
        <v>576</v>
      </c>
      <c r="AO183" s="36">
        <f t="shared" si="151"/>
        <v>960</v>
      </c>
      <c r="AP183" s="36">
        <f t="shared" si="151"/>
        <v>1600</v>
      </c>
      <c r="AR183" s="4" t="str">
        <f t="shared" si="134"/>
        <v>25600,30720,46080,76800,128000,</v>
      </c>
      <c r="AS183" s="36">
        <f t="shared" si="135"/>
        <v>32000</v>
      </c>
      <c r="AT183" s="36">
        <f t="shared" si="152"/>
        <v>25600</v>
      </c>
      <c r="AU183" s="36">
        <f t="shared" si="152"/>
        <v>30720</v>
      </c>
      <c r="AV183" s="36">
        <f t="shared" si="152"/>
        <v>46080</v>
      </c>
      <c r="AW183" s="36">
        <f t="shared" si="152"/>
        <v>76800</v>
      </c>
      <c r="AX183" s="36">
        <f t="shared" si="152"/>
        <v>128000</v>
      </c>
      <c r="AZ183" s="4">
        <f t="shared" si="136"/>
        <v>47</v>
      </c>
      <c r="BA183" s="4">
        <f t="shared" si="137"/>
        <v>0</v>
      </c>
      <c r="BB183" s="4">
        <f t="shared" si="138"/>
        <v>4</v>
      </c>
      <c r="BC183" s="35" t="str">
        <f t="shared" si="139"/>
        <v>47,</v>
      </c>
      <c r="BD183" s="35" t="str">
        <f t="shared" si="116"/>
        <v/>
      </c>
      <c r="BE183" s="35" t="str">
        <f t="shared" si="140"/>
        <v>4,</v>
      </c>
      <c r="BF183" s="36" t="str">
        <f t="shared" si="141"/>
        <v>1,</v>
      </c>
      <c r="BG183" s="36" t="str">
        <f>IF(BA183=0,"",IF(Z183=0,"3,4,5",VLOOKUP(Z183,{1,3;2,4;3,5},2,0))&amp;",")</f>
        <v/>
      </c>
      <c r="BH183" s="36" t="str">
        <f t="shared" si="142"/>
        <v>6,</v>
      </c>
      <c r="BI183" s="34" t="str">
        <f t="shared" si="143"/>
        <v>1,6</v>
      </c>
      <c r="BJ183" s="34" t="str">
        <f t="shared" si="146"/>
        <v>47,4</v>
      </c>
      <c r="BK183" s="34" t="str">
        <f t="shared" si="144"/>
        <v>0,6,9,14,28,56</v>
      </c>
      <c r="BL183" s="4">
        <f t="shared" si="117"/>
        <v>0</v>
      </c>
      <c r="BM183" s="4">
        <f t="shared" si="118"/>
        <v>6</v>
      </c>
      <c r="BN183" s="4">
        <f t="shared" si="119"/>
        <v>9</v>
      </c>
      <c r="BO183" s="4">
        <f t="shared" si="120"/>
        <v>14</v>
      </c>
      <c r="BP183" s="4">
        <f t="shared" si="121"/>
        <v>28</v>
      </c>
      <c r="BQ183" s="4">
        <f t="shared" si="122"/>
        <v>56</v>
      </c>
      <c r="BR183" s="34" t="str">
        <f t="shared" si="123"/>
        <v>2001,2002,2003,2004,2005,2006</v>
      </c>
      <c r="BS183" s="34" t="str">
        <f t="shared" si="145"/>
        <v>21001,21002,21003,21004,21005,21006</v>
      </c>
      <c r="BT183" s="4">
        <f>VLOOKUP(LOOKUP($Y183,$K$48:$K$55,$L$48:$L$55)&amp;BT$1&amp;$W183,装备额外附加!$M:$O,3,0)</f>
        <v>21001</v>
      </c>
      <c r="BU183" s="4">
        <f>VLOOKUP(LOOKUP($Y183,$K$48:$K$55,$L$48:$L$55)&amp;BU$1&amp;$W183,装备额外附加!$M:$O,3,0)</f>
        <v>21002</v>
      </c>
      <c r="BV183" s="4">
        <f>VLOOKUP(LOOKUP($Y183,$K$48:$K$55,$L$48:$L$55)&amp;BV$1&amp;$W183,装备额外附加!$M:$O,3,0)</f>
        <v>21003</v>
      </c>
      <c r="BW183" s="4">
        <f>VLOOKUP(LOOKUP($Y183,$K$48:$K$55,$L$48:$L$55)&amp;BW$1&amp;$W183,装备额外附加!$M:$O,3,0)</f>
        <v>21004</v>
      </c>
      <c r="BX183" s="4">
        <f>VLOOKUP(LOOKUP($Y183,$K$48:$K$55,$L$48:$L$55)&amp;BX$1&amp;$W183,装备额外附加!$M:$O,3,0)</f>
        <v>21005</v>
      </c>
      <c r="BY183" s="4">
        <f>VLOOKUP(LOOKUP($Y183,$K$48:$K$55,$L$48:$L$55)&amp;BY$1&amp;$W183,装备额外附加!$M:$O,3,0)</f>
        <v>21006</v>
      </c>
    </row>
    <row r="184" spans="18:77">
      <c r="R184" s="4" t="s">
        <v>555</v>
      </c>
      <c r="S184" s="4" t="str">
        <f t="shared" si="124"/>
        <v>105031</v>
      </c>
      <c r="T184" s="4" t="s">
        <v>556</v>
      </c>
      <c r="U184" s="36">
        <v>40</v>
      </c>
      <c r="V184" s="36" t="str">
        <f t="shared" si="125"/>
        <v>武器</v>
      </c>
      <c r="W184" s="36" t="str">
        <f t="shared" si="126"/>
        <v>武器</v>
      </c>
      <c r="X184" s="4">
        <f t="shared" si="127"/>
        <v>1</v>
      </c>
      <c r="Y184" s="4">
        <f t="shared" si="128"/>
        <v>41</v>
      </c>
      <c r="Z184" s="4">
        <f t="shared" si="129"/>
        <v>3</v>
      </c>
      <c r="AA184" s="4" t="str">
        <f t="shared" si="130"/>
        <v>100,120,180,300,500,1000</v>
      </c>
      <c r="AB184" s="36">
        <f t="shared" si="131"/>
        <v>100</v>
      </c>
      <c r="AC184" s="36">
        <f t="shared" si="153"/>
        <v>100</v>
      </c>
      <c r="AD184" s="36">
        <f t="shared" si="154"/>
        <v>120</v>
      </c>
      <c r="AE184" s="36">
        <f t="shared" si="154"/>
        <v>180</v>
      </c>
      <c r="AF184" s="36">
        <f t="shared" si="154"/>
        <v>300</v>
      </c>
      <c r="AG184" s="36">
        <f t="shared" si="154"/>
        <v>500</v>
      </c>
      <c r="AH184" s="36">
        <f t="shared" si="155"/>
        <v>1000</v>
      </c>
      <c r="AJ184" s="4" t="str">
        <f t="shared" si="132"/>
        <v>500,600,900,1500,2500,</v>
      </c>
      <c r="AK184" s="36">
        <f t="shared" si="133"/>
        <v>500</v>
      </c>
      <c r="AL184" s="36">
        <f t="shared" si="151"/>
        <v>500</v>
      </c>
      <c r="AM184" s="36">
        <f t="shared" si="151"/>
        <v>600</v>
      </c>
      <c r="AN184" s="36">
        <f t="shared" si="151"/>
        <v>900</v>
      </c>
      <c r="AO184" s="36">
        <f t="shared" si="151"/>
        <v>1500</v>
      </c>
      <c r="AP184" s="36">
        <f t="shared" si="151"/>
        <v>2500</v>
      </c>
      <c r="AR184" s="4" t="str">
        <f t="shared" si="134"/>
        <v>40000,48000,72000,120000,200000,</v>
      </c>
      <c r="AS184" s="36">
        <f t="shared" si="135"/>
        <v>40000</v>
      </c>
      <c r="AT184" s="36">
        <f t="shared" si="152"/>
        <v>40000</v>
      </c>
      <c r="AU184" s="36">
        <f t="shared" si="152"/>
        <v>48000</v>
      </c>
      <c r="AV184" s="36">
        <f t="shared" si="152"/>
        <v>72000</v>
      </c>
      <c r="AW184" s="36">
        <f t="shared" si="152"/>
        <v>120000</v>
      </c>
      <c r="AX184" s="36">
        <f t="shared" si="152"/>
        <v>200000</v>
      </c>
      <c r="AZ184" s="4">
        <f t="shared" si="136"/>
        <v>0</v>
      </c>
      <c r="BA184" s="4">
        <f t="shared" si="137"/>
        <v>17</v>
      </c>
      <c r="BB184" s="4">
        <f t="shared" si="138"/>
        <v>0</v>
      </c>
      <c r="BC184" s="35" t="str">
        <f t="shared" si="139"/>
        <v/>
      </c>
      <c r="BD184" s="35" t="str">
        <f t="shared" si="116"/>
        <v>37,</v>
      </c>
      <c r="BE184" s="35" t="str">
        <f t="shared" si="140"/>
        <v/>
      </c>
      <c r="BF184" s="36" t="str">
        <f t="shared" si="141"/>
        <v/>
      </c>
      <c r="BG184" s="36" t="str">
        <f>IF(BA184=0,"",IF(Z184=0,"3,4,5",VLOOKUP(Z184,{1,3;2,4;3,5},2,0))&amp;",")</f>
        <v>5,</v>
      </c>
      <c r="BH184" s="36" t="str">
        <f t="shared" si="142"/>
        <v/>
      </c>
      <c r="BI184" s="34" t="str">
        <f t="shared" si="143"/>
        <v>5</v>
      </c>
      <c r="BJ184" s="34" t="str">
        <f t="shared" si="146"/>
        <v>37</v>
      </c>
      <c r="BK184" s="34" t="str">
        <f t="shared" si="144"/>
        <v>0,12,18,28,57,115</v>
      </c>
      <c r="BL184" s="4">
        <f t="shared" si="117"/>
        <v>0</v>
      </c>
      <c r="BM184" s="4">
        <f t="shared" si="118"/>
        <v>12</v>
      </c>
      <c r="BN184" s="4">
        <f t="shared" si="119"/>
        <v>18</v>
      </c>
      <c r="BO184" s="4">
        <f t="shared" si="120"/>
        <v>28</v>
      </c>
      <c r="BP184" s="4">
        <f t="shared" si="121"/>
        <v>57</v>
      </c>
      <c r="BQ184" s="4">
        <f t="shared" si="122"/>
        <v>115</v>
      </c>
      <c r="BR184" s="34" t="str">
        <f t="shared" si="123"/>
        <v>1001,1002,1003,1004,1005,1006</v>
      </c>
      <c r="BS184" s="34" t="str">
        <f t="shared" si="145"/>
        <v>12001,12002,12003,12004,12005,12006</v>
      </c>
      <c r="BT184" s="4">
        <f>VLOOKUP(LOOKUP($Y184,$K$48:$K$55,$L$48:$L$55)&amp;BT$1&amp;$W184,装备额外附加!$M:$O,3,0)</f>
        <v>12001</v>
      </c>
      <c r="BU184" s="4">
        <f>VLOOKUP(LOOKUP($Y184,$K$48:$K$55,$L$48:$L$55)&amp;BU$1&amp;$W184,装备额外附加!$M:$O,3,0)</f>
        <v>12002</v>
      </c>
      <c r="BV184" s="4">
        <f>VLOOKUP(LOOKUP($Y184,$K$48:$K$55,$L$48:$L$55)&amp;BV$1&amp;$W184,装备额外附加!$M:$O,3,0)</f>
        <v>12003</v>
      </c>
      <c r="BW184" s="4">
        <f>VLOOKUP(LOOKUP($Y184,$K$48:$K$55,$L$48:$L$55)&amp;BW$1&amp;$W184,装备额外附加!$M:$O,3,0)</f>
        <v>12004</v>
      </c>
      <c r="BX184" s="4">
        <f>VLOOKUP(LOOKUP($Y184,$K$48:$K$55,$L$48:$L$55)&amp;BX$1&amp;$W184,装备额外附加!$M:$O,3,0)</f>
        <v>12005</v>
      </c>
      <c r="BY184" s="4">
        <f>VLOOKUP(LOOKUP($Y184,$K$48:$K$55,$L$48:$L$55)&amp;BY$1&amp;$W184,装备额外附加!$M:$O,3,0)</f>
        <v>12006</v>
      </c>
    </row>
    <row r="185" spans="18:77">
      <c r="R185" s="4" t="s">
        <v>557</v>
      </c>
      <c r="S185" s="4" t="str">
        <f t="shared" si="124"/>
        <v>105032</v>
      </c>
      <c r="T185" s="4" t="s">
        <v>558</v>
      </c>
      <c r="U185" s="36">
        <v>40</v>
      </c>
      <c r="V185" s="36" t="str">
        <f t="shared" si="125"/>
        <v>头盔</v>
      </c>
      <c r="W185" s="36" t="str">
        <f t="shared" si="126"/>
        <v>护甲</v>
      </c>
      <c r="X185" s="4">
        <f t="shared" si="127"/>
        <v>2</v>
      </c>
      <c r="Y185" s="4">
        <f t="shared" si="128"/>
        <v>47</v>
      </c>
      <c r="Z185" s="4">
        <f t="shared" si="129"/>
        <v>3</v>
      </c>
      <c r="AA185" s="4" t="str">
        <f t="shared" si="130"/>
        <v>90,108,162,270,450,900</v>
      </c>
      <c r="AB185" s="36">
        <f t="shared" si="131"/>
        <v>100</v>
      </c>
      <c r="AC185" s="36">
        <f t="shared" si="153"/>
        <v>90</v>
      </c>
      <c r="AD185" s="36">
        <f t="shared" si="154"/>
        <v>108</v>
      </c>
      <c r="AE185" s="36">
        <f t="shared" si="154"/>
        <v>162</v>
      </c>
      <c r="AF185" s="36">
        <f t="shared" si="154"/>
        <v>270</v>
      </c>
      <c r="AG185" s="36">
        <f t="shared" si="154"/>
        <v>450</v>
      </c>
      <c r="AH185" s="36">
        <f t="shared" si="155"/>
        <v>900</v>
      </c>
      <c r="AJ185" s="4" t="str">
        <f t="shared" si="132"/>
        <v>450,540,810,1350,2250,</v>
      </c>
      <c r="AK185" s="36">
        <f t="shared" si="133"/>
        <v>500</v>
      </c>
      <c r="AL185" s="36">
        <f t="shared" si="151"/>
        <v>450</v>
      </c>
      <c r="AM185" s="36">
        <f t="shared" si="151"/>
        <v>540</v>
      </c>
      <c r="AN185" s="36">
        <f t="shared" si="151"/>
        <v>810</v>
      </c>
      <c r="AO185" s="36">
        <f t="shared" si="151"/>
        <v>1350</v>
      </c>
      <c r="AP185" s="36">
        <f t="shared" si="151"/>
        <v>2250</v>
      </c>
      <c r="AR185" s="4" t="str">
        <f t="shared" si="134"/>
        <v>36000,43200,64800,108000,180000,</v>
      </c>
      <c r="AS185" s="36">
        <f t="shared" si="135"/>
        <v>40000</v>
      </c>
      <c r="AT185" s="36">
        <f t="shared" si="152"/>
        <v>36000</v>
      </c>
      <c r="AU185" s="36">
        <f t="shared" si="152"/>
        <v>43200</v>
      </c>
      <c r="AV185" s="36">
        <f t="shared" si="152"/>
        <v>64800</v>
      </c>
      <c r="AW185" s="36">
        <f t="shared" si="152"/>
        <v>108000</v>
      </c>
      <c r="AX185" s="36">
        <f t="shared" si="152"/>
        <v>180000</v>
      </c>
      <c r="AZ185" s="4">
        <f t="shared" si="136"/>
        <v>0</v>
      </c>
      <c r="BA185" s="4">
        <f t="shared" si="137"/>
        <v>8</v>
      </c>
      <c r="BB185" s="4">
        <f t="shared" si="138"/>
        <v>7</v>
      </c>
      <c r="BC185" s="35" t="str">
        <f t="shared" si="139"/>
        <v/>
      </c>
      <c r="BD185" s="35" t="str">
        <f t="shared" si="116"/>
        <v>17,</v>
      </c>
      <c r="BE185" s="35" t="str">
        <f t="shared" si="140"/>
        <v>7,</v>
      </c>
      <c r="BF185" s="36" t="str">
        <f t="shared" si="141"/>
        <v/>
      </c>
      <c r="BG185" s="36" t="str">
        <f>IF(BA185=0,"",IF(Z185=0,"3,4,5",VLOOKUP(Z185,{1,3;2,4;3,5},2,0))&amp;",")</f>
        <v>5,</v>
      </c>
      <c r="BH185" s="36" t="str">
        <f t="shared" si="142"/>
        <v>6,</v>
      </c>
      <c r="BI185" s="34" t="str">
        <f t="shared" si="143"/>
        <v>5,6</v>
      </c>
      <c r="BJ185" s="34" t="str">
        <f t="shared" si="146"/>
        <v>17,7</v>
      </c>
      <c r="BK185" s="34" t="str">
        <f t="shared" si="144"/>
        <v>0,8,12,19,38,77</v>
      </c>
      <c r="BL185" s="4">
        <f t="shared" si="117"/>
        <v>0</v>
      </c>
      <c r="BM185" s="4">
        <f t="shared" si="118"/>
        <v>8</v>
      </c>
      <c r="BN185" s="4">
        <f t="shared" si="119"/>
        <v>12</v>
      </c>
      <c r="BO185" s="4">
        <f t="shared" si="120"/>
        <v>19</v>
      </c>
      <c r="BP185" s="4">
        <f t="shared" si="121"/>
        <v>38</v>
      </c>
      <c r="BQ185" s="4">
        <f t="shared" si="122"/>
        <v>77</v>
      </c>
      <c r="BR185" s="34" t="str">
        <f t="shared" si="123"/>
        <v>2001,2002,2003,2004,2005,2006</v>
      </c>
      <c r="BS185" s="34" t="str">
        <f t="shared" si="145"/>
        <v>22001,22002,22003,22004,22005,22006</v>
      </c>
      <c r="BT185" s="4">
        <f>VLOOKUP(LOOKUP($Y185,$K$48:$K$55,$L$48:$L$55)&amp;BT$1&amp;$W185,装备额外附加!$M:$O,3,0)</f>
        <v>22001</v>
      </c>
      <c r="BU185" s="4">
        <f>VLOOKUP(LOOKUP($Y185,$K$48:$K$55,$L$48:$L$55)&amp;BU$1&amp;$W185,装备额外附加!$M:$O,3,0)</f>
        <v>22002</v>
      </c>
      <c r="BV185" s="4">
        <f>VLOOKUP(LOOKUP($Y185,$K$48:$K$55,$L$48:$L$55)&amp;BV$1&amp;$W185,装备额外附加!$M:$O,3,0)</f>
        <v>22003</v>
      </c>
      <c r="BW185" s="4">
        <f>VLOOKUP(LOOKUP($Y185,$K$48:$K$55,$L$48:$L$55)&amp;BW$1&amp;$W185,装备额外附加!$M:$O,3,0)</f>
        <v>22004</v>
      </c>
      <c r="BX185" s="4">
        <f>VLOOKUP(LOOKUP($Y185,$K$48:$K$55,$L$48:$L$55)&amp;BX$1&amp;$W185,装备额外附加!$M:$O,3,0)</f>
        <v>22005</v>
      </c>
      <c r="BY185" s="4">
        <f>VLOOKUP(LOOKUP($Y185,$K$48:$K$55,$L$48:$L$55)&amp;BY$1&amp;$W185,装备额外附加!$M:$O,3,0)</f>
        <v>22006</v>
      </c>
    </row>
    <row r="186" spans="18:77">
      <c r="R186" s="4" t="s">
        <v>559</v>
      </c>
      <c r="S186" s="4" t="str">
        <f t="shared" si="124"/>
        <v>105033</v>
      </c>
      <c r="T186" s="4" t="s">
        <v>560</v>
      </c>
      <c r="U186" s="36">
        <v>40</v>
      </c>
      <c r="V186" s="36" t="str">
        <f t="shared" si="125"/>
        <v>衣服</v>
      </c>
      <c r="W186" s="36" t="str">
        <f t="shared" si="126"/>
        <v>护甲</v>
      </c>
      <c r="X186" s="4">
        <f t="shared" si="127"/>
        <v>3</v>
      </c>
      <c r="Y186" s="4">
        <f t="shared" si="128"/>
        <v>45</v>
      </c>
      <c r="Z186" s="4">
        <f t="shared" si="129"/>
        <v>3</v>
      </c>
      <c r="AA186" s="4" t="str">
        <f t="shared" si="130"/>
        <v>90,108,162,270,450,900</v>
      </c>
      <c r="AB186" s="36">
        <f t="shared" si="131"/>
        <v>100</v>
      </c>
      <c r="AC186" s="36">
        <f t="shared" si="153"/>
        <v>90</v>
      </c>
      <c r="AD186" s="36">
        <f t="shared" si="154"/>
        <v>108</v>
      </c>
      <c r="AE186" s="36">
        <f t="shared" si="154"/>
        <v>162</v>
      </c>
      <c r="AF186" s="36">
        <f t="shared" si="154"/>
        <v>270</v>
      </c>
      <c r="AG186" s="36">
        <f t="shared" si="154"/>
        <v>450</v>
      </c>
      <c r="AH186" s="36">
        <f t="shared" si="155"/>
        <v>900</v>
      </c>
      <c r="AJ186" s="4" t="str">
        <f t="shared" si="132"/>
        <v>450,540,810,1350,2250,</v>
      </c>
      <c r="AK186" s="36">
        <f t="shared" si="133"/>
        <v>500</v>
      </c>
      <c r="AL186" s="36">
        <f t="shared" si="151"/>
        <v>450</v>
      </c>
      <c r="AM186" s="36">
        <f t="shared" si="151"/>
        <v>540</v>
      </c>
      <c r="AN186" s="36">
        <f t="shared" si="151"/>
        <v>810</v>
      </c>
      <c r="AO186" s="36">
        <f t="shared" si="151"/>
        <v>1350</v>
      </c>
      <c r="AP186" s="36">
        <f t="shared" si="151"/>
        <v>2250</v>
      </c>
      <c r="AR186" s="4" t="str">
        <f t="shared" si="134"/>
        <v>36000,43200,64800,108000,180000,</v>
      </c>
      <c r="AS186" s="36">
        <f t="shared" si="135"/>
        <v>40000</v>
      </c>
      <c r="AT186" s="36">
        <f t="shared" si="152"/>
        <v>36000</v>
      </c>
      <c r="AU186" s="36">
        <f t="shared" si="152"/>
        <v>43200</v>
      </c>
      <c r="AV186" s="36">
        <f t="shared" si="152"/>
        <v>64800</v>
      </c>
      <c r="AW186" s="36">
        <f t="shared" si="152"/>
        <v>108000</v>
      </c>
      <c r="AX186" s="36">
        <f t="shared" si="152"/>
        <v>180000</v>
      </c>
      <c r="AZ186" s="4">
        <f t="shared" si="136"/>
        <v>129</v>
      </c>
      <c r="BA186" s="4">
        <f t="shared" si="137"/>
        <v>0</v>
      </c>
      <c r="BB186" s="4">
        <f t="shared" si="138"/>
        <v>7</v>
      </c>
      <c r="BC186" s="35" t="str">
        <f t="shared" si="139"/>
        <v>129,</v>
      </c>
      <c r="BD186" s="35" t="str">
        <f t="shared" si="116"/>
        <v/>
      </c>
      <c r="BE186" s="35" t="str">
        <f t="shared" si="140"/>
        <v>7,</v>
      </c>
      <c r="BF186" s="36" t="str">
        <f t="shared" si="141"/>
        <v>1,</v>
      </c>
      <c r="BG186" s="36" t="str">
        <f>IF(BA186=0,"",IF(Z186=0,"3,4,5",VLOOKUP(Z186,{1,3;2,4;3,5},2,0))&amp;",")</f>
        <v/>
      </c>
      <c r="BH186" s="36" t="str">
        <f t="shared" si="142"/>
        <v>6,</v>
      </c>
      <c r="BI186" s="34" t="str">
        <f t="shared" si="143"/>
        <v>1,6</v>
      </c>
      <c r="BJ186" s="34" t="str">
        <f t="shared" si="146"/>
        <v>129,7</v>
      </c>
      <c r="BK186" s="34" t="str">
        <f t="shared" si="144"/>
        <v>0,8,12,19,38,77</v>
      </c>
      <c r="BL186" s="4">
        <f t="shared" si="117"/>
        <v>0</v>
      </c>
      <c r="BM186" s="4">
        <f t="shared" si="118"/>
        <v>8</v>
      </c>
      <c r="BN186" s="4">
        <f t="shared" si="119"/>
        <v>12</v>
      </c>
      <c r="BO186" s="4">
        <f t="shared" si="120"/>
        <v>19</v>
      </c>
      <c r="BP186" s="4">
        <f t="shared" si="121"/>
        <v>38</v>
      </c>
      <c r="BQ186" s="4">
        <f t="shared" si="122"/>
        <v>77</v>
      </c>
      <c r="BR186" s="34" t="str">
        <f t="shared" si="123"/>
        <v>2001,2002,2003,2004,2005,2006</v>
      </c>
      <c r="BS186" s="34" t="str">
        <f t="shared" si="145"/>
        <v>22001,22002,22003,22004,22005,22006</v>
      </c>
      <c r="BT186" s="4">
        <f>VLOOKUP(LOOKUP($Y186,$K$48:$K$55,$L$48:$L$55)&amp;BT$1&amp;$W186,装备额外附加!$M:$O,3,0)</f>
        <v>22001</v>
      </c>
      <c r="BU186" s="4">
        <f>VLOOKUP(LOOKUP($Y186,$K$48:$K$55,$L$48:$L$55)&amp;BU$1&amp;$W186,装备额外附加!$M:$O,3,0)</f>
        <v>22002</v>
      </c>
      <c r="BV186" s="4">
        <f>VLOOKUP(LOOKUP($Y186,$K$48:$K$55,$L$48:$L$55)&amp;BV$1&amp;$W186,装备额外附加!$M:$O,3,0)</f>
        <v>22003</v>
      </c>
      <c r="BW186" s="4">
        <f>VLOOKUP(LOOKUP($Y186,$K$48:$K$55,$L$48:$L$55)&amp;BW$1&amp;$W186,装备额外附加!$M:$O,3,0)</f>
        <v>22004</v>
      </c>
      <c r="BX186" s="4">
        <f>VLOOKUP(LOOKUP($Y186,$K$48:$K$55,$L$48:$L$55)&amp;BX$1&amp;$W186,装备额外附加!$M:$O,3,0)</f>
        <v>22005</v>
      </c>
      <c r="BY186" s="4">
        <f>VLOOKUP(LOOKUP($Y186,$K$48:$K$55,$L$48:$L$55)&amp;BY$1&amp;$W186,装备额外附加!$M:$O,3,0)</f>
        <v>22006</v>
      </c>
    </row>
    <row r="187" spans="18:77">
      <c r="R187" s="4" t="s">
        <v>561</v>
      </c>
      <c r="S187" s="4" t="str">
        <f t="shared" si="124"/>
        <v>105034</v>
      </c>
      <c r="T187" s="4" t="s">
        <v>562</v>
      </c>
      <c r="U187" s="36">
        <v>40</v>
      </c>
      <c r="V187" s="36" t="str">
        <f t="shared" si="125"/>
        <v>腰带</v>
      </c>
      <c r="W187" s="36" t="str">
        <f t="shared" si="126"/>
        <v>护甲</v>
      </c>
      <c r="X187" s="4">
        <f t="shared" si="127"/>
        <v>4</v>
      </c>
      <c r="Y187" s="4">
        <f t="shared" si="128"/>
        <v>48</v>
      </c>
      <c r="Z187" s="4">
        <f t="shared" si="129"/>
        <v>3</v>
      </c>
      <c r="AA187" s="4" t="str">
        <f t="shared" si="130"/>
        <v>80,96,144,240,400,800</v>
      </c>
      <c r="AB187" s="36">
        <f t="shared" si="131"/>
        <v>100</v>
      </c>
      <c r="AC187" s="36">
        <f t="shared" si="153"/>
        <v>80</v>
      </c>
      <c r="AD187" s="36">
        <f t="shared" si="154"/>
        <v>96</v>
      </c>
      <c r="AE187" s="36">
        <f t="shared" si="154"/>
        <v>144</v>
      </c>
      <c r="AF187" s="36">
        <f t="shared" si="154"/>
        <v>240</v>
      </c>
      <c r="AG187" s="36">
        <f t="shared" si="154"/>
        <v>400</v>
      </c>
      <c r="AH187" s="36">
        <f t="shared" si="155"/>
        <v>800</v>
      </c>
      <c r="AJ187" s="4" t="str">
        <f t="shared" si="132"/>
        <v>400,480,720,1200,2000,</v>
      </c>
      <c r="AK187" s="36">
        <f t="shared" si="133"/>
        <v>500</v>
      </c>
      <c r="AL187" s="36">
        <f t="shared" si="151"/>
        <v>400</v>
      </c>
      <c r="AM187" s="36">
        <f t="shared" si="151"/>
        <v>480</v>
      </c>
      <c r="AN187" s="36">
        <f t="shared" si="151"/>
        <v>720</v>
      </c>
      <c r="AO187" s="36">
        <f t="shared" si="151"/>
        <v>1200</v>
      </c>
      <c r="AP187" s="36">
        <f t="shared" si="151"/>
        <v>2000</v>
      </c>
      <c r="AR187" s="4" t="str">
        <f t="shared" si="134"/>
        <v>32000,38400,57600,96000,160000,</v>
      </c>
      <c r="AS187" s="36">
        <f t="shared" si="135"/>
        <v>40000</v>
      </c>
      <c r="AT187" s="36">
        <f t="shared" si="152"/>
        <v>32000</v>
      </c>
      <c r="AU187" s="36">
        <f t="shared" si="152"/>
        <v>38400</v>
      </c>
      <c r="AV187" s="36">
        <f t="shared" si="152"/>
        <v>57600</v>
      </c>
      <c r="AW187" s="36">
        <f t="shared" si="152"/>
        <v>96000</v>
      </c>
      <c r="AX187" s="36">
        <f t="shared" si="152"/>
        <v>160000</v>
      </c>
      <c r="AZ187" s="4">
        <f t="shared" si="136"/>
        <v>64</v>
      </c>
      <c r="BA187" s="4">
        <f t="shared" si="137"/>
        <v>0</v>
      </c>
      <c r="BB187" s="4">
        <f t="shared" si="138"/>
        <v>5</v>
      </c>
      <c r="BC187" s="35" t="str">
        <f t="shared" si="139"/>
        <v>64,</v>
      </c>
      <c r="BD187" s="35" t="str">
        <f t="shared" si="116"/>
        <v/>
      </c>
      <c r="BE187" s="35" t="str">
        <f t="shared" si="140"/>
        <v>5,</v>
      </c>
      <c r="BF187" s="36" t="str">
        <f t="shared" si="141"/>
        <v>1,</v>
      </c>
      <c r="BG187" s="36" t="str">
        <f>IF(BA187=0,"",IF(Z187=0,"3,4,5",VLOOKUP(Z187,{1,3;2,4;3,5},2,0))&amp;",")</f>
        <v/>
      </c>
      <c r="BH187" s="36" t="str">
        <f t="shared" si="142"/>
        <v>6,</v>
      </c>
      <c r="BI187" s="34" t="str">
        <f t="shared" si="143"/>
        <v>1,6</v>
      </c>
      <c r="BJ187" s="34" t="str">
        <f t="shared" si="146"/>
        <v>64,5</v>
      </c>
      <c r="BK187" s="34" t="str">
        <f t="shared" si="144"/>
        <v>0,8,12,19,38,77</v>
      </c>
      <c r="BL187" s="4">
        <f t="shared" si="117"/>
        <v>0</v>
      </c>
      <c r="BM187" s="4">
        <f t="shared" si="118"/>
        <v>8</v>
      </c>
      <c r="BN187" s="4">
        <f t="shared" si="119"/>
        <v>12</v>
      </c>
      <c r="BO187" s="4">
        <f t="shared" si="120"/>
        <v>19</v>
      </c>
      <c r="BP187" s="4">
        <f t="shared" si="121"/>
        <v>38</v>
      </c>
      <c r="BQ187" s="4">
        <f t="shared" si="122"/>
        <v>77</v>
      </c>
      <c r="BR187" s="34" t="str">
        <f t="shared" si="123"/>
        <v>2001,2002,2003,2004,2005,2006</v>
      </c>
      <c r="BS187" s="34" t="str">
        <f t="shared" si="145"/>
        <v>22001,22002,22003,22004,22005,22006</v>
      </c>
      <c r="BT187" s="4">
        <f>VLOOKUP(LOOKUP($Y187,$K$48:$K$55,$L$48:$L$55)&amp;BT$1&amp;$W187,装备额外附加!$M:$O,3,0)</f>
        <v>22001</v>
      </c>
      <c r="BU187" s="4">
        <f>VLOOKUP(LOOKUP($Y187,$K$48:$K$55,$L$48:$L$55)&amp;BU$1&amp;$W187,装备额外附加!$M:$O,3,0)</f>
        <v>22002</v>
      </c>
      <c r="BV187" s="4">
        <f>VLOOKUP(LOOKUP($Y187,$K$48:$K$55,$L$48:$L$55)&amp;BV$1&amp;$W187,装备额外附加!$M:$O,3,0)</f>
        <v>22003</v>
      </c>
      <c r="BW187" s="4">
        <f>VLOOKUP(LOOKUP($Y187,$K$48:$K$55,$L$48:$L$55)&amp;BW$1&amp;$W187,装备额外附加!$M:$O,3,0)</f>
        <v>22004</v>
      </c>
      <c r="BX187" s="4">
        <f>VLOOKUP(LOOKUP($Y187,$K$48:$K$55,$L$48:$L$55)&amp;BX$1&amp;$W187,装备额外附加!$M:$O,3,0)</f>
        <v>22005</v>
      </c>
      <c r="BY187" s="4">
        <f>VLOOKUP(LOOKUP($Y187,$K$48:$K$55,$L$48:$L$55)&amp;BY$1&amp;$W187,装备额外附加!$M:$O,3,0)</f>
        <v>22006</v>
      </c>
    </row>
    <row r="188" spans="18:77">
      <c r="R188" s="4" t="s">
        <v>563</v>
      </c>
      <c r="S188" s="4" t="str">
        <f t="shared" si="124"/>
        <v>105035</v>
      </c>
      <c r="T188" s="4" t="s">
        <v>564</v>
      </c>
      <c r="U188" s="36">
        <v>40</v>
      </c>
      <c r="V188" s="36" t="str">
        <f t="shared" si="125"/>
        <v>鞋子</v>
      </c>
      <c r="W188" s="36" t="str">
        <f t="shared" si="126"/>
        <v>护甲</v>
      </c>
      <c r="X188" s="4">
        <f t="shared" si="127"/>
        <v>5</v>
      </c>
      <c r="Y188" s="4">
        <f t="shared" si="128"/>
        <v>42</v>
      </c>
      <c r="Z188" s="4">
        <f t="shared" si="129"/>
        <v>3</v>
      </c>
      <c r="AA188" s="4" t="str">
        <f t="shared" si="130"/>
        <v>80,96,144,240,400,800</v>
      </c>
      <c r="AB188" s="36">
        <f t="shared" si="131"/>
        <v>100</v>
      </c>
      <c r="AC188" s="36">
        <f t="shared" si="153"/>
        <v>80</v>
      </c>
      <c r="AD188" s="36">
        <f t="shared" si="154"/>
        <v>96</v>
      </c>
      <c r="AE188" s="36">
        <f t="shared" si="154"/>
        <v>144</v>
      </c>
      <c r="AF188" s="36">
        <f t="shared" si="154"/>
        <v>240</v>
      </c>
      <c r="AG188" s="36">
        <f t="shared" si="154"/>
        <v>400</v>
      </c>
      <c r="AH188" s="36">
        <f t="shared" si="155"/>
        <v>800</v>
      </c>
      <c r="AJ188" s="4" t="str">
        <f t="shared" si="132"/>
        <v>400,480,720,1200,2000,</v>
      </c>
      <c r="AK188" s="36">
        <f t="shared" si="133"/>
        <v>500</v>
      </c>
      <c r="AL188" s="36">
        <f t="shared" si="151"/>
        <v>400</v>
      </c>
      <c r="AM188" s="36">
        <f t="shared" si="151"/>
        <v>480</v>
      </c>
      <c r="AN188" s="36">
        <f t="shared" si="151"/>
        <v>720</v>
      </c>
      <c r="AO188" s="36">
        <f t="shared" si="151"/>
        <v>1200</v>
      </c>
      <c r="AP188" s="36">
        <f t="shared" si="151"/>
        <v>2000</v>
      </c>
      <c r="AR188" s="4" t="str">
        <f t="shared" si="134"/>
        <v>32000,38400,57600,96000,160000,</v>
      </c>
      <c r="AS188" s="36">
        <f t="shared" si="135"/>
        <v>40000</v>
      </c>
      <c r="AT188" s="36">
        <f t="shared" si="152"/>
        <v>32000</v>
      </c>
      <c r="AU188" s="36">
        <f t="shared" si="152"/>
        <v>38400</v>
      </c>
      <c r="AV188" s="36">
        <f t="shared" si="152"/>
        <v>57600</v>
      </c>
      <c r="AW188" s="36">
        <f t="shared" si="152"/>
        <v>96000</v>
      </c>
      <c r="AX188" s="36">
        <f t="shared" si="152"/>
        <v>160000</v>
      </c>
      <c r="AZ188" s="4">
        <f t="shared" si="136"/>
        <v>64</v>
      </c>
      <c r="BA188" s="4">
        <f t="shared" si="137"/>
        <v>0</v>
      </c>
      <c r="BB188" s="4">
        <f t="shared" si="138"/>
        <v>5</v>
      </c>
      <c r="BC188" s="35" t="str">
        <f t="shared" si="139"/>
        <v>64,</v>
      </c>
      <c r="BD188" s="35" t="str">
        <f t="shared" si="116"/>
        <v/>
      </c>
      <c r="BE188" s="35" t="str">
        <f t="shared" si="140"/>
        <v>5,</v>
      </c>
      <c r="BF188" s="36" t="str">
        <f t="shared" si="141"/>
        <v>1,</v>
      </c>
      <c r="BG188" s="36" t="str">
        <f>IF(BA188=0,"",IF(Z188=0,"3,4,5",VLOOKUP(Z188,{1,3;2,4;3,5},2,0))&amp;",")</f>
        <v/>
      </c>
      <c r="BH188" s="36" t="str">
        <f t="shared" si="142"/>
        <v>6,</v>
      </c>
      <c r="BI188" s="34" t="str">
        <f t="shared" si="143"/>
        <v>1,6</v>
      </c>
      <c r="BJ188" s="34" t="str">
        <f t="shared" si="146"/>
        <v>64,5</v>
      </c>
      <c r="BK188" s="34" t="str">
        <f t="shared" si="144"/>
        <v>0,8,12,19,38,77</v>
      </c>
      <c r="BL188" s="4">
        <f t="shared" si="117"/>
        <v>0</v>
      </c>
      <c r="BM188" s="4">
        <f t="shared" si="118"/>
        <v>8</v>
      </c>
      <c r="BN188" s="4">
        <f t="shared" si="119"/>
        <v>12</v>
      </c>
      <c r="BO188" s="4">
        <f t="shared" si="120"/>
        <v>19</v>
      </c>
      <c r="BP188" s="4">
        <f t="shared" si="121"/>
        <v>38</v>
      </c>
      <c r="BQ188" s="4">
        <f t="shared" si="122"/>
        <v>77</v>
      </c>
      <c r="BR188" s="34" t="str">
        <f t="shared" si="123"/>
        <v>2001,2002,2003,2004,2005,2006</v>
      </c>
      <c r="BS188" s="34" t="str">
        <f t="shared" si="145"/>
        <v>22001,22002,22003,22004,22005,22006</v>
      </c>
      <c r="BT188" s="4">
        <f>VLOOKUP(LOOKUP($Y188,$K$48:$K$55,$L$48:$L$55)&amp;BT$1&amp;$W188,装备额外附加!$M:$O,3,0)</f>
        <v>22001</v>
      </c>
      <c r="BU188" s="4">
        <f>VLOOKUP(LOOKUP($Y188,$K$48:$K$55,$L$48:$L$55)&amp;BU$1&amp;$W188,装备额外附加!$M:$O,3,0)</f>
        <v>22002</v>
      </c>
      <c r="BV188" s="4">
        <f>VLOOKUP(LOOKUP($Y188,$K$48:$K$55,$L$48:$L$55)&amp;BV$1&amp;$W188,装备额外附加!$M:$O,3,0)</f>
        <v>22003</v>
      </c>
      <c r="BW188" s="4">
        <f>VLOOKUP(LOOKUP($Y188,$K$48:$K$55,$L$48:$L$55)&amp;BW$1&amp;$W188,装备额外附加!$M:$O,3,0)</f>
        <v>22004</v>
      </c>
      <c r="BX188" s="4">
        <f>VLOOKUP(LOOKUP($Y188,$K$48:$K$55,$L$48:$L$55)&amp;BX$1&amp;$W188,装备额外附加!$M:$O,3,0)</f>
        <v>22005</v>
      </c>
      <c r="BY188" s="4">
        <f>VLOOKUP(LOOKUP($Y188,$K$48:$K$55,$L$48:$L$55)&amp;BY$1&amp;$W188,装备额外附加!$M:$O,3,0)</f>
        <v>22006</v>
      </c>
    </row>
    <row r="189" spans="18:77">
      <c r="R189" s="4" t="s">
        <v>565</v>
      </c>
      <c r="S189" s="4" t="str">
        <f t="shared" si="124"/>
        <v>106031</v>
      </c>
      <c r="T189" s="4" t="s">
        <v>566</v>
      </c>
      <c r="U189" s="36">
        <v>50</v>
      </c>
      <c r="V189" s="36" t="str">
        <f t="shared" si="125"/>
        <v>武器</v>
      </c>
      <c r="W189" s="36" t="str">
        <f t="shared" si="126"/>
        <v>武器</v>
      </c>
      <c r="X189" s="4">
        <f t="shared" si="127"/>
        <v>1</v>
      </c>
      <c r="Y189" s="4">
        <f t="shared" si="128"/>
        <v>51</v>
      </c>
      <c r="Z189" s="4">
        <f t="shared" si="129"/>
        <v>3</v>
      </c>
      <c r="AA189" s="4" t="str">
        <f t="shared" si="130"/>
        <v>120,144,216,360,600,1200</v>
      </c>
      <c r="AB189" s="36">
        <f t="shared" si="131"/>
        <v>120</v>
      </c>
      <c r="AC189" s="36">
        <f t="shared" si="153"/>
        <v>120</v>
      </c>
      <c r="AD189" s="36">
        <f t="shared" si="154"/>
        <v>144</v>
      </c>
      <c r="AE189" s="36">
        <f t="shared" si="154"/>
        <v>216</v>
      </c>
      <c r="AF189" s="36">
        <f t="shared" si="154"/>
        <v>360</v>
      </c>
      <c r="AG189" s="36">
        <f t="shared" si="154"/>
        <v>600</v>
      </c>
      <c r="AH189" s="36">
        <f t="shared" si="155"/>
        <v>1200</v>
      </c>
      <c r="AJ189" s="4" t="str">
        <f t="shared" si="132"/>
        <v>600,720,1080,1800,3000,</v>
      </c>
      <c r="AK189" s="36">
        <f t="shared" si="133"/>
        <v>600</v>
      </c>
      <c r="AL189" s="36">
        <f t="shared" si="151"/>
        <v>600</v>
      </c>
      <c r="AM189" s="36">
        <f t="shared" si="151"/>
        <v>720</v>
      </c>
      <c r="AN189" s="36">
        <f t="shared" si="151"/>
        <v>1080</v>
      </c>
      <c r="AO189" s="36">
        <f t="shared" si="151"/>
        <v>1800</v>
      </c>
      <c r="AP189" s="36">
        <f t="shared" si="151"/>
        <v>3000</v>
      </c>
      <c r="AR189" s="4" t="str">
        <f t="shared" si="134"/>
        <v>48000,57600,86400,144000,240000,</v>
      </c>
      <c r="AS189" s="36">
        <f t="shared" si="135"/>
        <v>48000</v>
      </c>
      <c r="AT189" s="36">
        <f t="shared" si="152"/>
        <v>48000</v>
      </c>
      <c r="AU189" s="36">
        <f t="shared" si="152"/>
        <v>57600</v>
      </c>
      <c r="AV189" s="36">
        <f t="shared" si="152"/>
        <v>86400</v>
      </c>
      <c r="AW189" s="36">
        <f t="shared" si="152"/>
        <v>144000</v>
      </c>
      <c r="AX189" s="36">
        <f t="shared" si="152"/>
        <v>240000</v>
      </c>
      <c r="AZ189" s="4">
        <f t="shared" si="136"/>
        <v>0</v>
      </c>
      <c r="BA189" s="4">
        <f t="shared" si="137"/>
        <v>23</v>
      </c>
      <c r="BB189" s="4">
        <f t="shared" si="138"/>
        <v>0</v>
      </c>
      <c r="BC189" s="35" t="str">
        <f t="shared" si="139"/>
        <v/>
      </c>
      <c r="BD189" s="35" t="str">
        <f t="shared" si="116"/>
        <v>50,</v>
      </c>
      <c r="BE189" s="35" t="str">
        <f t="shared" si="140"/>
        <v/>
      </c>
      <c r="BF189" s="36" t="str">
        <f t="shared" si="141"/>
        <v/>
      </c>
      <c r="BG189" s="36" t="str">
        <f>IF(BA189=0,"",IF(Z189=0,"3,4,5",VLOOKUP(Z189,{1,3;2,4;3,5},2,0))&amp;",")</f>
        <v>5,</v>
      </c>
      <c r="BH189" s="36" t="str">
        <f t="shared" si="142"/>
        <v/>
      </c>
      <c r="BI189" s="34" t="str">
        <f t="shared" si="143"/>
        <v>5</v>
      </c>
      <c r="BJ189" s="34" t="str">
        <f t="shared" si="146"/>
        <v>50</v>
      </c>
      <c r="BK189" s="34" t="str">
        <f t="shared" si="144"/>
        <v>0,16,25,39,79,159</v>
      </c>
      <c r="BL189" s="4">
        <f t="shared" si="117"/>
        <v>0</v>
      </c>
      <c r="BM189" s="4">
        <f t="shared" si="118"/>
        <v>16</v>
      </c>
      <c r="BN189" s="4">
        <f t="shared" si="119"/>
        <v>25</v>
      </c>
      <c r="BO189" s="4">
        <f t="shared" si="120"/>
        <v>39</v>
      </c>
      <c r="BP189" s="4">
        <f t="shared" si="121"/>
        <v>79</v>
      </c>
      <c r="BQ189" s="4">
        <f t="shared" si="122"/>
        <v>159</v>
      </c>
      <c r="BR189" s="34" t="str">
        <f t="shared" si="123"/>
        <v>1001,1002,1003,1004,1005,1006</v>
      </c>
      <c r="BS189" s="34" t="str">
        <f t="shared" si="145"/>
        <v>12001,12002,12003,12004,12005,12006</v>
      </c>
      <c r="BT189" s="4">
        <f>VLOOKUP(LOOKUP($Y189,$K$48:$K$55,$L$48:$L$55)&amp;BT$1&amp;$W189,装备额外附加!$M:$O,3,0)</f>
        <v>12001</v>
      </c>
      <c r="BU189" s="4">
        <f>VLOOKUP(LOOKUP($Y189,$K$48:$K$55,$L$48:$L$55)&amp;BU$1&amp;$W189,装备额外附加!$M:$O,3,0)</f>
        <v>12002</v>
      </c>
      <c r="BV189" s="4">
        <f>VLOOKUP(LOOKUP($Y189,$K$48:$K$55,$L$48:$L$55)&amp;BV$1&amp;$W189,装备额外附加!$M:$O,3,0)</f>
        <v>12003</v>
      </c>
      <c r="BW189" s="4">
        <f>VLOOKUP(LOOKUP($Y189,$K$48:$K$55,$L$48:$L$55)&amp;BW$1&amp;$W189,装备额外附加!$M:$O,3,0)</f>
        <v>12004</v>
      </c>
      <c r="BX189" s="4">
        <f>VLOOKUP(LOOKUP($Y189,$K$48:$K$55,$L$48:$L$55)&amp;BX$1&amp;$W189,装备额外附加!$M:$O,3,0)</f>
        <v>12005</v>
      </c>
      <c r="BY189" s="4">
        <f>VLOOKUP(LOOKUP($Y189,$K$48:$K$55,$L$48:$L$55)&amp;BY$1&amp;$W189,装备额外附加!$M:$O,3,0)</f>
        <v>12006</v>
      </c>
    </row>
    <row r="190" spans="18:77">
      <c r="R190" s="4" t="s">
        <v>567</v>
      </c>
      <c r="S190" s="4" t="str">
        <f t="shared" si="124"/>
        <v>106032</v>
      </c>
      <c r="T190" s="4" t="s">
        <v>568</v>
      </c>
      <c r="U190" s="36">
        <v>50</v>
      </c>
      <c r="V190" s="36" t="str">
        <f t="shared" si="125"/>
        <v>头盔</v>
      </c>
      <c r="W190" s="36" t="str">
        <f t="shared" si="126"/>
        <v>护甲</v>
      </c>
      <c r="X190" s="4">
        <f t="shared" si="127"/>
        <v>2</v>
      </c>
      <c r="Y190" s="4">
        <f t="shared" si="128"/>
        <v>57</v>
      </c>
      <c r="Z190" s="4">
        <f t="shared" si="129"/>
        <v>3</v>
      </c>
      <c r="AA190" s="4" t="str">
        <f t="shared" si="130"/>
        <v>108,129,194,324,540,1080</v>
      </c>
      <c r="AB190" s="36">
        <f t="shared" si="131"/>
        <v>120</v>
      </c>
      <c r="AC190" s="36">
        <f t="shared" si="153"/>
        <v>108</v>
      </c>
      <c r="AD190" s="36">
        <f t="shared" si="154"/>
        <v>129</v>
      </c>
      <c r="AE190" s="36">
        <f t="shared" si="154"/>
        <v>194</v>
      </c>
      <c r="AF190" s="36">
        <f t="shared" si="154"/>
        <v>324</v>
      </c>
      <c r="AG190" s="36">
        <f t="shared" si="154"/>
        <v>540</v>
      </c>
      <c r="AH190" s="36">
        <f t="shared" si="155"/>
        <v>1080</v>
      </c>
      <c r="AJ190" s="4" t="str">
        <f t="shared" si="132"/>
        <v>540,648,972,1620,2700,</v>
      </c>
      <c r="AK190" s="36">
        <f t="shared" si="133"/>
        <v>600</v>
      </c>
      <c r="AL190" s="36">
        <f t="shared" si="151"/>
        <v>540</v>
      </c>
      <c r="AM190" s="36">
        <f t="shared" si="151"/>
        <v>648</v>
      </c>
      <c r="AN190" s="36">
        <f t="shared" si="151"/>
        <v>972</v>
      </c>
      <c r="AO190" s="36">
        <f t="shared" si="151"/>
        <v>1620</v>
      </c>
      <c r="AP190" s="36">
        <f t="shared" si="151"/>
        <v>2700</v>
      </c>
      <c r="AR190" s="4" t="str">
        <f t="shared" si="134"/>
        <v>43200,51840,77760,129600,216000,</v>
      </c>
      <c r="AS190" s="36">
        <f t="shared" si="135"/>
        <v>48000</v>
      </c>
      <c r="AT190" s="36">
        <f t="shared" si="152"/>
        <v>43200</v>
      </c>
      <c r="AU190" s="36">
        <f t="shared" si="152"/>
        <v>51840</v>
      </c>
      <c r="AV190" s="36">
        <f t="shared" si="152"/>
        <v>77760</v>
      </c>
      <c r="AW190" s="36">
        <f t="shared" si="152"/>
        <v>129600</v>
      </c>
      <c r="AX190" s="36">
        <f t="shared" si="152"/>
        <v>216000</v>
      </c>
      <c r="AZ190" s="4">
        <f t="shared" si="136"/>
        <v>0</v>
      </c>
      <c r="BA190" s="4">
        <f t="shared" si="137"/>
        <v>11</v>
      </c>
      <c r="BB190" s="4">
        <f t="shared" si="138"/>
        <v>9</v>
      </c>
      <c r="BC190" s="35" t="str">
        <f t="shared" si="139"/>
        <v/>
      </c>
      <c r="BD190" s="35" t="str">
        <f t="shared" si="116"/>
        <v>24,</v>
      </c>
      <c r="BE190" s="35" t="str">
        <f t="shared" si="140"/>
        <v>9,</v>
      </c>
      <c r="BF190" s="36" t="str">
        <f t="shared" si="141"/>
        <v/>
      </c>
      <c r="BG190" s="36" t="str">
        <f>IF(BA190=0,"",IF(Z190=0,"3,4,5",VLOOKUP(Z190,{1,3;2,4;3,5},2,0))&amp;",")</f>
        <v>5,</v>
      </c>
      <c r="BH190" s="36" t="str">
        <f t="shared" si="142"/>
        <v>6,</v>
      </c>
      <c r="BI190" s="34" t="str">
        <f t="shared" si="143"/>
        <v>5,6</v>
      </c>
      <c r="BJ190" s="34" t="str">
        <f t="shared" si="146"/>
        <v>24,9</v>
      </c>
      <c r="BK190" s="34" t="str">
        <f t="shared" si="144"/>
        <v>0,11,17,26,53,106</v>
      </c>
      <c r="BL190" s="4">
        <f t="shared" si="117"/>
        <v>0</v>
      </c>
      <c r="BM190" s="4">
        <f t="shared" si="118"/>
        <v>11</v>
      </c>
      <c r="BN190" s="4">
        <f t="shared" si="119"/>
        <v>17</v>
      </c>
      <c r="BO190" s="4">
        <f t="shared" si="120"/>
        <v>26</v>
      </c>
      <c r="BP190" s="4">
        <f t="shared" si="121"/>
        <v>53</v>
      </c>
      <c r="BQ190" s="4">
        <f t="shared" si="122"/>
        <v>106</v>
      </c>
      <c r="BR190" s="34" t="str">
        <f t="shared" si="123"/>
        <v>2001,2002,2003,2004,2005,2006</v>
      </c>
      <c r="BS190" s="34" t="str">
        <f t="shared" si="145"/>
        <v>22001,22002,22003,22004,22005,22006</v>
      </c>
      <c r="BT190" s="4">
        <f>VLOOKUP(LOOKUP($Y190,$K$48:$K$55,$L$48:$L$55)&amp;BT$1&amp;$W190,装备额外附加!$M:$O,3,0)</f>
        <v>22001</v>
      </c>
      <c r="BU190" s="4">
        <f>VLOOKUP(LOOKUP($Y190,$K$48:$K$55,$L$48:$L$55)&amp;BU$1&amp;$W190,装备额外附加!$M:$O,3,0)</f>
        <v>22002</v>
      </c>
      <c r="BV190" s="4">
        <f>VLOOKUP(LOOKUP($Y190,$K$48:$K$55,$L$48:$L$55)&amp;BV$1&amp;$W190,装备额外附加!$M:$O,3,0)</f>
        <v>22003</v>
      </c>
      <c r="BW190" s="4">
        <f>VLOOKUP(LOOKUP($Y190,$K$48:$K$55,$L$48:$L$55)&amp;BW$1&amp;$W190,装备额外附加!$M:$O,3,0)</f>
        <v>22004</v>
      </c>
      <c r="BX190" s="4">
        <f>VLOOKUP(LOOKUP($Y190,$K$48:$K$55,$L$48:$L$55)&amp;BX$1&amp;$W190,装备额外附加!$M:$O,3,0)</f>
        <v>22005</v>
      </c>
      <c r="BY190" s="4">
        <f>VLOOKUP(LOOKUP($Y190,$K$48:$K$55,$L$48:$L$55)&amp;BY$1&amp;$W190,装备额外附加!$M:$O,3,0)</f>
        <v>22006</v>
      </c>
    </row>
    <row r="191" spans="18:77">
      <c r="R191" s="4" t="s">
        <v>569</v>
      </c>
      <c r="S191" s="4" t="str">
        <f t="shared" si="124"/>
        <v>106033</v>
      </c>
      <c r="T191" s="4" t="s">
        <v>570</v>
      </c>
      <c r="U191" s="36">
        <v>50</v>
      </c>
      <c r="V191" s="36" t="str">
        <f t="shared" si="125"/>
        <v>衣服</v>
      </c>
      <c r="W191" s="36" t="str">
        <f t="shared" si="126"/>
        <v>护甲</v>
      </c>
      <c r="X191" s="4">
        <f t="shared" si="127"/>
        <v>3</v>
      </c>
      <c r="Y191" s="4">
        <f t="shared" si="128"/>
        <v>55</v>
      </c>
      <c r="Z191" s="4">
        <f t="shared" si="129"/>
        <v>3</v>
      </c>
      <c r="AA191" s="4" t="str">
        <f t="shared" si="130"/>
        <v>108,129,194,324,540,1080</v>
      </c>
      <c r="AB191" s="36">
        <f t="shared" si="131"/>
        <v>120</v>
      </c>
      <c r="AC191" s="36">
        <f t="shared" si="153"/>
        <v>108</v>
      </c>
      <c r="AD191" s="36">
        <f t="shared" si="154"/>
        <v>129</v>
      </c>
      <c r="AE191" s="36">
        <f t="shared" si="154"/>
        <v>194</v>
      </c>
      <c r="AF191" s="36">
        <f t="shared" si="154"/>
        <v>324</v>
      </c>
      <c r="AG191" s="36">
        <f t="shared" si="154"/>
        <v>540</v>
      </c>
      <c r="AH191" s="36">
        <f t="shared" si="155"/>
        <v>1080</v>
      </c>
      <c r="AJ191" s="4" t="str">
        <f t="shared" si="132"/>
        <v>540,648,972,1620,2700,</v>
      </c>
      <c r="AK191" s="36">
        <f t="shared" si="133"/>
        <v>600</v>
      </c>
      <c r="AL191" s="36">
        <f t="shared" si="151"/>
        <v>540</v>
      </c>
      <c r="AM191" s="36">
        <f t="shared" si="151"/>
        <v>648</v>
      </c>
      <c r="AN191" s="36">
        <f t="shared" si="151"/>
        <v>972</v>
      </c>
      <c r="AO191" s="36">
        <f t="shared" si="151"/>
        <v>1620</v>
      </c>
      <c r="AP191" s="36">
        <f t="shared" si="151"/>
        <v>2700</v>
      </c>
      <c r="AR191" s="4" t="str">
        <f t="shared" si="134"/>
        <v>43200,51840,77760,129600,216000,</v>
      </c>
      <c r="AS191" s="36">
        <f t="shared" si="135"/>
        <v>48000</v>
      </c>
      <c r="AT191" s="36">
        <f t="shared" si="152"/>
        <v>43200</v>
      </c>
      <c r="AU191" s="36">
        <f t="shared" si="152"/>
        <v>51840</v>
      </c>
      <c r="AV191" s="36">
        <f t="shared" si="152"/>
        <v>77760</v>
      </c>
      <c r="AW191" s="36">
        <f t="shared" si="152"/>
        <v>129600</v>
      </c>
      <c r="AX191" s="36">
        <f t="shared" si="152"/>
        <v>216000</v>
      </c>
      <c r="AZ191" s="4">
        <f t="shared" si="136"/>
        <v>178</v>
      </c>
      <c r="BA191" s="4">
        <f t="shared" si="137"/>
        <v>0</v>
      </c>
      <c r="BB191" s="4">
        <f t="shared" si="138"/>
        <v>9</v>
      </c>
      <c r="BC191" s="35" t="str">
        <f t="shared" si="139"/>
        <v>178,</v>
      </c>
      <c r="BD191" s="35" t="str">
        <f t="shared" si="116"/>
        <v/>
      </c>
      <c r="BE191" s="35" t="str">
        <f t="shared" si="140"/>
        <v>9,</v>
      </c>
      <c r="BF191" s="36" t="str">
        <f t="shared" si="141"/>
        <v>1,</v>
      </c>
      <c r="BG191" s="36" t="str">
        <f>IF(BA191=0,"",IF(Z191=0,"3,4,5",VLOOKUP(Z191,{1,3;2,4;3,5},2,0))&amp;",")</f>
        <v/>
      </c>
      <c r="BH191" s="36" t="str">
        <f t="shared" si="142"/>
        <v>6,</v>
      </c>
      <c r="BI191" s="34" t="str">
        <f t="shared" si="143"/>
        <v>1,6</v>
      </c>
      <c r="BJ191" s="34" t="str">
        <f t="shared" si="146"/>
        <v>178,9</v>
      </c>
      <c r="BK191" s="34" t="str">
        <f t="shared" si="144"/>
        <v>0,11,17,26,53,106</v>
      </c>
      <c r="BL191" s="4">
        <f t="shared" si="117"/>
        <v>0</v>
      </c>
      <c r="BM191" s="4">
        <f t="shared" si="118"/>
        <v>11</v>
      </c>
      <c r="BN191" s="4">
        <f t="shared" si="119"/>
        <v>17</v>
      </c>
      <c r="BO191" s="4">
        <f t="shared" si="120"/>
        <v>26</v>
      </c>
      <c r="BP191" s="4">
        <f t="shared" si="121"/>
        <v>53</v>
      </c>
      <c r="BQ191" s="4">
        <f t="shared" si="122"/>
        <v>106</v>
      </c>
      <c r="BR191" s="34" t="str">
        <f t="shared" si="123"/>
        <v>2001,2002,2003,2004,2005,2006</v>
      </c>
      <c r="BS191" s="34" t="str">
        <f t="shared" si="145"/>
        <v>22001,22002,22003,22004,22005,22006</v>
      </c>
      <c r="BT191" s="4">
        <f>VLOOKUP(LOOKUP($Y191,$K$48:$K$55,$L$48:$L$55)&amp;BT$1&amp;$W191,装备额外附加!$M:$O,3,0)</f>
        <v>22001</v>
      </c>
      <c r="BU191" s="4">
        <f>VLOOKUP(LOOKUP($Y191,$K$48:$K$55,$L$48:$L$55)&amp;BU$1&amp;$W191,装备额外附加!$M:$O,3,0)</f>
        <v>22002</v>
      </c>
      <c r="BV191" s="4">
        <f>VLOOKUP(LOOKUP($Y191,$K$48:$K$55,$L$48:$L$55)&amp;BV$1&amp;$W191,装备额外附加!$M:$O,3,0)</f>
        <v>22003</v>
      </c>
      <c r="BW191" s="4">
        <f>VLOOKUP(LOOKUP($Y191,$K$48:$K$55,$L$48:$L$55)&amp;BW$1&amp;$W191,装备额外附加!$M:$O,3,0)</f>
        <v>22004</v>
      </c>
      <c r="BX191" s="4">
        <f>VLOOKUP(LOOKUP($Y191,$K$48:$K$55,$L$48:$L$55)&amp;BX$1&amp;$W191,装备额外附加!$M:$O,3,0)</f>
        <v>22005</v>
      </c>
      <c r="BY191" s="4">
        <f>VLOOKUP(LOOKUP($Y191,$K$48:$K$55,$L$48:$L$55)&amp;BY$1&amp;$W191,装备额外附加!$M:$O,3,0)</f>
        <v>22006</v>
      </c>
    </row>
    <row r="192" spans="18:77">
      <c r="R192" s="4" t="s">
        <v>571</v>
      </c>
      <c r="S192" s="4" t="str">
        <f t="shared" si="124"/>
        <v>106034</v>
      </c>
      <c r="T192" s="4" t="s">
        <v>572</v>
      </c>
      <c r="U192" s="36">
        <v>50</v>
      </c>
      <c r="V192" s="36" t="str">
        <f t="shared" si="125"/>
        <v>腰带</v>
      </c>
      <c r="W192" s="36" t="str">
        <f t="shared" si="126"/>
        <v>护甲</v>
      </c>
      <c r="X192" s="4">
        <f t="shared" si="127"/>
        <v>4</v>
      </c>
      <c r="Y192" s="4">
        <f t="shared" si="128"/>
        <v>58</v>
      </c>
      <c r="Z192" s="4">
        <f t="shared" si="129"/>
        <v>3</v>
      </c>
      <c r="AA192" s="4" t="str">
        <f t="shared" si="130"/>
        <v>96,115,172,288,480,960</v>
      </c>
      <c r="AB192" s="36">
        <f t="shared" si="131"/>
        <v>120</v>
      </c>
      <c r="AC192" s="36">
        <f t="shared" si="153"/>
        <v>96</v>
      </c>
      <c r="AD192" s="36">
        <f t="shared" si="154"/>
        <v>115</v>
      </c>
      <c r="AE192" s="36">
        <f t="shared" si="154"/>
        <v>172</v>
      </c>
      <c r="AF192" s="36">
        <f t="shared" si="154"/>
        <v>288</v>
      </c>
      <c r="AG192" s="36">
        <f t="shared" si="154"/>
        <v>480</v>
      </c>
      <c r="AH192" s="36">
        <f t="shared" si="155"/>
        <v>960</v>
      </c>
      <c r="AJ192" s="4" t="str">
        <f t="shared" si="132"/>
        <v>480,576,864,1440,2400,</v>
      </c>
      <c r="AK192" s="36">
        <f t="shared" si="133"/>
        <v>600</v>
      </c>
      <c r="AL192" s="36">
        <f t="shared" si="151"/>
        <v>480</v>
      </c>
      <c r="AM192" s="36">
        <f t="shared" si="151"/>
        <v>576</v>
      </c>
      <c r="AN192" s="36">
        <f t="shared" si="151"/>
        <v>864</v>
      </c>
      <c r="AO192" s="36">
        <f t="shared" si="151"/>
        <v>1440</v>
      </c>
      <c r="AP192" s="36">
        <f t="shared" si="151"/>
        <v>2400</v>
      </c>
      <c r="AR192" s="4" t="str">
        <f t="shared" si="134"/>
        <v>38400,46080,69120,115200,192000,</v>
      </c>
      <c r="AS192" s="36">
        <f t="shared" si="135"/>
        <v>48000</v>
      </c>
      <c r="AT192" s="36">
        <f t="shared" si="152"/>
        <v>38400</v>
      </c>
      <c r="AU192" s="36">
        <f t="shared" si="152"/>
        <v>46080</v>
      </c>
      <c r="AV192" s="36">
        <f t="shared" si="152"/>
        <v>69120</v>
      </c>
      <c r="AW192" s="36">
        <f t="shared" si="152"/>
        <v>115200</v>
      </c>
      <c r="AX192" s="36">
        <f t="shared" si="152"/>
        <v>192000</v>
      </c>
      <c r="AZ192" s="4">
        <f t="shared" si="136"/>
        <v>89</v>
      </c>
      <c r="BA192" s="4">
        <f t="shared" si="137"/>
        <v>0</v>
      </c>
      <c r="BB192" s="4">
        <f t="shared" si="138"/>
        <v>7</v>
      </c>
      <c r="BC192" s="35" t="str">
        <f t="shared" si="139"/>
        <v>89,</v>
      </c>
      <c r="BD192" s="35" t="str">
        <f t="shared" si="116"/>
        <v/>
      </c>
      <c r="BE192" s="35" t="str">
        <f t="shared" si="140"/>
        <v>7,</v>
      </c>
      <c r="BF192" s="36" t="str">
        <f t="shared" si="141"/>
        <v>1,</v>
      </c>
      <c r="BG192" s="36" t="str">
        <f>IF(BA192=0,"",IF(Z192=0,"3,4,5",VLOOKUP(Z192,{1,3;2,4;3,5},2,0))&amp;",")</f>
        <v/>
      </c>
      <c r="BH192" s="36" t="str">
        <f t="shared" si="142"/>
        <v>6,</v>
      </c>
      <c r="BI192" s="34" t="str">
        <f t="shared" si="143"/>
        <v>1,6</v>
      </c>
      <c r="BJ192" s="34" t="str">
        <f t="shared" si="146"/>
        <v>89,7</v>
      </c>
      <c r="BK192" s="34" t="str">
        <f t="shared" si="144"/>
        <v>0,11,17,26,53,106</v>
      </c>
      <c r="BL192" s="4">
        <f t="shared" si="117"/>
        <v>0</v>
      </c>
      <c r="BM192" s="4">
        <f t="shared" si="118"/>
        <v>11</v>
      </c>
      <c r="BN192" s="4">
        <f t="shared" si="119"/>
        <v>17</v>
      </c>
      <c r="BO192" s="4">
        <f t="shared" si="120"/>
        <v>26</v>
      </c>
      <c r="BP192" s="4">
        <f t="shared" si="121"/>
        <v>53</v>
      </c>
      <c r="BQ192" s="4">
        <f t="shared" si="122"/>
        <v>106</v>
      </c>
      <c r="BR192" s="34" t="str">
        <f t="shared" si="123"/>
        <v>2001,2002,2003,2004,2005,2006</v>
      </c>
      <c r="BS192" s="34" t="str">
        <f t="shared" si="145"/>
        <v>22001,22002,22003,22004,22005,22006</v>
      </c>
      <c r="BT192" s="4">
        <f>VLOOKUP(LOOKUP($Y192,$K$48:$K$55,$L$48:$L$55)&amp;BT$1&amp;$W192,装备额外附加!$M:$O,3,0)</f>
        <v>22001</v>
      </c>
      <c r="BU192" s="4">
        <f>VLOOKUP(LOOKUP($Y192,$K$48:$K$55,$L$48:$L$55)&amp;BU$1&amp;$W192,装备额外附加!$M:$O,3,0)</f>
        <v>22002</v>
      </c>
      <c r="BV192" s="4">
        <f>VLOOKUP(LOOKUP($Y192,$K$48:$K$55,$L$48:$L$55)&amp;BV$1&amp;$W192,装备额外附加!$M:$O,3,0)</f>
        <v>22003</v>
      </c>
      <c r="BW192" s="4">
        <f>VLOOKUP(LOOKUP($Y192,$K$48:$K$55,$L$48:$L$55)&amp;BW$1&amp;$W192,装备额外附加!$M:$O,3,0)</f>
        <v>22004</v>
      </c>
      <c r="BX192" s="4">
        <f>VLOOKUP(LOOKUP($Y192,$K$48:$K$55,$L$48:$L$55)&amp;BX$1&amp;$W192,装备额外附加!$M:$O,3,0)</f>
        <v>22005</v>
      </c>
      <c r="BY192" s="4">
        <f>VLOOKUP(LOOKUP($Y192,$K$48:$K$55,$L$48:$L$55)&amp;BY$1&amp;$W192,装备额外附加!$M:$O,3,0)</f>
        <v>22006</v>
      </c>
    </row>
    <row r="193" spans="18:77">
      <c r="R193" s="4" t="s">
        <v>573</v>
      </c>
      <c r="S193" s="4" t="str">
        <f t="shared" si="124"/>
        <v>106035</v>
      </c>
      <c r="T193" s="4" t="s">
        <v>574</v>
      </c>
      <c r="U193" s="36">
        <v>50</v>
      </c>
      <c r="V193" s="36" t="str">
        <f t="shared" si="125"/>
        <v>鞋子</v>
      </c>
      <c r="W193" s="36" t="str">
        <f t="shared" si="126"/>
        <v>护甲</v>
      </c>
      <c r="X193" s="4">
        <f t="shared" si="127"/>
        <v>5</v>
      </c>
      <c r="Y193" s="4">
        <f t="shared" si="128"/>
        <v>52</v>
      </c>
      <c r="Z193" s="4">
        <f t="shared" si="129"/>
        <v>3</v>
      </c>
      <c r="AA193" s="4" t="str">
        <f t="shared" si="130"/>
        <v>96,115,172,288,480,960</v>
      </c>
      <c r="AB193" s="36">
        <f t="shared" si="131"/>
        <v>120</v>
      </c>
      <c r="AC193" s="36">
        <f t="shared" si="153"/>
        <v>96</v>
      </c>
      <c r="AD193" s="36">
        <f t="shared" si="154"/>
        <v>115</v>
      </c>
      <c r="AE193" s="36">
        <f t="shared" si="154"/>
        <v>172</v>
      </c>
      <c r="AF193" s="36">
        <f t="shared" si="154"/>
        <v>288</v>
      </c>
      <c r="AG193" s="36">
        <f t="shared" si="154"/>
        <v>480</v>
      </c>
      <c r="AH193" s="36">
        <f t="shared" si="155"/>
        <v>960</v>
      </c>
      <c r="AJ193" s="4" t="str">
        <f t="shared" si="132"/>
        <v>480,576,864,1440,2400,</v>
      </c>
      <c r="AK193" s="36">
        <f t="shared" si="133"/>
        <v>600</v>
      </c>
      <c r="AL193" s="36">
        <f t="shared" si="151"/>
        <v>480</v>
      </c>
      <c r="AM193" s="36">
        <f t="shared" si="151"/>
        <v>576</v>
      </c>
      <c r="AN193" s="36">
        <f t="shared" si="151"/>
        <v>864</v>
      </c>
      <c r="AO193" s="36">
        <f t="shared" si="151"/>
        <v>1440</v>
      </c>
      <c r="AP193" s="36">
        <f t="shared" si="151"/>
        <v>2400</v>
      </c>
      <c r="AR193" s="4" t="str">
        <f t="shared" si="134"/>
        <v>38400,46080,69120,115200,192000,</v>
      </c>
      <c r="AS193" s="36">
        <f t="shared" si="135"/>
        <v>48000</v>
      </c>
      <c r="AT193" s="36">
        <f t="shared" si="152"/>
        <v>38400</v>
      </c>
      <c r="AU193" s="36">
        <f t="shared" si="152"/>
        <v>46080</v>
      </c>
      <c r="AV193" s="36">
        <f t="shared" si="152"/>
        <v>69120</v>
      </c>
      <c r="AW193" s="36">
        <f t="shared" si="152"/>
        <v>115200</v>
      </c>
      <c r="AX193" s="36">
        <f t="shared" si="152"/>
        <v>192000</v>
      </c>
      <c r="AZ193" s="4">
        <f t="shared" si="136"/>
        <v>89</v>
      </c>
      <c r="BA193" s="4">
        <f t="shared" si="137"/>
        <v>0</v>
      </c>
      <c r="BB193" s="4">
        <f t="shared" si="138"/>
        <v>7</v>
      </c>
      <c r="BC193" s="35" t="str">
        <f t="shared" si="139"/>
        <v>89,</v>
      </c>
      <c r="BD193" s="35" t="str">
        <f t="shared" si="116"/>
        <v/>
      </c>
      <c r="BE193" s="35" t="str">
        <f t="shared" si="140"/>
        <v>7,</v>
      </c>
      <c r="BF193" s="36" t="str">
        <f t="shared" si="141"/>
        <v>1,</v>
      </c>
      <c r="BG193" s="36" t="str">
        <f>IF(BA193=0,"",IF(Z193=0,"3,4,5",VLOOKUP(Z193,{1,3;2,4;3,5},2,0))&amp;",")</f>
        <v/>
      </c>
      <c r="BH193" s="36" t="str">
        <f t="shared" si="142"/>
        <v>6,</v>
      </c>
      <c r="BI193" s="34" t="str">
        <f t="shared" si="143"/>
        <v>1,6</v>
      </c>
      <c r="BJ193" s="34" t="str">
        <f t="shared" si="146"/>
        <v>89,7</v>
      </c>
      <c r="BK193" s="34" t="str">
        <f t="shared" si="144"/>
        <v>0,11,17,26,53,106</v>
      </c>
      <c r="BL193" s="4">
        <f t="shared" si="117"/>
        <v>0</v>
      </c>
      <c r="BM193" s="4">
        <f t="shared" si="118"/>
        <v>11</v>
      </c>
      <c r="BN193" s="4">
        <f t="shared" si="119"/>
        <v>17</v>
      </c>
      <c r="BO193" s="4">
        <f t="shared" si="120"/>
        <v>26</v>
      </c>
      <c r="BP193" s="4">
        <f t="shared" si="121"/>
        <v>53</v>
      </c>
      <c r="BQ193" s="4">
        <f t="shared" si="122"/>
        <v>106</v>
      </c>
      <c r="BR193" s="34" t="str">
        <f t="shared" si="123"/>
        <v>2001,2002,2003,2004,2005,2006</v>
      </c>
      <c r="BS193" s="34" t="str">
        <f t="shared" si="145"/>
        <v>22001,22002,22003,22004,22005,22006</v>
      </c>
      <c r="BT193" s="4">
        <f>VLOOKUP(LOOKUP($Y193,$K$48:$K$55,$L$48:$L$55)&amp;BT$1&amp;$W193,装备额外附加!$M:$O,3,0)</f>
        <v>22001</v>
      </c>
      <c r="BU193" s="4">
        <f>VLOOKUP(LOOKUP($Y193,$K$48:$K$55,$L$48:$L$55)&amp;BU$1&amp;$W193,装备额外附加!$M:$O,3,0)</f>
        <v>22002</v>
      </c>
      <c r="BV193" s="4">
        <f>VLOOKUP(LOOKUP($Y193,$K$48:$K$55,$L$48:$L$55)&amp;BV$1&amp;$W193,装备额外附加!$M:$O,3,0)</f>
        <v>22003</v>
      </c>
      <c r="BW193" s="4">
        <f>VLOOKUP(LOOKUP($Y193,$K$48:$K$55,$L$48:$L$55)&amp;BW$1&amp;$W193,装备额外附加!$M:$O,3,0)</f>
        <v>22004</v>
      </c>
      <c r="BX193" s="4">
        <f>VLOOKUP(LOOKUP($Y193,$K$48:$K$55,$L$48:$L$55)&amp;BX$1&amp;$W193,装备额外附加!$M:$O,3,0)</f>
        <v>22005</v>
      </c>
      <c r="BY193" s="4">
        <f>VLOOKUP(LOOKUP($Y193,$K$48:$K$55,$L$48:$L$55)&amp;BY$1&amp;$W193,装备额外附加!$M:$O,3,0)</f>
        <v>22006</v>
      </c>
    </row>
    <row r="194" spans="18:77">
      <c r="R194" s="4" t="s">
        <v>575</v>
      </c>
      <c r="S194" s="4" t="str">
        <f t="shared" si="124"/>
        <v>107031</v>
      </c>
      <c r="T194" s="4" t="s">
        <v>576</v>
      </c>
      <c r="U194" s="36">
        <v>60</v>
      </c>
      <c r="V194" s="36" t="str">
        <f t="shared" si="125"/>
        <v>武器</v>
      </c>
      <c r="W194" s="36" t="str">
        <f t="shared" si="126"/>
        <v>武器</v>
      </c>
      <c r="X194" s="4">
        <f t="shared" si="127"/>
        <v>1</v>
      </c>
      <c r="Y194" s="4">
        <f t="shared" si="128"/>
        <v>61</v>
      </c>
      <c r="Z194" s="4">
        <f t="shared" si="129"/>
        <v>3</v>
      </c>
      <c r="AA194" s="4" t="str">
        <f t="shared" si="130"/>
        <v>140,168,252,420,700,1400</v>
      </c>
      <c r="AB194" s="36">
        <f t="shared" si="131"/>
        <v>140</v>
      </c>
      <c r="AC194" s="36">
        <f t="shared" si="153"/>
        <v>140</v>
      </c>
      <c r="AD194" s="36">
        <f t="shared" si="154"/>
        <v>168</v>
      </c>
      <c r="AE194" s="36">
        <f t="shared" si="154"/>
        <v>252</v>
      </c>
      <c r="AF194" s="36">
        <f t="shared" si="154"/>
        <v>420</v>
      </c>
      <c r="AG194" s="36">
        <f t="shared" si="154"/>
        <v>700</v>
      </c>
      <c r="AH194" s="36">
        <f t="shared" si="155"/>
        <v>1400</v>
      </c>
      <c r="AJ194" s="4" t="str">
        <f t="shared" si="132"/>
        <v>700,840,1260,2100,3500,</v>
      </c>
      <c r="AK194" s="36">
        <f t="shared" si="133"/>
        <v>700</v>
      </c>
      <c r="AL194" s="36">
        <f t="shared" si="151"/>
        <v>700</v>
      </c>
      <c r="AM194" s="36">
        <f t="shared" si="151"/>
        <v>840</v>
      </c>
      <c r="AN194" s="36">
        <f t="shared" si="151"/>
        <v>1260</v>
      </c>
      <c r="AO194" s="36">
        <f t="shared" si="151"/>
        <v>2100</v>
      </c>
      <c r="AP194" s="36">
        <f t="shared" si="151"/>
        <v>3500</v>
      </c>
      <c r="AR194" s="4" t="str">
        <f t="shared" si="134"/>
        <v>56000,67200,100800,168000,280000,</v>
      </c>
      <c r="AS194" s="36">
        <f t="shared" si="135"/>
        <v>56000</v>
      </c>
      <c r="AT194" s="36">
        <f t="shared" si="152"/>
        <v>56000</v>
      </c>
      <c r="AU194" s="36">
        <f t="shared" si="152"/>
        <v>67200</v>
      </c>
      <c r="AV194" s="36">
        <f t="shared" si="152"/>
        <v>100800</v>
      </c>
      <c r="AW194" s="36">
        <f t="shared" si="152"/>
        <v>168000</v>
      </c>
      <c r="AX194" s="36">
        <f t="shared" si="152"/>
        <v>280000</v>
      </c>
      <c r="AZ194" s="4">
        <f t="shared" si="136"/>
        <v>0</v>
      </c>
      <c r="BA194" s="4">
        <f t="shared" si="137"/>
        <v>32</v>
      </c>
      <c r="BB194" s="4">
        <f t="shared" si="138"/>
        <v>0</v>
      </c>
      <c r="BC194" s="35" t="str">
        <f t="shared" si="139"/>
        <v/>
      </c>
      <c r="BD194" s="35" t="str">
        <f t="shared" ref="BD194:BD203" si="156">IF(BA194=0,"",IF(Z194=0,BA194&amp;","&amp;BA194&amp;","&amp;BA194&amp;",",INT(BA194*2.2)&amp;","))</f>
        <v>70,</v>
      </c>
      <c r="BE194" s="35" t="str">
        <f t="shared" si="140"/>
        <v/>
      </c>
      <c r="BF194" s="36" t="str">
        <f t="shared" si="141"/>
        <v/>
      </c>
      <c r="BG194" s="36" t="str">
        <f>IF(BA194=0,"",IF(Z194=0,"3,4,5",VLOOKUP(Z194,{1,3;2,4;3,5},2,0))&amp;",")</f>
        <v>5,</v>
      </c>
      <c r="BH194" s="36" t="str">
        <f t="shared" si="142"/>
        <v/>
      </c>
      <c r="BI194" s="34" t="str">
        <f t="shared" si="143"/>
        <v>5</v>
      </c>
      <c r="BJ194" s="34" t="str">
        <f t="shared" si="146"/>
        <v>70</v>
      </c>
      <c r="BK194" s="34" t="str">
        <f t="shared" si="144"/>
        <v>0,24,36,54,108,217</v>
      </c>
      <c r="BL194" s="4">
        <f t="shared" ref="BL194:BL203" si="157">INT(LOOKUP($Y194,$B$48:$B$55,C$48:C$55)*VLOOKUP($V194,$C$22:$N$29,12,0))</f>
        <v>0</v>
      </c>
      <c r="BM194" s="4">
        <f t="shared" ref="BM194:BM203" si="158">INT(LOOKUP($Y194,$B$48:$B$55,D$48:D$55)*VLOOKUP($V194,$C$22:$N$29,12,0))</f>
        <v>24</v>
      </c>
      <c r="BN194" s="4">
        <f t="shared" ref="BN194:BN203" si="159">INT(LOOKUP($Y194,$B$48:$B$55,E$48:E$55)*VLOOKUP($V194,$C$22:$N$29,12,0))</f>
        <v>36</v>
      </c>
      <c r="BO194" s="4">
        <f t="shared" ref="BO194:BO203" si="160">INT(LOOKUP($Y194,$B$48:$B$55,F$48:F$55)*VLOOKUP($V194,$C$22:$N$29,12,0))</f>
        <v>54</v>
      </c>
      <c r="BP194" s="4">
        <f t="shared" ref="BP194:BP203" si="161">INT(LOOKUP($Y194,$B$48:$B$55,G$48:G$55)*VLOOKUP($V194,$C$22:$N$29,12,0))</f>
        <v>108</v>
      </c>
      <c r="BQ194" s="4">
        <f t="shared" ref="BQ194:BQ203" si="162">INT(LOOKUP($Y194,$B$48:$B$55,H$48:H$55)*VLOOKUP($V194,$C$22:$N$29,12,0))</f>
        <v>217</v>
      </c>
      <c r="BR194" s="34" t="str">
        <f t="shared" ref="BR194:BR203" si="163">IF(V194="武器",$H$68,IF(V194="手镯",$H$70,IF(V194="戒指",$H$71,$H$69)))</f>
        <v>1001,1002,1003,1004,1005,1006</v>
      </c>
      <c r="BS194" s="34" t="str">
        <f t="shared" si="145"/>
        <v>13001,13002,13003,13004,13005,13006</v>
      </c>
      <c r="BT194" s="4">
        <f>VLOOKUP(LOOKUP($Y194,$K$48:$K$55,$L$48:$L$55)&amp;BT$1&amp;$W194,装备额外附加!$M:$O,3,0)</f>
        <v>13001</v>
      </c>
      <c r="BU194" s="4">
        <f>VLOOKUP(LOOKUP($Y194,$K$48:$K$55,$L$48:$L$55)&amp;BU$1&amp;$W194,装备额外附加!$M:$O,3,0)</f>
        <v>13002</v>
      </c>
      <c r="BV194" s="4">
        <f>VLOOKUP(LOOKUP($Y194,$K$48:$K$55,$L$48:$L$55)&amp;BV$1&amp;$W194,装备额外附加!$M:$O,3,0)</f>
        <v>13003</v>
      </c>
      <c r="BW194" s="4">
        <f>VLOOKUP(LOOKUP($Y194,$K$48:$K$55,$L$48:$L$55)&amp;BW$1&amp;$W194,装备额外附加!$M:$O,3,0)</f>
        <v>13004</v>
      </c>
      <c r="BX194" s="4">
        <f>VLOOKUP(LOOKUP($Y194,$K$48:$K$55,$L$48:$L$55)&amp;BX$1&amp;$W194,装备额外附加!$M:$O,3,0)</f>
        <v>13005</v>
      </c>
      <c r="BY194" s="4">
        <f>VLOOKUP(LOOKUP($Y194,$K$48:$K$55,$L$48:$L$55)&amp;BY$1&amp;$W194,装备额外附加!$M:$O,3,0)</f>
        <v>13006</v>
      </c>
    </row>
    <row r="195" spans="18:77">
      <c r="R195" s="4" t="s">
        <v>577</v>
      </c>
      <c r="S195" s="4" t="str">
        <f t="shared" ref="S195:S203" si="164">10&amp;(U195+10)&amp;TEXT(Z195,"0")&amp;X195</f>
        <v>107032</v>
      </c>
      <c r="T195" s="4" t="s">
        <v>578</v>
      </c>
      <c r="U195" s="36">
        <v>60</v>
      </c>
      <c r="V195" s="36" t="str">
        <f t="shared" ref="V195:V203" si="165">RIGHT(T195,2)</f>
        <v>头盔</v>
      </c>
      <c r="W195" s="36" t="str">
        <f t="shared" ref="W195:W203" si="166">VLOOKUP(V195,$C$22:$I$29,7,0)</f>
        <v>护甲</v>
      </c>
      <c r="X195" s="4">
        <f t="shared" ref="X195:X203" si="167">VLOOKUP(V195,$C$22:$L$29,9,)</f>
        <v>2</v>
      </c>
      <c r="Y195" s="4">
        <f t="shared" ref="Y195:Y203" si="168">U195+VLOOKUP(RIGHT(T195,2),$C$22:$L$29,10,0)</f>
        <v>67</v>
      </c>
      <c r="Z195" s="4">
        <f t="shared" ref="Z195:Z203" si="169">VLOOKUP(MID(T195,4,2),$O$22:$P$25,2,0)</f>
        <v>3</v>
      </c>
      <c r="AA195" s="4" t="str">
        <f t="shared" ref="AA195:AA203" si="170">AC195&amp;","&amp;AD195&amp;","&amp;AE195&amp;","&amp;AF195&amp;","&amp;AG195&amp;","&amp;AH195</f>
        <v>126,151,226,378,630,1260</v>
      </c>
      <c r="AB195" s="36">
        <f t="shared" ref="AB195:AB203" si="171">LEFT(T195,2)*2</f>
        <v>140</v>
      </c>
      <c r="AC195" s="36">
        <f t="shared" si="153"/>
        <v>126</v>
      </c>
      <c r="AD195" s="36">
        <f t="shared" si="154"/>
        <v>151</v>
      </c>
      <c r="AE195" s="36">
        <f t="shared" si="154"/>
        <v>226</v>
      </c>
      <c r="AF195" s="36">
        <f t="shared" si="154"/>
        <v>378</v>
      </c>
      <c r="AG195" s="36">
        <f t="shared" si="154"/>
        <v>630</v>
      </c>
      <c r="AH195" s="36">
        <f t="shared" si="155"/>
        <v>1260</v>
      </c>
      <c r="AJ195" s="4" t="str">
        <f t="shared" ref="AJ195:AJ203" si="172">AL195&amp;","&amp;AM195&amp;","&amp;AN195&amp;","&amp;AO195&amp;","&amp;AP195&amp;","&amp;AQ195</f>
        <v>630,756,1134,1890,3150,</v>
      </c>
      <c r="AK195" s="36">
        <f t="shared" ref="AK195:AK203" si="173">LEFT(T195,2)*10</f>
        <v>700</v>
      </c>
      <c r="AL195" s="36">
        <f t="shared" si="151"/>
        <v>630</v>
      </c>
      <c r="AM195" s="36">
        <f t="shared" si="151"/>
        <v>756</v>
      </c>
      <c r="AN195" s="36">
        <f t="shared" si="151"/>
        <v>1134</v>
      </c>
      <c r="AO195" s="36">
        <f t="shared" si="151"/>
        <v>1890</v>
      </c>
      <c r="AP195" s="36">
        <f t="shared" si="151"/>
        <v>3150</v>
      </c>
      <c r="AR195" s="4" t="str">
        <f t="shared" ref="AR195:AR203" si="174">AT195&amp;","&amp;AU195&amp;","&amp;AV195&amp;","&amp;AW195&amp;","&amp;AX195&amp;","&amp;AY195</f>
        <v>50400,60480,90720,151200,252000,</v>
      </c>
      <c r="AS195" s="36">
        <f t="shared" ref="AS195:AS203" si="175">AK195*80</f>
        <v>56000</v>
      </c>
      <c r="AT195" s="36">
        <f t="shared" si="152"/>
        <v>50400</v>
      </c>
      <c r="AU195" s="36">
        <f t="shared" si="152"/>
        <v>60480</v>
      </c>
      <c r="AV195" s="36">
        <f t="shared" si="152"/>
        <v>90720</v>
      </c>
      <c r="AW195" s="36">
        <f t="shared" si="152"/>
        <v>151200</v>
      </c>
      <c r="AX195" s="36">
        <f t="shared" si="152"/>
        <v>252000</v>
      </c>
      <c r="AZ195" s="4">
        <f t="shared" ref="AZ195:AZ203" si="176">INT(LOOKUP($Y195,$B$34:$B$41,$D$34:$D$41)*VLOOKUP($V195,$C$22:$F$29,2,0))</f>
        <v>0</v>
      </c>
      <c r="BA195" s="4">
        <f t="shared" ref="BA195:BA203" si="177">INT(LOOKUP($Y195,$B$34:$B$41,$F$34:$F$41)*VLOOKUP($V195,$C$22:$F$29,3,0))</f>
        <v>16</v>
      </c>
      <c r="BB195" s="4">
        <f t="shared" ref="BB195:BB203" si="178">INT(LOOKUP($Y195,$B$34:$B$41,$I$34:$I$41)*VLOOKUP($V195,$C$22:$F$29,4,0))</f>
        <v>13</v>
      </c>
      <c r="BC195" s="35" t="str">
        <f t="shared" ref="BC195:BC203" si="179">IF(AZ195=0,"",AZ195&amp;",")</f>
        <v/>
      </c>
      <c r="BD195" s="35" t="str">
        <f t="shared" si="156"/>
        <v>35,</v>
      </c>
      <c r="BE195" s="35" t="str">
        <f t="shared" ref="BE195:BE203" si="180">IF(BB195=0,"",BB195&amp;",")</f>
        <v>13,</v>
      </c>
      <c r="BF195" s="36" t="str">
        <f t="shared" ref="BF195:BF203" si="181">IF(AZ195=0,"","1,")</f>
        <v/>
      </c>
      <c r="BG195" s="36" t="str">
        <f>IF(BA195=0,"",IF(Z195=0,"3,4,5",VLOOKUP(Z195,{1,3;2,4;3,5},2,0))&amp;",")</f>
        <v>5,</v>
      </c>
      <c r="BH195" s="36" t="str">
        <f t="shared" ref="BH195:BH203" si="182">IF(BB195=0,"","6,")</f>
        <v>6,</v>
      </c>
      <c r="BI195" s="34" t="str">
        <f t="shared" ref="BI195:BI203" si="183">LEFT(BF195&amp;BG195&amp;BH195,LEN(BF195&amp;BG195&amp;BH195)-1)</f>
        <v>5,6</v>
      </c>
      <c r="BJ195" s="34" t="str">
        <f t="shared" si="146"/>
        <v>35,13</v>
      </c>
      <c r="BK195" s="34" t="str">
        <f t="shared" ref="BK195:BK203" si="184">BL195&amp;","&amp;BM195&amp;","&amp;BN195&amp;","&amp;BO195&amp;","&amp;BP195&amp;","&amp;BQ195</f>
        <v>0,16,24,36,72,145</v>
      </c>
      <c r="BL195" s="4">
        <f t="shared" si="157"/>
        <v>0</v>
      </c>
      <c r="BM195" s="4">
        <f t="shared" si="158"/>
        <v>16</v>
      </c>
      <c r="BN195" s="4">
        <f t="shared" si="159"/>
        <v>24</v>
      </c>
      <c r="BO195" s="4">
        <f t="shared" si="160"/>
        <v>36</v>
      </c>
      <c r="BP195" s="4">
        <f t="shared" si="161"/>
        <v>72</v>
      </c>
      <c r="BQ195" s="4">
        <f t="shared" si="162"/>
        <v>145</v>
      </c>
      <c r="BR195" s="34" t="str">
        <f t="shared" si="163"/>
        <v>2001,2002,2003,2004,2005,2006</v>
      </c>
      <c r="BS195" s="34" t="str">
        <f t="shared" ref="BS195:BS203" si="185">BT195&amp;","&amp;BU195&amp;","&amp;BV195&amp;","&amp;BW195&amp;","&amp;BX195&amp;","&amp;BY195</f>
        <v>23001,23002,23003,23004,23005,23006</v>
      </c>
      <c r="BT195" s="4">
        <f>VLOOKUP(LOOKUP($Y195,$K$48:$K$55,$L$48:$L$55)&amp;BT$1&amp;$W195,装备额外附加!$M:$O,3,0)</f>
        <v>23001</v>
      </c>
      <c r="BU195" s="4">
        <f>VLOOKUP(LOOKUP($Y195,$K$48:$K$55,$L$48:$L$55)&amp;BU$1&amp;$W195,装备额外附加!$M:$O,3,0)</f>
        <v>23002</v>
      </c>
      <c r="BV195" s="4">
        <f>VLOOKUP(LOOKUP($Y195,$K$48:$K$55,$L$48:$L$55)&amp;BV$1&amp;$W195,装备额外附加!$M:$O,3,0)</f>
        <v>23003</v>
      </c>
      <c r="BW195" s="4">
        <f>VLOOKUP(LOOKUP($Y195,$K$48:$K$55,$L$48:$L$55)&amp;BW$1&amp;$W195,装备额外附加!$M:$O,3,0)</f>
        <v>23004</v>
      </c>
      <c r="BX195" s="4">
        <f>VLOOKUP(LOOKUP($Y195,$K$48:$K$55,$L$48:$L$55)&amp;BX$1&amp;$W195,装备额外附加!$M:$O,3,0)</f>
        <v>23005</v>
      </c>
      <c r="BY195" s="4">
        <f>VLOOKUP(LOOKUP($Y195,$K$48:$K$55,$L$48:$L$55)&amp;BY$1&amp;$W195,装备额外附加!$M:$O,3,0)</f>
        <v>23006</v>
      </c>
    </row>
    <row r="196" spans="18:77">
      <c r="R196" s="4" t="s">
        <v>579</v>
      </c>
      <c r="S196" s="4" t="str">
        <f t="shared" si="164"/>
        <v>107033</v>
      </c>
      <c r="T196" s="4" t="s">
        <v>580</v>
      </c>
      <c r="U196" s="36">
        <v>60</v>
      </c>
      <c r="V196" s="36" t="str">
        <f t="shared" si="165"/>
        <v>衣服</v>
      </c>
      <c r="W196" s="36" t="str">
        <f t="shared" si="166"/>
        <v>护甲</v>
      </c>
      <c r="X196" s="4">
        <f t="shared" si="167"/>
        <v>3</v>
      </c>
      <c r="Y196" s="4">
        <f t="shared" si="168"/>
        <v>65</v>
      </c>
      <c r="Z196" s="4">
        <f t="shared" si="169"/>
        <v>3</v>
      </c>
      <c r="AA196" s="4" t="str">
        <f t="shared" si="170"/>
        <v>126,151,226,378,630,1260</v>
      </c>
      <c r="AB196" s="36">
        <f t="shared" si="171"/>
        <v>140</v>
      </c>
      <c r="AC196" s="36">
        <f t="shared" si="153"/>
        <v>126</v>
      </c>
      <c r="AD196" s="36">
        <f t="shared" si="154"/>
        <v>151</v>
      </c>
      <c r="AE196" s="36">
        <f t="shared" si="154"/>
        <v>226</v>
      </c>
      <c r="AF196" s="36">
        <f t="shared" si="154"/>
        <v>378</v>
      </c>
      <c r="AG196" s="36">
        <f t="shared" si="154"/>
        <v>630</v>
      </c>
      <c r="AH196" s="36">
        <f t="shared" si="155"/>
        <v>1260</v>
      </c>
      <c r="AJ196" s="4" t="str">
        <f t="shared" si="172"/>
        <v>630,756,1134,1890,3150,</v>
      </c>
      <c r="AK196" s="36">
        <f t="shared" si="173"/>
        <v>700</v>
      </c>
      <c r="AL196" s="36">
        <f t="shared" si="151"/>
        <v>630</v>
      </c>
      <c r="AM196" s="36">
        <f t="shared" si="151"/>
        <v>756</v>
      </c>
      <c r="AN196" s="36">
        <f t="shared" si="151"/>
        <v>1134</v>
      </c>
      <c r="AO196" s="36">
        <f t="shared" si="151"/>
        <v>1890</v>
      </c>
      <c r="AP196" s="36">
        <f t="shared" si="151"/>
        <v>3150</v>
      </c>
      <c r="AR196" s="4" t="str">
        <f t="shared" si="174"/>
        <v>50400,60480,90720,151200,252000,</v>
      </c>
      <c r="AS196" s="36">
        <f t="shared" si="175"/>
        <v>56000</v>
      </c>
      <c r="AT196" s="36">
        <f t="shared" si="152"/>
        <v>50400</v>
      </c>
      <c r="AU196" s="36">
        <f t="shared" si="152"/>
        <v>60480</v>
      </c>
      <c r="AV196" s="36">
        <f t="shared" si="152"/>
        <v>90720</v>
      </c>
      <c r="AW196" s="36">
        <f t="shared" si="152"/>
        <v>151200</v>
      </c>
      <c r="AX196" s="36">
        <f t="shared" si="152"/>
        <v>252000</v>
      </c>
      <c r="AZ196" s="4">
        <f t="shared" si="176"/>
        <v>243</v>
      </c>
      <c r="BA196" s="4">
        <f t="shared" si="177"/>
        <v>0</v>
      </c>
      <c r="BB196" s="4">
        <f t="shared" si="178"/>
        <v>13</v>
      </c>
      <c r="BC196" s="35" t="str">
        <f t="shared" si="179"/>
        <v>243,</v>
      </c>
      <c r="BD196" s="35" t="str">
        <f t="shared" si="156"/>
        <v/>
      </c>
      <c r="BE196" s="35" t="str">
        <f t="shared" si="180"/>
        <v>13,</v>
      </c>
      <c r="BF196" s="36" t="str">
        <f t="shared" si="181"/>
        <v>1,</v>
      </c>
      <c r="BG196" s="36" t="str">
        <f>IF(BA196=0,"",IF(Z196=0,"3,4,5",VLOOKUP(Z196,{1,3;2,4;3,5},2,0))&amp;",")</f>
        <v/>
      </c>
      <c r="BH196" s="36" t="str">
        <f t="shared" si="182"/>
        <v>6,</v>
      </c>
      <c r="BI196" s="34" t="str">
        <f t="shared" si="183"/>
        <v>1,6</v>
      </c>
      <c r="BJ196" s="34" t="str">
        <f t="shared" ref="BJ196:BJ203" si="186">LEFT(BC196&amp;BD196&amp;BE196,LEN(BC196&amp;BD196&amp;BE196)-1)</f>
        <v>243,13</v>
      </c>
      <c r="BK196" s="34" t="str">
        <f t="shared" si="184"/>
        <v>0,16,24,36,72,145</v>
      </c>
      <c r="BL196" s="4">
        <f t="shared" si="157"/>
        <v>0</v>
      </c>
      <c r="BM196" s="4">
        <f t="shared" si="158"/>
        <v>16</v>
      </c>
      <c r="BN196" s="4">
        <f t="shared" si="159"/>
        <v>24</v>
      </c>
      <c r="BO196" s="4">
        <f t="shared" si="160"/>
        <v>36</v>
      </c>
      <c r="BP196" s="4">
        <f t="shared" si="161"/>
        <v>72</v>
      </c>
      <c r="BQ196" s="4">
        <f t="shared" si="162"/>
        <v>145</v>
      </c>
      <c r="BR196" s="34" t="str">
        <f t="shared" si="163"/>
        <v>2001,2002,2003,2004,2005,2006</v>
      </c>
      <c r="BS196" s="34" t="str">
        <f t="shared" si="185"/>
        <v>23001,23002,23003,23004,23005,23006</v>
      </c>
      <c r="BT196" s="4">
        <f>VLOOKUP(LOOKUP($Y196,$K$48:$K$55,$L$48:$L$55)&amp;BT$1&amp;$W196,装备额外附加!$M:$O,3,0)</f>
        <v>23001</v>
      </c>
      <c r="BU196" s="4">
        <f>VLOOKUP(LOOKUP($Y196,$K$48:$K$55,$L$48:$L$55)&amp;BU$1&amp;$W196,装备额外附加!$M:$O,3,0)</f>
        <v>23002</v>
      </c>
      <c r="BV196" s="4">
        <f>VLOOKUP(LOOKUP($Y196,$K$48:$K$55,$L$48:$L$55)&amp;BV$1&amp;$W196,装备额外附加!$M:$O,3,0)</f>
        <v>23003</v>
      </c>
      <c r="BW196" s="4">
        <f>VLOOKUP(LOOKUP($Y196,$K$48:$K$55,$L$48:$L$55)&amp;BW$1&amp;$W196,装备额外附加!$M:$O,3,0)</f>
        <v>23004</v>
      </c>
      <c r="BX196" s="4">
        <f>VLOOKUP(LOOKUP($Y196,$K$48:$K$55,$L$48:$L$55)&amp;BX$1&amp;$W196,装备额外附加!$M:$O,3,0)</f>
        <v>23005</v>
      </c>
      <c r="BY196" s="4">
        <f>VLOOKUP(LOOKUP($Y196,$K$48:$K$55,$L$48:$L$55)&amp;BY$1&amp;$W196,装备额外附加!$M:$O,3,0)</f>
        <v>23006</v>
      </c>
    </row>
    <row r="197" spans="18:77">
      <c r="R197" s="4" t="s">
        <v>581</v>
      </c>
      <c r="S197" s="4" t="str">
        <f t="shared" si="164"/>
        <v>107034</v>
      </c>
      <c r="T197" s="4" t="s">
        <v>582</v>
      </c>
      <c r="U197" s="36">
        <v>60</v>
      </c>
      <c r="V197" s="36" t="str">
        <f t="shared" si="165"/>
        <v>腰带</v>
      </c>
      <c r="W197" s="36" t="str">
        <f t="shared" si="166"/>
        <v>护甲</v>
      </c>
      <c r="X197" s="4">
        <f t="shared" si="167"/>
        <v>4</v>
      </c>
      <c r="Y197" s="4">
        <f t="shared" si="168"/>
        <v>68</v>
      </c>
      <c r="Z197" s="4">
        <f t="shared" si="169"/>
        <v>3</v>
      </c>
      <c r="AA197" s="4" t="str">
        <f t="shared" si="170"/>
        <v>112,134,201,336,560,1120</v>
      </c>
      <c r="AB197" s="36">
        <f t="shared" si="171"/>
        <v>140</v>
      </c>
      <c r="AC197" s="36">
        <f t="shared" si="153"/>
        <v>112</v>
      </c>
      <c r="AD197" s="36">
        <f t="shared" si="154"/>
        <v>134</v>
      </c>
      <c r="AE197" s="36">
        <f t="shared" si="154"/>
        <v>201</v>
      </c>
      <c r="AF197" s="36">
        <f t="shared" si="154"/>
        <v>336</v>
      </c>
      <c r="AG197" s="36">
        <f t="shared" si="154"/>
        <v>560</v>
      </c>
      <c r="AH197" s="36">
        <f t="shared" si="155"/>
        <v>1120</v>
      </c>
      <c r="AJ197" s="4" t="str">
        <f t="shared" si="172"/>
        <v>560,672,1008,1680,2800,</v>
      </c>
      <c r="AK197" s="36">
        <f t="shared" si="173"/>
        <v>700</v>
      </c>
      <c r="AL197" s="36">
        <f t="shared" si="151"/>
        <v>560</v>
      </c>
      <c r="AM197" s="36">
        <f t="shared" si="151"/>
        <v>672</v>
      </c>
      <c r="AN197" s="36">
        <f t="shared" si="151"/>
        <v>1008</v>
      </c>
      <c r="AO197" s="36">
        <f t="shared" si="151"/>
        <v>1680</v>
      </c>
      <c r="AP197" s="36">
        <f t="shared" si="151"/>
        <v>2800</v>
      </c>
      <c r="AR197" s="4" t="str">
        <f t="shared" si="174"/>
        <v>44800,53760,80640,134400,224000,</v>
      </c>
      <c r="AS197" s="36">
        <f t="shared" si="175"/>
        <v>56000</v>
      </c>
      <c r="AT197" s="36">
        <f t="shared" si="152"/>
        <v>44800</v>
      </c>
      <c r="AU197" s="36">
        <f t="shared" si="152"/>
        <v>53760</v>
      </c>
      <c r="AV197" s="36">
        <f t="shared" si="152"/>
        <v>80640</v>
      </c>
      <c r="AW197" s="36">
        <f t="shared" si="152"/>
        <v>134400</v>
      </c>
      <c r="AX197" s="36">
        <f t="shared" si="152"/>
        <v>224000</v>
      </c>
      <c r="AZ197" s="4">
        <f t="shared" si="176"/>
        <v>121</v>
      </c>
      <c r="BA197" s="4">
        <f t="shared" si="177"/>
        <v>0</v>
      </c>
      <c r="BB197" s="4">
        <f t="shared" si="178"/>
        <v>10</v>
      </c>
      <c r="BC197" s="35" t="str">
        <f t="shared" si="179"/>
        <v>121,</v>
      </c>
      <c r="BD197" s="35" t="str">
        <f t="shared" si="156"/>
        <v/>
      </c>
      <c r="BE197" s="35" t="str">
        <f t="shared" si="180"/>
        <v>10,</v>
      </c>
      <c r="BF197" s="36" t="str">
        <f t="shared" si="181"/>
        <v>1,</v>
      </c>
      <c r="BG197" s="36" t="str">
        <f>IF(BA197=0,"",IF(Z197=0,"3,4,5",VLOOKUP(Z197,{1,3;2,4;3,5},2,0))&amp;",")</f>
        <v/>
      </c>
      <c r="BH197" s="36" t="str">
        <f t="shared" si="182"/>
        <v>6,</v>
      </c>
      <c r="BI197" s="34" t="str">
        <f t="shared" si="183"/>
        <v>1,6</v>
      </c>
      <c r="BJ197" s="34" t="str">
        <f t="shared" si="186"/>
        <v>121,10</v>
      </c>
      <c r="BK197" s="34" t="str">
        <f t="shared" si="184"/>
        <v>0,16,24,36,72,145</v>
      </c>
      <c r="BL197" s="4">
        <f t="shared" si="157"/>
        <v>0</v>
      </c>
      <c r="BM197" s="4">
        <f t="shared" si="158"/>
        <v>16</v>
      </c>
      <c r="BN197" s="4">
        <f t="shared" si="159"/>
        <v>24</v>
      </c>
      <c r="BO197" s="4">
        <f t="shared" si="160"/>
        <v>36</v>
      </c>
      <c r="BP197" s="4">
        <f t="shared" si="161"/>
        <v>72</v>
      </c>
      <c r="BQ197" s="4">
        <f t="shared" si="162"/>
        <v>145</v>
      </c>
      <c r="BR197" s="34" t="str">
        <f t="shared" si="163"/>
        <v>2001,2002,2003,2004,2005,2006</v>
      </c>
      <c r="BS197" s="34" t="str">
        <f t="shared" si="185"/>
        <v>23001,23002,23003,23004,23005,23006</v>
      </c>
      <c r="BT197" s="4">
        <f>VLOOKUP(LOOKUP($Y197,$K$48:$K$55,$L$48:$L$55)&amp;BT$1&amp;$W197,装备额外附加!$M:$O,3,0)</f>
        <v>23001</v>
      </c>
      <c r="BU197" s="4">
        <f>VLOOKUP(LOOKUP($Y197,$K$48:$K$55,$L$48:$L$55)&amp;BU$1&amp;$W197,装备额外附加!$M:$O,3,0)</f>
        <v>23002</v>
      </c>
      <c r="BV197" s="4">
        <f>VLOOKUP(LOOKUP($Y197,$K$48:$K$55,$L$48:$L$55)&amp;BV$1&amp;$W197,装备额外附加!$M:$O,3,0)</f>
        <v>23003</v>
      </c>
      <c r="BW197" s="4">
        <f>VLOOKUP(LOOKUP($Y197,$K$48:$K$55,$L$48:$L$55)&amp;BW$1&amp;$W197,装备额外附加!$M:$O,3,0)</f>
        <v>23004</v>
      </c>
      <c r="BX197" s="4">
        <f>VLOOKUP(LOOKUP($Y197,$K$48:$K$55,$L$48:$L$55)&amp;BX$1&amp;$W197,装备额外附加!$M:$O,3,0)</f>
        <v>23005</v>
      </c>
      <c r="BY197" s="4">
        <f>VLOOKUP(LOOKUP($Y197,$K$48:$K$55,$L$48:$L$55)&amp;BY$1&amp;$W197,装备额外附加!$M:$O,3,0)</f>
        <v>23006</v>
      </c>
    </row>
    <row r="198" spans="18:77">
      <c r="R198" s="4" t="s">
        <v>583</v>
      </c>
      <c r="S198" s="4" t="str">
        <f t="shared" si="164"/>
        <v>107035</v>
      </c>
      <c r="T198" s="4" t="s">
        <v>584</v>
      </c>
      <c r="U198" s="36">
        <v>60</v>
      </c>
      <c r="V198" s="36" t="str">
        <f t="shared" si="165"/>
        <v>鞋子</v>
      </c>
      <c r="W198" s="36" t="str">
        <f t="shared" si="166"/>
        <v>护甲</v>
      </c>
      <c r="X198" s="4">
        <f t="shared" si="167"/>
        <v>5</v>
      </c>
      <c r="Y198" s="4">
        <f t="shared" si="168"/>
        <v>62</v>
      </c>
      <c r="Z198" s="4">
        <f t="shared" si="169"/>
        <v>3</v>
      </c>
      <c r="AA198" s="4" t="str">
        <f t="shared" si="170"/>
        <v>112,134,201,336,560,1120</v>
      </c>
      <c r="AB198" s="36">
        <f t="shared" si="171"/>
        <v>140</v>
      </c>
      <c r="AC198" s="36">
        <f t="shared" si="153"/>
        <v>112</v>
      </c>
      <c r="AD198" s="36">
        <f t="shared" ref="AD198:AG203" si="187">INT($AB198*VLOOKUP(AD$1,$B$11:$L$16,11,0)*VLOOKUP($V198,$C$22:$M$29,11,0))</f>
        <v>134</v>
      </c>
      <c r="AE198" s="36">
        <f t="shared" si="187"/>
        <v>201</v>
      </c>
      <c r="AF198" s="36">
        <f t="shared" si="187"/>
        <v>336</v>
      </c>
      <c r="AG198" s="36">
        <f t="shared" si="187"/>
        <v>560</v>
      </c>
      <c r="AH198" s="36">
        <f t="shared" si="155"/>
        <v>1120</v>
      </c>
      <c r="AJ198" s="4" t="str">
        <f t="shared" si="172"/>
        <v>560,672,1008,1680,2800,</v>
      </c>
      <c r="AK198" s="36">
        <f t="shared" si="173"/>
        <v>700</v>
      </c>
      <c r="AL198" s="36">
        <f t="shared" si="151"/>
        <v>560</v>
      </c>
      <c r="AM198" s="36">
        <f t="shared" si="151"/>
        <v>672</v>
      </c>
      <c r="AN198" s="36">
        <f t="shared" si="151"/>
        <v>1008</v>
      </c>
      <c r="AO198" s="36">
        <f t="shared" si="151"/>
        <v>1680</v>
      </c>
      <c r="AP198" s="36">
        <f t="shared" si="151"/>
        <v>2800</v>
      </c>
      <c r="AR198" s="4" t="str">
        <f t="shared" si="174"/>
        <v>44800,53760,80640,134400,224000,</v>
      </c>
      <c r="AS198" s="36">
        <f t="shared" si="175"/>
        <v>56000</v>
      </c>
      <c r="AT198" s="36">
        <f t="shared" si="152"/>
        <v>44800</v>
      </c>
      <c r="AU198" s="36">
        <f t="shared" si="152"/>
        <v>53760</v>
      </c>
      <c r="AV198" s="36">
        <f t="shared" si="152"/>
        <v>80640</v>
      </c>
      <c r="AW198" s="36">
        <f t="shared" si="152"/>
        <v>134400</v>
      </c>
      <c r="AX198" s="36">
        <f t="shared" si="152"/>
        <v>224000</v>
      </c>
      <c r="AZ198" s="4">
        <f t="shared" si="176"/>
        <v>121</v>
      </c>
      <c r="BA198" s="4">
        <f t="shared" si="177"/>
        <v>0</v>
      </c>
      <c r="BB198" s="4">
        <f t="shared" si="178"/>
        <v>10</v>
      </c>
      <c r="BC198" s="35" t="str">
        <f t="shared" si="179"/>
        <v>121,</v>
      </c>
      <c r="BD198" s="35" t="str">
        <f t="shared" si="156"/>
        <v/>
      </c>
      <c r="BE198" s="35" t="str">
        <f t="shared" si="180"/>
        <v>10,</v>
      </c>
      <c r="BF198" s="36" t="str">
        <f t="shared" si="181"/>
        <v>1,</v>
      </c>
      <c r="BG198" s="36" t="str">
        <f>IF(BA198=0,"",IF(Z198=0,"3,4,5",VLOOKUP(Z198,{1,3;2,4;3,5},2,0))&amp;",")</f>
        <v/>
      </c>
      <c r="BH198" s="36" t="str">
        <f t="shared" si="182"/>
        <v>6,</v>
      </c>
      <c r="BI198" s="34" t="str">
        <f t="shared" si="183"/>
        <v>1,6</v>
      </c>
      <c r="BJ198" s="34" t="str">
        <f t="shared" si="186"/>
        <v>121,10</v>
      </c>
      <c r="BK198" s="34" t="str">
        <f t="shared" si="184"/>
        <v>0,16,24,36,72,145</v>
      </c>
      <c r="BL198" s="4">
        <f t="shared" si="157"/>
        <v>0</v>
      </c>
      <c r="BM198" s="4">
        <f t="shared" si="158"/>
        <v>16</v>
      </c>
      <c r="BN198" s="4">
        <f t="shared" si="159"/>
        <v>24</v>
      </c>
      <c r="BO198" s="4">
        <f t="shared" si="160"/>
        <v>36</v>
      </c>
      <c r="BP198" s="4">
        <f t="shared" si="161"/>
        <v>72</v>
      </c>
      <c r="BQ198" s="4">
        <f t="shared" si="162"/>
        <v>145</v>
      </c>
      <c r="BR198" s="34" t="str">
        <f t="shared" si="163"/>
        <v>2001,2002,2003,2004,2005,2006</v>
      </c>
      <c r="BS198" s="34" t="str">
        <f t="shared" si="185"/>
        <v>23001,23002,23003,23004,23005,23006</v>
      </c>
      <c r="BT198" s="4">
        <f>VLOOKUP(LOOKUP($Y198,$K$48:$K$55,$L$48:$L$55)&amp;BT$1&amp;$W198,装备额外附加!$M:$O,3,0)</f>
        <v>23001</v>
      </c>
      <c r="BU198" s="4">
        <f>VLOOKUP(LOOKUP($Y198,$K$48:$K$55,$L$48:$L$55)&amp;BU$1&amp;$W198,装备额外附加!$M:$O,3,0)</f>
        <v>23002</v>
      </c>
      <c r="BV198" s="4">
        <f>VLOOKUP(LOOKUP($Y198,$K$48:$K$55,$L$48:$L$55)&amp;BV$1&amp;$W198,装备额外附加!$M:$O,3,0)</f>
        <v>23003</v>
      </c>
      <c r="BW198" s="4">
        <f>VLOOKUP(LOOKUP($Y198,$K$48:$K$55,$L$48:$L$55)&amp;BW$1&amp;$W198,装备额外附加!$M:$O,3,0)</f>
        <v>23004</v>
      </c>
      <c r="BX198" s="4">
        <f>VLOOKUP(LOOKUP($Y198,$K$48:$K$55,$L$48:$L$55)&amp;BX$1&amp;$W198,装备额外附加!$M:$O,3,0)</f>
        <v>23005</v>
      </c>
      <c r="BY198" s="4">
        <f>VLOOKUP(LOOKUP($Y198,$K$48:$K$55,$L$48:$L$55)&amp;BY$1&amp;$W198,装备额外附加!$M:$O,3,0)</f>
        <v>23006</v>
      </c>
    </row>
    <row r="199" spans="18:77">
      <c r="R199" s="4" t="s">
        <v>585</v>
      </c>
      <c r="S199" s="4" t="str">
        <f t="shared" si="164"/>
        <v>108031</v>
      </c>
      <c r="T199" s="4" t="s">
        <v>586</v>
      </c>
      <c r="U199" s="36">
        <v>70</v>
      </c>
      <c r="V199" s="36" t="str">
        <f t="shared" si="165"/>
        <v>武器</v>
      </c>
      <c r="W199" s="36" t="str">
        <f t="shared" si="166"/>
        <v>武器</v>
      </c>
      <c r="X199" s="4">
        <f t="shared" si="167"/>
        <v>1</v>
      </c>
      <c r="Y199" s="4">
        <f t="shared" si="168"/>
        <v>71</v>
      </c>
      <c r="Z199" s="4">
        <f t="shared" si="169"/>
        <v>3</v>
      </c>
      <c r="AA199" s="4" t="str">
        <f t="shared" si="170"/>
        <v>160,192,288,480,800,1600</v>
      </c>
      <c r="AB199" s="36">
        <f t="shared" si="171"/>
        <v>160</v>
      </c>
      <c r="AC199" s="36">
        <f t="shared" si="153"/>
        <v>160</v>
      </c>
      <c r="AD199" s="36">
        <f t="shared" si="187"/>
        <v>192</v>
      </c>
      <c r="AE199" s="36">
        <f t="shared" si="187"/>
        <v>288</v>
      </c>
      <c r="AF199" s="36">
        <f t="shared" si="187"/>
        <v>480</v>
      </c>
      <c r="AG199" s="36">
        <f t="shared" si="187"/>
        <v>800</v>
      </c>
      <c r="AH199" s="36">
        <f t="shared" si="155"/>
        <v>1600</v>
      </c>
      <c r="AJ199" s="4" t="str">
        <f t="shared" si="172"/>
        <v>800,960,1440,2400,4000,</v>
      </c>
      <c r="AK199" s="36">
        <f t="shared" si="173"/>
        <v>800</v>
      </c>
      <c r="AL199" s="36">
        <f t="shared" si="151"/>
        <v>800</v>
      </c>
      <c r="AM199" s="36">
        <f t="shared" si="151"/>
        <v>960</v>
      </c>
      <c r="AN199" s="36">
        <f t="shared" si="151"/>
        <v>1440</v>
      </c>
      <c r="AO199" s="36">
        <f t="shared" si="151"/>
        <v>2400</v>
      </c>
      <c r="AP199" s="36">
        <f t="shared" si="151"/>
        <v>4000</v>
      </c>
      <c r="AR199" s="4" t="str">
        <f t="shared" si="174"/>
        <v>64000,76800,115200,192000,320000,</v>
      </c>
      <c r="AS199" s="36">
        <f t="shared" si="175"/>
        <v>64000</v>
      </c>
      <c r="AT199" s="36">
        <f t="shared" si="152"/>
        <v>64000</v>
      </c>
      <c r="AU199" s="36">
        <f t="shared" si="152"/>
        <v>76800</v>
      </c>
      <c r="AV199" s="36">
        <f t="shared" si="152"/>
        <v>115200</v>
      </c>
      <c r="AW199" s="36">
        <f t="shared" si="152"/>
        <v>192000</v>
      </c>
      <c r="AX199" s="36">
        <f t="shared" si="152"/>
        <v>320000</v>
      </c>
      <c r="AZ199" s="4">
        <f t="shared" si="176"/>
        <v>0</v>
      </c>
      <c r="BA199" s="4">
        <f t="shared" si="177"/>
        <v>44</v>
      </c>
      <c r="BB199" s="4">
        <f t="shared" si="178"/>
        <v>0</v>
      </c>
      <c r="BC199" s="35" t="str">
        <f t="shared" si="179"/>
        <v/>
      </c>
      <c r="BD199" s="35" t="str">
        <f t="shared" si="156"/>
        <v>96,</v>
      </c>
      <c r="BE199" s="35" t="str">
        <f t="shared" si="180"/>
        <v/>
      </c>
      <c r="BF199" s="36" t="str">
        <f t="shared" si="181"/>
        <v/>
      </c>
      <c r="BG199" s="36" t="str">
        <f>IF(BA199=0,"",IF(Z199=0,"3,4,5",VLOOKUP(Z199,{1,3;2,4;3,5},2,0))&amp;",")</f>
        <v>5,</v>
      </c>
      <c r="BH199" s="36" t="str">
        <f t="shared" si="182"/>
        <v/>
      </c>
      <c r="BI199" s="34" t="str">
        <f t="shared" si="183"/>
        <v>5</v>
      </c>
      <c r="BJ199" s="34" t="str">
        <f t="shared" si="186"/>
        <v>96</v>
      </c>
      <c r="BK199" s="34" t="str">
        <f t="shared" si="184"/>
        <v>0,33,49,75,150,300</v>
      </c>
      <c r="BL199" s="4">
        <f t="shared" si="157"/>
        <v>0</v>
      </c>
      <c r="BM199" s="4">
        <f t="shared" si="158"/>
        <v>33</v>
      </c>
      <c r="BN199" s="4">
        <f t="shared" si="159"/>
        <v>49</v>
      </c>
      <c r="BO199" s="4">
        <f t="shared" si="160"/>
        <v>75</v>
      </c>
      <c r="BP199" s="4">
        <f t="shared" si="161"/>
        <v>150</v>
      </c>
      <c r="BQ199" s="4">
        <f t="shared" si="162"/>
        <v>300</v>
      </c>
      <c r="BR199" s="34" t="str">
        <f t="shared" si="163"/>
        <v>1001,1002,1003,1004,1005,1006</v>
      </c>
      <c r="BS199" s="34" t="str">
        <f t="shared" si="185"/>
        <v>13001,13002,13003,13004,13005,13006</v>
      </c>
      <c r="BT199" s="4">
        <f>VLOOKUP(LOOKUP($Y199,$K$48:$K$55,$L$48:$L$55)&amp;BT$1&amp;$W199,装备额外附加!$M:$O,3,0)</f>
        <v>13001</v>
      </c>
      <c r="BU199" s="4">
        <f>VLOOKUP(LOOKUP($Y199,$K$48:$K$55,$L$48:$L$55)&amp;BU$1&amp;$W199,装备额外附加!$M:$O,3,0)</f>
        <v>13002</v>
      </c>
      <c r="BV199" s="4">
        <f>VLOOKUP(LOOKUP($Y199,$K$48:$K$55,$L$48:$L$55)&amp;BV$1&amp;$W199,装备额外附加!$M:$O,3,0)</f>
        <v>13003</v>
      </c>
      <c r="BW199" s="4">
        <f>VLOOKUP(LOOKUP($Y199,$K$48:$K$55,$L$48:$L$55)&amp;BW$1&amp;$W199,装备额外附加!$M:$O,3,0)</f>
        <v>13004</v>
      </c>
      <c r="BX199" s="4">
        <f>VLOOKUP(LOOKUP($Y199,$K$48:$K$55,$L$48:$L$55)&amp;BX$1&amp;$W199,装备额外附加!$M:$O,3,0)</f>
        <v>13005</v>
      </c>
      <c r="BY199" s="4">
        <f>VLOOKUP(LOOKUP($Y199,$K$48:$K$55,$L$48:$L$55)&amp;BY$1&amp;$W199,装备额外附加!$M:$O,3,0)</f>
        <v>13006</v>
      </c>
    </row>
    <row r="200" spans="18:77">
      <c r="R200" s="4" t="s">
        <v>587</v>
      </c>
      <c r="S200" s="4" t="str">
        <f t="shared" si="164"/>
        <v>108032</v>
      </c>
      <c r="T200" s="4" t="s">
        <v>588</v>
      </c>
      <c r="U200" s="36">
        <v>70</v>
      </c>
      <c r="V200" s="36" t="str">
        <f t="shared" si="165"/>
        <v>头盔</v>
      </c>
      <c r="W200" s="36" t="str">
        <f t="shared" si="166"/>
        <v>护甲</v>
      </c>
      <c r="X200" s="4">
        <f t="shared" si="167"/>
        <v>2</v>
      </c>
      <c r="Y200" s="4">
        <f t="shared" si="168"/>
        <v>77</v>
      </c>
      <c r="Z200" s="4">
        <f t="shared" si="169"/>
        <v>3</v>
      </c>
      <c r="AA200" s="4" t="str">
        <f t="shared" si="170"/>
        <v>144,172,259,432,720,1440</v>
      </c>
      <c r="AB200" s="36">
        <f t="shared" si="171"/>
        <v>160</v>
      </c>
      <c r="AC200" s="36">
        <f t="shared" si="153"/>
        <v>144</v>
      </c>
      <c r="AD200" s="36">
        <f t="shared" si="187"/>
        <v>172</v>
      </c>
      <c r="AE200" s="36">
        <f t="shared" si="187"/>
        <v>259</v>
      </c>
      <c r="AF200" s="36">
        <f t="shared" si="187"/>
        <v>432</v>
      </c>
      <c r="AG200" s="36">
        <f t="shared" si="187"/>
        <v>720</v>
      </c>
      <c r="AH200" s="36">
        <f t="shared" si="155"/>
        <v>1440</v>
      </c>
      <c r="AJ200" s="4" t="str">
        <f t="shared" si="172"/>
        <v>720,864,1296,2160,3600,</v>
      </c>
      <c r="AK200" s="36">
        <f t="shared" si="173"/>
        <v>800</v>
      </c>
      <c r="AL200" s="36">
        <f t="shared" si="151"/>
        <v>720</v>
      </c>
      <c r="AM200" s="36">
        <f t="shared" si="151"/>
        <v>864</v>
      </c>
      <c r="AN200" s="36">
        <f t="shared" si="151"/>
        <v>1296</v>
      </c>
      <c r="AO200" s="36">
        <f t="shared" si="151"/>
        <v>2160</v>
      </c>
      <c r="AP200" s="36">
        <f t="shared" si="151"/>
        <v>3600</v>
      </c>
      <c r="AR200" s="4" t="str">
        <f t="shared" si="174"/>
        <v>57600,69120,103680,172800,288000,</v>
      </c>
      <c r="AS200" s="36">
        <f t="shared" si="175"/>
        <v>64000</v>
      </c>
      <c r="AT200" s="36">
        <f t="shared" si="152"/>
        <v>57600</v>
      </c>
      <c r="AU200" s="36">
        <f t="shared" si="152"/>
        <v>69120</v>
      </c>
      <c r="AV200" s="36">
        <f t="shared" si="152"/>
        <v>103680</v>
      </c>
      <c r="AW200" s="36">
        <f t="shared" si="152"/>
        <v>172800</v>
      </c>
      <c r="AX200" s="36">
        <f t="shared" si="152"/>
        <v>288000</v>
      </c>
      <c r="AZ200" s="4">
        <f t="shared" si="176"/>
        <v>0</v>
      </c>
      <c r="BA200" s="4">
        <f t="shared" si="177"/>
        <v>22</v>
      </c>
      <c r="BB200" s="4">
        <f t="shared" si="178"/>
        <v>18</v>
      </c>
      <c r="BC200" s="35" t="str">
        <f t="shared" si="179"/>
        <v/>
      </c>
      <c r="BD200" s="35" t="str">
        <f t="shared" si="156"/>
        <v>48,</v>
      </c>
      <c r="BE200" s="35" t="str">
        <f t="shared" si="180"/>
        <v>18,</v>
      </c>
      <c r="BF200" s="36" t="str">
        <f t="shared" si="181"/>
        <v/>
      </c>
      <c r="BG200" s="36" t="str">
        <f>IF(BA200=0,"",IF(Z200=0,"3,4,5",VLOOKUP(Z200,{1,3;2,4;3,5},2,0))&amp;",")</f>
        <v>5,</v>
      </c>
      <c r="BH200" s="36" t="str">
        <f t="shared" si="182"/>
        <v>6,</v>
      </c>
      <c r="BI200" s="34" t="str">
        <f t="shared" si="183"/>
        <v>5,6</v>
      </c>
      <c r="BJ200" s="34" t="str">
        <f t="shared" si="186"/>
        <v>48,18</v>
      </c>
      <c r="BK200" s="34" t="str">
        <f t="shared" si="184"/>
        <v>0,22,33,50,100,200</v>
      </c>
      <c r="BL200" s="4">
        <f t="shared" si="157"/>
        <v>0</v>
      </c>
      <c r="BM200" s="4">
        <f t="shared" si="158"/>
        <v>22</v>
      </c>
      <c r="BN200" s="4">
        <f t="shared" si="159"/>
        <v>33</v>
      </c>
      <c r="BO200" s="4">
        <f t="shared" si="160"/>
        <v>50</v>
      </c>
      <c r="BP200" s="4">
        <f t="shared" si="161"/>
        <v>100</v>
      </c>
      <c r="BQ200" s="4">
        <f t="shared" si="162"/>
        <v>200</v>
      </c>
      <c r="BR200" s="34" t="str">
        <f t="shared" si="163"/>
        <v>2001,2002,2003,2004,2005,2006</v>
      </c>
      <c r="BS200" s="34" t="str">
        <f t="shared" si="185"/>
        <v>23001,23002,23003,23004,23005,23006</v>
      </c>
      <c r="BT200" s="4">
        <f>VLOOKUP(LOOKUP($Y200,$K$48:$K$55,$L$48:$L$55)&amp;BT$1&amp;$W200,装备额外附加!$M:$O,3,0)</f>
        <v>23001</v>
      </c>
      <c r="BU200" s="4">
        <f>VLOOKUP(LOOKUP($Y200,$K$48:$K$55,$L$48:$L$55)&amp;BU$1&amp;$W200,装备额外附加!$M:$O,3,0)</f>
        <v>23002</v>
      </c>
      <c r="BV200" s="4">
        <f>VLOOKUP(LOOKUP($Y200,$K$48:$K$55,$L$48:$L$55)&amp;BV$1&amp;$W200,装备额外附加!$M:$O,3,0)</f>
        <v>23003</v>
      </c>
      <c r="BW200" s="4">
        <f>VLOOKUP(LOOKUP($Y200,$K$48:$K$55,$L$48:$L$55)&amp;BW$1&amp;$W200,装备额外附加!$M:$O,3,0)</f>
        <v>23004</v>
      </c>
      <c r="BX200" s="4">
        <f>VLOOKUP(LOOKUP($Y200,$K$48:$K$55,$L$48:$L$55)&amp;BX$1&amp;$W200,装备额外附加!$M:$O,3,0)</f>
        <v>23005</v>
      </c>
      <c r="BY200" s="4">
        <f>VLOOKUP(LOOKUP($Y200,$K$48:$K$55,$L$48:$L$55)&amp;BY$1&amp;$W200,装备额外附加!$M:$O,3,0)</f>
        <v>23006</v>
      </c>
    </row>
    <row r="201" spans="18:77">
      <c r="R201" s="4" t="s">
        <v>589</v>
      </c>
      <c r="S201" s="4" t="str">
        <f t="shared" si="164"/>
        <v>108033</v>
      </c>
      <c r="T201" s="4" t="s">
        <v>590</v>
      </c>
      <c r="U201" s="36">
        <v>70</v>
      </c>
      <c r="V201" s="36" t="str">
        <f t="shared" si="165"/>
        <v>衣服</v>
      </c>
      <c r="W201" s="36" t="str">
        <f t="shared" si="166"/>
        <v>护甲</v>
      </c>
      <c r="X201" s="4">
        <f t="shared" si="167"/>
        <v>3</v>
      </c>
      <c r="Y201" s="4">
        <f t="shared" si="168"/>
        <v>75</v>
      </c>
      <c r="Z201" s="4">
        <f t="shared" si="169"/>
        <v>3</v>
      </c>
      <c r="AA201" s="4" t="str">
        <f t="shared" si="170"/>
        <v>144,172,259,432,720,1440</v>
      </c>
      <c r="AB201" s="36">
        <f t="shared" si="171"/>
        <v>160</v>
      </c>
      <c r="AC201" s="36">
        <f t="shared" si="153"/>
        <v>144</v>
      </c>
      <c r="AD201" s="36">
        <f t="shared" si="187"/>
        <v>172</v>
      </c>
      <c r="AE201" s="36">
        <f t="shared" si="187"/>
        <v>259</v>
      </c>
      <c r="AF201" s="36">
        <f t="shared" si="187"/>
        <v>432</v>
      </c>
      <c r="AG201" s="36">
        <f t="shared" si="187"/>
        <v>720</v>
      </c>
      <c r="AH201" s="36">
        <f t="shared" si="155"/>
        <v>1440</v>
      </c>
      <c r="AJ201" s="4" t="str">
        <f t="shared" si="172"/>
        <v>720,864,1296,2160,3600,</v>
      </c>
      <c r="AK201" s="36">
        <f t="shared" si="173"/>
        <v>800</v>
      </c>
      <c r="AL201" s="36">
        <f t="shared" si="151"/>
        <v>720</v>
      </c>
      <c r="AM201" s="36">
        <f t="shared" si="151"/>
        <v>864</v>
      </c>
      <c r="AN201" s="36">
        <f t="shared" si="151"/>
        <v>1296</v>
      </c>
      <c r="AO201" s="36">
        <f t="shared" si="151"/>
        <v>2160</v>
      </c>
      <c r="AP201" s="36">
        <f t="shared" si="151"/>
        <v>3600</v>
      </c>
      <c r="AR201" s="4" t="str">
        <f t="shared" si="174"/>
        <v>57600,69120,103680,172800,288000,</v>
      </c>
      <c r="AS201" s="36">
        <f t="shared" si="175"/>
        <v>64000</v>
      </c>
      <c r="AT201" s="36">
        <f t="shared" si="152"/>
        <v>57600</v>
      </c>
      <c r="AU201" s="36">
        <f t="shared" si="152"/>
        <v>69120</v>
      </c>
      <c r="AV201" s="36">
        <f t="shared" si="152"/>
        <v>103680</v>
      </c>
      <c r="AW201" s="36">
        <f t="shared" si="152"/>
        <v>172800</v>
      </c>
      <c r="AX201" s="36">
        <f t="shared" si="152"/>
        <v>288000</v>
      </c>
      <c r="AZ201" s="4">
        <f t="shared" si="176"/>
        <v>334</v>
      </c>
      <c r="BA201" s="4">
        <f t="shared" si="177"/>
        <v>0</v>
      </c>
      <c r="BB201" s="4">
        <f t="shared" si="178"/>
        <v>18</v>
      </c>
      <c r="BC201" s="35" t="str">
        <f t="shared" si="179"/>
        <v>334,</v>
      </c>
      <c r="BD201" s="35" t="str">
        <f t="shared" si="156"/>
        <v/>
      </c>
      <c r="BE201" s="35" t="str">
        <f t="shared" si="180"/>
        <v>18,</v>
      </c>
      <c r="BF201" s="36" t="str">
        <f t="shared" si="181"/>
        <v>1,</v>
      </c>
      <c r="BG201" s="36" t="str">
        <f>IF(BA201=0,"",IF(Z201=0,"3,4,5",VLOOKUP(Z201,{1,3;2,4;3,5},2,0))&amp;",")</f>
        <v/>
      </c>
      <c r="BH201" s="36" t="str">
        <f t="shared" si="182"/>
        <v>6,</v>
      </c>
      <c r="BI201" s="34" t="str">
        <f t="shared" si="183"/>
        <v>1,6</v>
      </c>
      <c r="BJ201" s="34" t="str">
        <f t="shared" si="186"/>
        <v>334,18</v>
      </c>
      <c r="BK201" s="34" t="str">
        <f t="shared" si="184"/>
        <v>0,22,33,50,100,200</v>
      </c>
      <c r="BL201" s="4">
        <f t="shared" si="157"/>
        <v>0</v>
      </c>
      <c r="BM201" s="4">
        <f t="shared" si="158"/>
        <v>22</v>
      </c>
      <c r="BN201" s="4">
        <f t="shared" si="159"/>
        <v>33</v>
      </c>
      <c r="BO201" s="4">
        <f t="shared" si="160"/>
        <v>50</v>
      </c>
      <c r="BP201" s="4">
        <f t="shared" si="161"/>
        <v>100</v>
      </c>
      <c r="BQ201" s="4">
        <f t="shared" si="162"/>
        <v>200</v>
      </c>
      <c r="BR201" s="34" t="str">
        <f t="shared" si="163"/>
        <v>2001,2002,2003,2004,2005,2006</v>
      </c>
      <c r="BS201" s="34" t="str">
        <f t="shared" si="185"/>
        <v>23001,23002,23003,23004,23005,23006</v>
      </c>
      <c r="BT201" s="4">
        <f>VLOOKUP(LOOKUP($Y201,$K$48:$K$55,$L$48:$L$55)&amp;BT$1&amp;$W201,装备额外附加!$M:$O,3,0)</f>
        <v>23001</v>
      </c>
      <c r="BU201" s="4">
        <f>VLOOKUP(LOOKUP($Y201,$K$48:$K$55,$L$48:$L$55)&amp;BU$1&amp;$W201,装备额外附加!$M:$O,3,0)</f>
        <v>23002</v>
      </c>
      <c r="BV201" s="4">
        <f>VLOOKUP(LOOKUP($Y201,$K$48:$K$55,$L$48:$L$55)&amp;BV$1&amp;$W201,装备额外附加!$M:$O,3,0)</f>
        <v>23003</v>
      </c>
      <c r="BW201" s="4">
        <f>VLOOKUP(LOOKUP($Y201,$K$48:$K$55,$L$48:$L$55)&amp;BW$1&amp;$W201,装备额外附加!$M:$O,3,0)</f>
        <v>23004</v>
      </c>
      <c r="BX201" s="4">
        <f>VLOOKUP(LOOKUP($Y201,$K$48:$K$55,$L$48:$L$55)&amp;BX$1&amp;$W201,装备额外附加!$M:$O,3,0)</f>
        <v>23005</v>
      </c>
      <c r="BY201" s="4">
        <f>VLOOKUP(LOOKUP($Y201,$K$48:$K$55,$L$48:$L$55)&amp;BY$1&amp;$W201,装备额外附加!$M:$O,3,0)</f>
        <v>23006</v>
      </c>
    </row>
    <row r="202" spans="18:77">
      <c r="R202" s="4" t="s">
        <v>591</v>
      </c>
      <c r="S202" s="4" t="str">
        <f t="shared" si="164"/>
        <v>108034</v>
      </c>
      <c r="T202" s="4" t="s">
        <v>592</v>
      </c>
      <c r="U202" s="36">
        <v>70</v>
      </c>
      <c r="V202" s="36" t="str">
        <f t="shared" si="165"/>
        <v>腰带</v>
      </c>
      <c r="W202" s="36" t="str">
        <f t="shared" si="166"/>
        <v>护甲</v>
      </c>
      <c r="X202" s="4">
        <f t="shared" si="167"/>
        <v>4</v>
      </c>
      <c r="Y202" s="4">
        <f t="shared" si="168"/>
        <v>78</v>
      </c>
      <c r="Z202" s="4">
        <f t="shared" si="169"/>
        <v>3</v>
      </c>
      <c r="AA202" s="4" t="str">
        <f t="shared" si="170"/>
        <v>128,153,230,384,640,1280</v>
      </c>
      <c r="AB202" s="36">
        <f t="shared" si="171"/>
        <v>160</v>
      </c>
      <c r="AC202" s="36">
        <f t="shared" si="153"/>
        <v>128</v>
      </c>
      <c r="AD202" s="36">
        <f t="shared" si="187"/>
        <v>153</v>
      </c>
      <c r="AE202" s="36">
        <f t="shared" si="187"/>
        <v>230</v>
      </c>
      <c r="AF202" s="36">
        <f t="shared" si="187"/>
        <v>384</v>
      </c>
      <c r="AG202" s="36">
        <f t="shared" si="187"/>
        <v>640</v>
      </c>
      <c r="AH202" s="36">
        <f t="shared" si="155"/>
        <v>1280</v>
      </c>
      <c r="AJ202" s="4" t="str">
        <f t="shared" si="172"/>
        <v>640,768,1152,1920,3200,</v>
      </c>
      <c r="AK202" s="36">
        <f t="shared" si="173"/>
        <v>800</v>
      </c>
      <c r="AL202" s="36">
        <f t="shared" si="151"/>
        <v>640</v>
      </c>
      <c r="AM202" s="36">
        <f t="shared" si="151"/>
        <v>768</v>
      </c>
      <c r="AN202" s="36">
        <f t="shared" si="151"/>
        <v>1152</v>
      </c>
      <c r="AO202" s="36">
        <f t="shared" si="151"/>
        <v>1920</v>
      </c>
      <c r="AP202" s="36">
        <f t="shared" si="151"/>
        <v>3200</v>
      </c>
      <c r="AR202" s="4" t="str">
        <f t="shared" si="174"/>
        <v>51200,61440,92160,153600,256000,</v>
      </c>
      <c r="AS202" s="36">
        <f t="shared" si="175"/>
        <v>64000</v>
      </c>
      <c r="AT202" s="36">
        <f t="shared" si="152"/>
        <v>51200</v>
      </c>
      <c r="AU202" s="36">
        <f t="shared" si="152"/>
        <v>61440</v>
      </c>
      <c r="AV202" s="36">
        <f t="shared" si="152"/>
        <v>92160</v>
      </c>
      <c r="AW202" s="36">
        <f t="shared" si="152"/>
        <v>153600</v>
      </c>
      <c r="AX202" s="36">
        <f t="shared" si="152"/>
        <v>256000</v>
      </c>
      <c r="AZ202" s="4">
        <f t="shared" si="176"/>
        <v>167</v>
      </c>
      <c r="BA202" s="4">
        <f t="shared" si="177"/>
        <v>0</v>
      </c>
      <c r="BB202" s="4">
        <f t="shared" si="178"/>
        <v>14</v>
      </c>
      <c r="BC202" s="35" t="str">
        <f t="shared" si="179"/>
        <v>167,</v>
      </c>
      <c r="BD202" s="35" t="str">
        <f t="shared" si="156"/>
        <v/>
      </c>
      <c r="BE202" s="35" t="str">
        <f t="shared" si="180"/>
        <v>14,</v>
      </c>
      <c r="BF202" s="36" t="str">
        <f t="shared" si="181"/>
        <v>1,</v>
      </c>
      <c r="BG202" s="36" t="str">
        <f>IF(BA202=0,"",IF(Z202=0,"3,4,5",VLOOKUP(Z202,{1,3;2,4;3,5},2,0))&amp;",")</f>
        <v/>
      </c>
      <c r="BH202" s="36" t="str">
        <f t="shared" si="182"/>
        <v>6,</v>
      </c>
      <c r="BI202" s="34" t="str">
        <f t="shared" si="183"/>
        <v>1,6</v>
      </c>
      <c r="BJ202" s="34" t="str">
        <f t="shared" si="186"/>
        <v>167,14</v>
      </c>
      <c r="BK202" s="34" t="str">
        <f t="shared" si="184"/>
        <v>0,22,33,50,100,200</v>
      </c>
      <c r="BL202" s="4">
        <f t="shared" si="157"/>
        <v>0</v>
      </c>
      <c r="BM202" s="4">
        <f t="shared" si="158"/>
        <v>22</v>
      </c>
      <c r="BN202" s="4">
        <f t="shared" si="159"/>
        <v>33</v>
      </c>
      <c r="BO202" s="4">
        <f t="shared" si="160"/>
        <v>50</v>
      </c>
      <c r="BP202" s="4">
        <f t="shared" si="161"/>
        <v>100</v>
      </c>
      <c r="BQ202" s="4">
        <f t="shared" si="162"/>
        <v>200</v>
      </c>
      <c r="BR202" s="34" t="str">
        <f t="shared" si="163"/>
        <v>2001,2002,2003,2004,2005,2006</v>
      </c>
      <c r="BS202" s="34" t="str">
        <f t="shared" si="185"/>
        <v>23001,23002,23003,23004,23005,23006</v>
      </c>
      <c r="BT202" s="4">
        <f>VLOOKUP(LOOKUP($Y202,$K$48:$K$55,$L$48:$L$55)&amp;BT$1&amp;$W202,装备额外附加!$M:$O,3,0)</f>
        <v>23001</v>
      </c>
      <c r="BU202" s="4">
        <f>VLOOKUP(LOOKUP($Y202,$K$48:$K$55,$L$48:$L$55)&amp;BU$1&amp;$W202,装备额外附加!$M:$O,3,0)</f>
        <v>23002</v>
      </c>
      <c r="BV202" s="4">
        <f>VLOOKUP(LOOKUP($Y202,$K$48:$K$55,$L$48:$L$55)&amp;BV$1&amp;$W202,装备额外附加!$M:$O,3,0)</f>
        <v>23003</v>
      </c>
      <c r="BW202" s="4">
        <f>VLOOKUP(LOOKUP($Y202,$K$48:$K$55,$L$48:$L$55)&amp;BW$1&amp;$W202,装备额外附加!$M:$O,3,0)</f>
        <v>23004</v>
      </c>
      <c r="BX202" s="4">
        <f>VLOOKUP(LOOKUP($Y202,$K$48:$K$55,$L$48:$L$55)&amp;BX$1&amp;$W202,装备额外附加!$M:$O,3,0)</f>
        <v>23005</v>
      </c>
      <c r="BY202" s="4">
        <f>VLOOKUP(LOOKUP($Y202,$K$48:$K$55,$L$48:$L$55)&amp;BY$1&amp;$W202,装备额外附加!$M:$O,3,0)</f>
        <v>23006</v>
      </c>
    </row>
    <row r="203" spans="18:77">
      <c r="R203" s="4" t="s">
        <v>593</v>
      </c>
      <c r="S203" s="4" t="str">
        <f t="shared" si="164"/>
        <v>108035</v>
      </c>
      <c r="T203" s="4" t="s">
        <v>594</v>
      </c>
      <c r="U203" s="36">
        <v>70</v>
      </c>
      <c r="V203" s="36" t="str">
        <f t="shared" si="165"/>
        <v>鞋子</v>
      </c>
      <c r="W203" s="36" t="str">
        <f t="shared" si="166"/>
        <v>护甲</v>
      </c>
      <c r="X203" s="4">
        <f t="shared" si="167"/>
        <v>5</v>
      </c>
      <c r="Y203" s="4">
        <f t="shared" si="168"/>
        <v>72</v>
      </c>
      <c r="Z203" s="4">
        <f t="shared" si="169"/>
        <v>3</v>
      </c>
      <c r="AA203" s="4" t="str">
        <f t="shared" si="170"/>
        <v>128,153,230,384,640,1280</v>
      </c>
      <c r="AB203" s="36">
        <f t="shared" si="171"/>
        <v>160</v>
      </c>
      <c r="AC203" s="36">
        <f t="shared" si="153"/>
        <v>128</v>
      </c>
      <c r="AD203" s="36">
        <f t="shared" si="187"/>
        <v>153</v>
      </c>
      <c r="AE203" s="36">
        <f t="shared" si="187"/>
        <v>230</v>
      </c>
      <c r="AF203" s="36">
        <f t="shared" si="187"/>
        <v>384</v>
      </c>
      <c r="AG203" s="36">
        <f t="shared" si="187"/>
        <v>640</v>
      </c>
      <c r="AH203" s="36">
        <f t="shared" si="155"/>
        <v>1280</v>
      </c>
      <c r="AJ203" s="4" t="str">
        <f t="shared" si="172"/>
        <v>640,768,1152,1920,3200,</v>
      </c>
      <c r="AK203" s="36">
        <f t="shared" si="173"/>
        <v>800</v>
      </c>
      <c r="AL203" s="36">
        <f t="shared" si="151"/>
        <v>640</v>
      </c>
      <c r="AM203" s="36">
        <f t="shared" si="151"/>
        <v>768</v>
      </c>
      <c r="AN203" s="36">
        <f t="shared" si="151"/>
        <v>1152</v>
      </c>
      <c r="AO203" s="36">
        <f t="shared" si="151"/>
        <v>1920</v>
      </c>
      <c r="AP203" s="36">
        <f t="shared" si="151"/>
        <v>3200</v>
      </c>
      <c r="AR203" s="4" t="str">
        <f t="shared" si="174"/>
        <v>51200,61440,92160,153600,256000,</v>
      </c>
      <c r="AS203" s="36">
        <f t="shared" si="175"/>
        <v>64000</v>
      </c>
      <c r="AT203" s="36">
        <f t="shared" si="152"/>
        <v>51200</v>
      </c>
      <c r="AU203" s="36">
        <f t="shared" si="152"/>
        <v>61440</v>
      </c>
      <c r="AV203" s="36">
        <f t="shared" si="152"/>
        <v>92160</v>
      </c>
      <c r="AW203" s="36">
        <f t="shared" si="152"/>
        <v>153600</v>
      </c>
      <c r="AX203" s="36">
        <f t="shared" si="152"/>
        <v>256000</v>
      </c>
      <c r="AZ203" s="4">
        <f t="shared" si="176"/>
        <v>167</v>
      </c>
      <c r="BA203" s="4">
        <f t="shared" si="177"/>
        <v>0</v>
      </c>
      <c r="BB203" s="4">
        <f t="shared" si="178"/>
        <v>14</v>
      </c>
      <c r="BC203" s="35" t="str">
        <f t="shared" si="179"/>
        <v>167,</v>
      </c>
      <c r="BD203" s="35" t="str">
        <f t="shared" si="156"/>
        <v/>
      </c>
      <c r="BE203" s="35" t="str">
        <f t="shared" si="180"/>
        <v>14,</v>
      </c>
      <c r="BF203" s="36" t="str">
        <f t="shared" si="181"/>
        <v>1,</v>
      </c>
      <c r="BG203" s="36" t="str">
        <f>IF(BA203=0,"",IF(Z203=0,"3,4,5",VLOOKUP(Z203,{1,3;2,4;3,5},2,0))&amp;",")</f>
        <v/>
      </c>
      <c r="BH203" s="36" t="str">
        <f t="shared" si="182"/>
        <v>6,</v>
      </c>
      <c r="BI203" s="34" t="str">
        <f t="shared" si="183"/>
        <v>1,6</v>
      </c>
      <c r="BJ203" s="34" t="str">
        <f t="shared" si="186"/>
        <v>167,14</v>
      </c>
      <c r="BK203" s="34" t="str">
        <f t="shared" si="184"/>
        <v>0,22,33,50,100,200</v>
      </c>
      <c r="BL203" s="4">
        <f t="shared" si="157"/>
        <v>0</v>
      </c>
      <c r="BM203" s="4">
        <f t="shared" si="158"/>
        <v>22</v>
      </c>
      <c r="BN203" s="4">
        <f t="shared" si="159"/>
        <v>33</v>
      </c>
      <c r="BO203" s="4">
        <f t="shared" si="160"/>
        <v>50</v>
      </c>
      <c r="BP203" s="4">
        <f t="shared" si="161"/>
        <v>100</v>
      </c>
      <c r="BQ203" s="4">
        <f t="shared" si="162"/>
        <v>200</v>
      </c>
      <c r="BR203" s="34" t="str">
        <f t="shared" si="163"/>
        <v>2001,2002,2003,2004,2005,2006</v>
      </c>
      <c r="BS203" s="34" t="str">
        <f t="shared" si="185"/>
        <v>23001,23002,23003,23004,23005,23006</v>
      </c>
      <c r="BT203" s="4">
        <f>VLOOKUP(LOOKUP($Y203,$K$48:$K$55,$L$48:$L$55)&amp;BT$1&amp;$W203,装备额外附加!$M:$O,3,0)</f>
        <v>23001</v>
      </c>
      <c r="BU203" s="4">
        <f>VLOOKUP(LOOKUP($Y203,$K$48:$K$55,$L$48:$L$55)&amp;BU$1&amp;$W203,装备额外附加!$M:$O,3,0)</f>
        <v>23002</v>
      </c>
      <c r="BV203" s="4">
        <f>VLOOKUP(LOOKUP($Y203,$K$48:$K$55,$L$48:$L$55)&amp;BV$1&amp;$W203,装备额外附加!$M:$O,3,0)</f>
        <v>23003</v>
      </c>
      <c r="BW203" s="4">
        <f>VLOOKUP(LOOKUP($Y203,$K$48:$K$55,$L$48:$L$55)&amp;BW$1&amp;$W203,装备额外附加!$M:$O,3,0)</f>
        <v>23004</v>
      </c>
      <c r="BX203" s="4">
        <f>VLOOKUP(LOOKUP($Y203,$K$48:$K$55,$L$48:$L$55)&amp;BX$1&amp;$W203,装备额外附加!$M:$O,3,0)</f>
        <v>23005</v>
      </c>
      <c r="BY203" s="4">
        <f>VLOOKUP(LOOKUP($Y203,$K$48:$K$55,$L$48:$L$55)&amp;BY$1&amp;$W203,装备额外附加!$M:$O,3,0)</f>
        <v>23006</v>
      </c>
    </row>
  </sheetData>
  <autoFilter ref="S1:W203">
    <extLst/>
  </autoFilter>
  <conditionalFormatting sqref="S2:S203">
    <cfRule type="duplicateValues" priority="2"/>
  </conditionalFormatting>
  <conditionalFormatting sqref="R1:R53 R94:R1048576 R55:R92">
    <cfRule type="duplicateValues" dxfId="0" priority="1"/>
  </conditionalFormatting>
  <hyperlinks>
    <hyperlink ref="R169" r:id="rId1" display="斯洛拉克的疯狂"/>
  </hyperlinks>
  <pageMargins left="0.7" right="0.7" top="0.75" bottom="0.75" header="0.3" footer="0.3"/>
  <pageSetup paperSize="9" orientation="portrait" horizontalDpi="360" verticalDpi="36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1:T87"/>
  <sheetViews>
    <sheetView workbookViewId="0">
      <selection activeCell="K6" sqref="K6"/>
    </sheetView>
  </sheetViews>
  <sheetFormatPr defaultColWidth="9" defaultRowHeight="14.25"/>
  <cols>
    <col min="1" max="1" width="9" style="4"/>
    <col min="2" max="3" width="7.5" style="4" customWidth="1"/>
    <col min="4" max="11" width="9" style="4"/>
    <col min="12" max="12" width="4.25" style="4" customWidth="1"/>
    <col min="13" max="13" width="9" style="4"/>
    <col min="14" max="14" width="10.875" style="4" customWidth="1"/>
    <col min="15" max="15" width="6" style="36" customWidth="1"/>
    <col min="16" max="16" width="4.5" style="36" customWidth="1"/>
    <col min="17" max="17" width="3.25" style="36" customWidth="1"/>
    <col min="18" max="19" width="5.875" style="4" customWidth="1"/>
    <col min="20" max="20" width="5.75" style="4" customWidth="1"/>
    <col min="21" max="16384" width="9" style="4"/>
  </cols>
  <sheetData>
    <row r="1" spans="2:20">
      <c r="B1" s="4" t="s">
        <v>595</v>
      </c>
      <c r="D1" s="4" t="s">
        <v>596</v>
      </c>
      <c r="E1" s="4" t="s">
        <v>597</v>
      </c>
      <c r="O1" s="36" t="s">
        <v>110</v>
      </c>
      <c r="P1" s="36" t="s">
        <v>111</v>
      </c>
      <c r="R1" s="4" t="s">
        <v>10</v>
      </c>
      <c r="S1" s="4" t="s">
        <v>106</v>
      </c>
      <c r="T1" s="4" t="s">
        <v>17</v>
      </c>
    </row>
    <row r="2" spans="2:20">
      <c r="B2" s="4">
        <v>1</v>
      </c>
      <c r="D2" s="4">
        <v>50</v>
      </c>
      <c r="E2" s="4">
        <v>100</v>
      </c>
      <c r="F2" s="4">
        <f t="shared" ref="F2:F33" si="0">D2/(E2/100)</f>
        <v>50</v>
      </c>
      <c r="M2" s="4" t="str">
        <f>Q2&amp;"级"&amp;P2</f>
        <v>3级戒指</v>
      </c>
      <c r="N2" s="4" t="s">
        <v>598</v>
      </c>
      <c r="O2" s="36">
        <v>0</v>
      </c>
      <c r="P2" s="36" t="str">
        <f t="shared" ref="P2:P33" si="1">RIGHT(N2,2)</f>
        <v>戒指</v>
      </c>
      <c r="Q2" s="36">
        <f>O2+VLOOKUP(RIGHT(N2,2),装备设定!$C$22:$L$29,10,0)</f>
        <v>3</v>
      </c>
      <c r="R2" s="4">
        <f>LOOKUP($Q2,装备设定!$B$34:$B$41,装备设定!$D$34:$D$41)*VLOOKUP($P2,装备设定!$C$22:$F$29,2,0)</f>
        <v>20.25</v>
      </c>
      <c r="S2" s="4">
        <f>LOOKUP($Q2,装备设定!$B$34:$B$41,装备设定!$F$34:$F$41)*VLOOKUP($P2,装备设定!$C$22:$F$29,3,0)</f>
        <v>1.8</v>
      </c>
      <c r="T2" s="4">
        <f>LOOKUP($Q2,装备设定!$B$34:$B$41,装备设定!$I$34:$I$41)*VLOOKUP($P2,装备设定!$C$22:$F$29,4,0)</f>
        <v>0</v>
      </c>
    </row>
    <row r="3" spans="2:20">
      <c r="B3" s="4">
        <v>2</v>
      </c>
      <c r="C3" s="4">
        <v>50</v>
      </c>
      <c r="D3" s="4">
        <f t="shared" ref="D3:D34" si="2">D2+C3</f>
        <v>100</v>
      </c>
      <c r="E3" s="4">
        <v>94</v>
      </c>
      <c r="F3" s="4">
        <f t="shared" si="0"/>
        <v>106.382978723404</v>
      </c>
      <c r="I3" s="4" t="s">
        <v>198</v>
      </c>
      <c r="J3" s="4" t="s">
        <v>106</v>
      </c>
      <c r="K3" s="4">
        <v>2</v>
      </c>
      <c r="L3" s="4">
        <f>K3*基础设定!$D$11</f>
        <v>20</v>
      </c>
      <c r="M3" s="4" t="str">
        <f t="shared" ref="M3:M65" si="3">Q3&amp;"级"&amp;P3</f>
        <v>13级戒指</v>
      </c>
      <c r="N3" s="4" t="s">
        <v>599</v>
      </c>
      <c r="O3" s="36">
        <v>10</v>
      </c>
      <c r="P3" s="36" t="str">
        <f t="shared" si="1"/>
        <v>戒指</v>
      </c>
      <c r="Q3" s="36">
        <f>O3+VLOOKUP(RIGHT(N3,2),装备设定!$C$22:$L$29,10,0)</f>
        <v>13</v>
      </c>
      <c r="R3" s="4">
        <f>LOOKUP($Q3,装备设定!$B$34:$B$41,装备设定!$D$34:$D$41)*VLOOKUP($P3,装备设定!$C$22:$F$29,2,0)</f>
        <v>25.65</v>
      </c>
      <c r="S3" s="4">
        <f>LOOKUP($Q3,装备设定!$B$34:$B$41,装备设定!$F$34:$F$41)*VLOOKUP($P3,装备设定!$C$22:$F$29,3,0)</f>
        <v>2.28</v>
      </c>
      <c r="T3" s="4">
        <f>LOOKUP($Q3,装备设定!$B$34:$B$41,装备设定!$I$34:$I$41)*VLOOKUP($P3,装备设定!$C$22:$F$29,4,0)</f>
        <v>0</v>
      </c>
    </row>
    <row r="4" spans="2:20">
      <c r="B4" s="4">
        <v>3</v>
      </c>
      <c r="C4" s="4">
        <v>50</v>
      </c>
      <c r="D4" s="4">
        <f t="shared" si="2"/>
        <v>150</v>
      </c>
      <c r="E4" s="4">
        <f t="shared" ref="E4:E11" si="4">E3-8</f>
        <v>86</v>
      </c>
      <c r="F4" s="4">
        <f t="shared" si="0"/>
        <v>174.418604651163</v>
      </c>
      <c r="I4" s="4" t="s">
        <v>202</v>
      </c>
      <c r="J4" s="4" t="s">
        <v>17</v>
      </c>
      <c r="K4" s="4">
        <v>1</v>
      </c>
      <c r="L4" s="4">
        <f>K4*基础设定!$D$14</f>
        <v>10</v>
      </c>
      <c r="M4" s="4" t="str">
        <f t="shared" si="3"/>
        <v>23级戒指</v>
      </c>
      <c r="N4" s="4" t="s">
        <v>600</v>
      </c>
      <c r="O4" s="36">
        <v>20</v>
      </c>
      <c r="P4" s="36" t="str">
        <f t="shared" si="1"/>
        <v>戒指</v>
      </c>
      <c r="Q4" s="36">
        <f>O4+VLOOKUP(RIGHT(N4,2),装备设定!$C$22:$L$29,10,0)</f>
        <v>23</v>
      </c>
      <c r="R4" s="4">
        <f>LOOKUP($Q4,装备设定!$B$34:$B$41,装备设定!$D$34:$D$41)*VLOOKUP($P4,装备设定!$C$22:$F$29,2,0)</f>
        <v>35.1</v>
      </c>
      <c r="S4" s="4">
        <f>LOOKUP($Q4,装备设定!$B$34:$B$41,装备设定!$F$34:$F$41)*VLOOKUP($P4,装备设定!$C$22:$F$29,3,0)</f>
        <v>3.12</v>
      </c>
      <c r="T4" s="4">
        <f>LOOKUP($Q4,装备设定!$B$34:$B$41,装备设定!$I$34:$I$41)*VLOOKUP($P4,装备设定!$C$22:$F$29,4,0)</f>
        <v>0</v>
      </c>
    </row>
    <row r="5" spans="2:20">
      <c r="B5" s="4">
        <v>4</v>
      </c>
      <c r="C5" s="4">
        <v>50</v>
      </c>
      <c r="D5" s="4">
        <f t="shared" si="2"/>
        <v>200</v>
      </c>
      <c r="E5" s="4">
        <f t="shared" si="4"/>
        <v>78</v>
      </c>
      <c r="F5" s="4">
        <f t="shared" si="0"/>
        <v>256.410256410256</v>
      </c>
      <c r="I5" s="4" t="s">
        <v>206</v>
      </c>
      <c r="J5" s="4" t="s">
        <v>17</v>
      </c>
      <c r="K5" s="4">
        <v>2</v>
      </c>
      <c r="L5" s="4">
        <f>K5*基础设定!$D$14</f>
        <v>20</v>
      </c>
      <c r="M5" s="4" t="str">
        <f t="shared" si="3"/>
        <v>33级戒指</v>
      </c>
      <c r="N5" s="4" t="s">
        <v>601</v>
      </c>
      <c r="O5" s="36">
        <v>30</v>
      </c>
      <c r="P5" s="36" t="str">
        <f t="shared" si="1"/>
        <v>戒指</v>
      </c>
      <c r="Q5" s="36">
        <f>O5+VLOOKUP(RIGHT(N5,2),装备设定!$C$22:$L$29,10,0)</f>
        <v>33</v>
      </c>
      <c r="R5" s="4">
        <f>LOOKUP($Q5,装备设定!$B$34:$B$41,装备设定!$D$34:$D$41)*VLOOKUP($P5,装备设定!$C$22:$F$29,2,0)</f>
        <v>47.25</v>
      </c>
      <c r="S5" s="4">
        <f>LOOKUP($Q5,装备设定!$B$34:$B$41,装备设定!$F$34:$F$41)*VLOOKUP($P5,装备设定!$C$22:$F$29,3,0)</f>
        <v>4.2</v>
      </c>
      <c r="T5" s="4">
        <f>LOOKUP($Q5,装备设定!$B$34:$B$41,装备设定!$I$34:$I$41)*VLOOKUP($P5,装备设定!$C$22:$F$29,4,0)</f>
        <v>0</v>
      </c>
    </row>
    <row r="6" spans="2:20">
      <c r="B6" s="4">
        <v>5</v>
      </c>
      <c r="C6" s="4">
        <v>50</v>
      </c>
      <c r="D6" s="4">
        <f t="shared" si="2"/>
        <v>250</v>
      </c>
      <c r="E6" s="4">
        <f t="shared" si="4"/>
        <v>70</v>
      </c>
      <c r="F6" s="4">
        <f t="shared" si="0"/>
        <v>357.142857142857</v>
      </c>
      <c r="I6" s="4" t="s">
        <v>209</v>
      </c>
      <c r="J6" s="4" t="s">
        <v>10</v>
      </c>
      <c r="K6" s="4">
        <v>5</v>
      </c>
      <c r="L6" s="4">
        <f>K6*基础设定!$D$9</f>
        <v>10</v>
      </c>
      <c r="M6" s="4" t="str">
        <f t="shared" si="3"/>
        <v>43级戒指</v>
      </c>
      <c r="N6" s="4" t="s">
        <v>602</v>
      </c>
      <c r="O6" s="36">
        <v>40</v>
      </c>
      <c r="P6" s="36" t="str">
        <f t="shared" si="1"/>
        <v>戒指</v>
      </c>
      <c r="Q6" s="36">
        <f>O6+VLOOKUP(RIGHT(N6,2),装备设定!$C$22:$L$29,10,0)</f>
        <v>43</v>
      </c>
      <c r="R6" s="4">
        <f>LOOKUP($Q6,装备设定!$B$34:$B$41,装备设定!$D$34:$D$41)*VLOOKUP($P6,装备设定!$C$22:$F$29,2,0)</f>
        <v>64.8</v>
      </c>
      <c r="S6" s="4">
        <f>LOOKUP($Q6,装备设定!$B$34:$B$41,装备设定!$F$34:$F$41)*VLOOKUP($P6,装备设定!$C$22:$F$29,3,0)</f>
        <v>5.76</v>
      </c>
      <c r="T6" s="4">
        <f>LOOKUP($Q6,装备设定!$B$34:$B$41,装备设定!$I$34:$I$41)*VLOOKUP($P6,装备设定!$C$22:$F$29,4,0)</f>
        <v>0</v>
      </c>
    </row>
    <row r="7" spans="2:20">
      <c r="B7" s="4">
        <v>6</v>
      </c>
      <c r="C7" s="4">
        <v>50</v>
      </c>
      <c r="D7" s="4">
        <f t="shared" si="2"/>
        <v>300</v>
      </c>
      <c r="E7" s="4">
        <f t="shared" si="4"/>
        <v>62</v>
      </c>
      <c r="F7" s="4">
        <f t="shared" si="0"/>
        <v>483.870967741935</v>
      </c>
      <c r="I7" s="4" t="s">
        <v>212</v>
      </c>
      <c r="J7" s="4" t="s">
        <v>10</v>
      </c>
      <c r="K7" s="4">
        <v>5</v>
      </c>
      <c r="L7" s="4">
        <f>K7*基础设定!$D$9</f>
        <v>10</v>
      </c>
      <c r="M7" s="4" t="str">
        <f t="shared" si="3"/>
        <v>53级戒指</v>
      </c>
      <c r="N7" s="4" t="s">
        <v>603</v>
      </c>
      <c r="O7" s="36">
        <v>50</v>
      </c>
      <c r="P7" s="36" t="str">
        <f t="shared" si="1"/>
        <v>戒指</v>
      </c>
      <c r="Q7" s="36">
        <f>O7+VLOOKUP(RIGHT(N7,2),装备设定!$C$22:$L$29,10,0)</f>
        <v>53</v>
      </c>
      <c r="R7" s="4">
        <f>LOOKUP($Q7,装备设定!$B$34:$B$41,装备设定!$D$34:$D$41)*VLOOKUP($P7,装备设定!$C$22:$F$29,2,0)</f>
        <v>89.1</v>
      </c>
      <c r="S7" s="4">
        <f>LOOKUP($Q7,装备设定!$B$34:$B$41,装备设定!$F$34:$F$41)*VLOOKUP($P7,装备设定!$C$22:$F$29,3,0)</f>
        <v>7.92</v>
      </c>
      <c r="T7" s="4">
        <f>LOOKUP($Q7,装备设定!$B$34:$B$41,装备设定!$I$34:$I$41)*VLOOKUP($P7,装备设定!$C$22:$F$29,4,0)</f>
        <v>0</v>
      </c>
    </row>
    <row r="8" spans="2:20">
      <c r="B8" s="4">
        <v>7</v>
      </c>
      <c r="C8" s="4">
        <v>50</v>
      </c>
      <c r="D8" s="4">
        <f t="shared" si="2"/>
        <v>350</v>
      </c>
      <c r="E8" s="4">
        <f t="shared" si="4"/>
        <v>54</v>
      </c>
      <c r="F8" s="4">
        <f t="shared" si="0"/>
        <v>648.148148148148</v>
      </c>
      <c r="I8" s="4" t="s">
        <v>604</v>
      </c>
      <c r="J8" s="4" t="s">
        <v>17</v>
      </c>
      <c r="K8" s="4">
        <v>1</v>
      </c>
      <c r="L8" s="4">
        <f>K8*基础设定!$D$14</f>
        <v>10</v>
      </c>
      <c r="M8" s="4" t="str">
        <f t="shared" si="3"/>
        <v>63级戒指</v>
      </c>
      <c r="N8" s="4" t="s">
        <v>605</v>
      </c>
      <c r="O8" s="36">
        <v>60</v>
      </c>
      <c r="P8" s="36" t="str">
        <f t="shared" si="1"/>
        <v>戒指</v>
      </c>
      <c r="Q8" s="36">
        <f>O8+VLOOKUP(RIGHT(N8,2),装备设定!$C$22:$L$29,10,0)</f>
        <v>63</v>
      </c>
      <c r="R8" s="4">
        <f>LOOKUP($Q8,装备设定!$B$34:$B$41,装备设定!$D$34:$D$41)*VLOOKUP($P8,装备设定!$C$22:$F$29,2,0)</f>
        <v>121.5</v>
      </c>
      <c r="S8" s="4">
        <f>LOOKUP($Q8,装备设定!$B$34:$B$41,装备设定!$F$34:$F$41)*VLOOKUP($P8,装备设定!$C$22:$F$29,3,0)</f>
        <v>10.8</v>
      </c>
      <c r="T8" s="4">
        <f>LOOKUP($Q8,装备设定!$B$34:$B$41,装备设定!$I$34:$I$41)*VLOOKUP($P8,装备设定!$C$22:$F$29,4,0)</f>
        <v>0</v>
      </c>
    </row>
    <row r="9" spans="2:20">
      <c r="B9" s="4">
        <v>8</v>
      </c>
      <c r="C9" s="4">
        <v>50</v>
      </c>
      <c r="D9" s="4">
        <f t="shared" si="2"/>
        <v>400</v>
      </c>
      <c r="E9" s="4">
        <f t="shared" si="4"/>
        <v>46</v>
      </c>
      <c r="F9" s="4">
        <f t="shared" si="0"/>
        <v>869.565217391304</v>
      </c>
      <c r="I9" s="4" t="s">
        <v>606</v>
      </c>
      <c r="J9" s="4" t="s">
        <v>17</v>
      </c>
      <c r="K9" s="4">
        <v>1</v>
      </c>
      <c r="L9" s="4">
        <f>K9*基础设定!$D$14</f>
        <v>10</v>
      </c>
      <c r="M9" s="4" t="str">
        <f t="shared" si="3"/>
        <v>73级戒指</v>
      </c>
      <c r="N9" s="4" t="s">
        <v>607</v>
      </c>
      <c r="O9" s="36">
        <v>70</v>
      </c>
      <c r="P9" s="36" t="str">
        <f t="shared" si="1"/>
        <v>戒指</v>
      </c>
      <c r="Q9" s="36">
        <f>O9+VLOOKUP(RIGHT(N9,2),装备设定!$C$22:$L$29,10,0)</f>
        <v>73</v>
      </c>
      <c r="R9" s="4">
        <f>LOOKUP($Q9,装备设定!$B$34:$B$41,装备设定!$D$34:$D$41)*VLOOKUP($P9,装备设定!$C$22:$F$29,2,0)</f>
        <v>167.4</v>
      </c>
      <c r="S9" s="4">
        <f>LOOKUP($Q9,装备设定!$B$34:$B$41,装备设定!$F$34:$F$41)*VLOOKUP($P9,装备设定!$C$22:$F$29,3,0)</f>
        <v>14.88</v>
      </c>
      <c r="T9" s="4">
        <f>LOOKUP($Q9,装备设定!$B$34:$B$41,装备设定!$I$34:$I$41)*VLOOKUP($P9,装备设定!$C$22:$F$29,4,0)</f>
        <v>0</v>
      </c>
    </row>
    <row r="10" spans="2:20">
      <c r="B10" s="4">
        <v>9</v>
      </c>
      <c r="C10" s="4">
        <v>50</v>
      </c>
      <c r="D10" s="4">
        <f t="shared" si="2"/>
        <v>450</v>
      </c>
      <c r="E10" s="4">
        <f t="shared" si="4"/>
        <v>38</v>
      </c>
      <c r="F10" s="4">
        <f t="shared" si="0"/>
        <v>1184.21052631579</v>
      </c>
      <c r="I10" s="4" t="s">
        <v>608</v>
      </c>
      <c r="J10" s="4" t="s">
        <v>106</v>
      </c>
      <c r="K10" s="4">
        <v>1</v>
      </c>
      <c r="L10" s="4">
        <f>K10*基础设定!$D$11</f>
        <v>10</v>
      </c>
      <c r="M10" s="4" t="str">
        <f t="shared" si="3"/>
        <v>6级手镯</v>
      </c>
      <c r="N10" s="4" t="s">
        <v>609</v>
      </c>
      <c r="O10" s="36">
        <v>0</v>
      </c>
      <c r="P10" s="36" t="str">
        <f t="shared" si="1"/>
        <v>手镯</v>
      </c>
      <c r="Q10" s="36">
        <f>O10+VLOOKUP(RIGHT(N10,2),装备设定!$C$22:$L$29,10,0)</f>
        <v>6</v>
      </c>
      <c r="R10" s="4">
        <f>LOOKUP($Q10,装备设定!$B$34:$B$41,装备设定!$D$34:$D$41)*VLOOKUP($P10,装备设定!$C$22:$F$29,2,0)</f>
        <v>20.25</v>
      </c>
      <c r="S10" s="4">
        <f>LOOKUP($Q10,装备设定!$B$34:$B$41,装备设定!$F$34:$F$41)*VLOOKUP($P10,装备设定!$C$22:$F$29,3,0)</f>
        <v>1.8</v>
      </c>
      <c r="T10" s="4">
        <f>LOOKUP($Q10,装备设定!$B$34:$B$41,装备设定!$I$34:$I$41)*VLOOKUP($P10,装备设定!$C$22:$F$29,4,0)</f>
        <v>0</v>
      </c>
    </row>
    <row r="11" spans="2:20">
      <c r="B11" s="4">
        <v>10</v>
      </c>
      <c r="C11" s="4">
        <v>50</v>
      </c>
      <c r="D11" s="4">
        <f t="shared" si="2"/>
        <v>500</v>
      </c>
      <c r="E11" s="4">
        <f t="shared" si="4"/>
        <v>30</v>
      </c>
      <c r="F11" s="4">
        <f t="shared" si="0"/>
        <v>1666.66666666667</v>
      </c>
      <c r="I11" s="4" t="s">
        <v>610</v>
      </c>
      <c r="J11" s="4" t="s">
        <v>106</v>
      </c>
      <c r="K11" s="4">
        <v>1</v>
      </c>
      <c r="L11" s="4">
        <f>K11*基础设定!$D$11</f>
        <v>10</v>
      </c>
      <c r="M11" s="4" t="str">
        <f t="shared" si="3"/>
        <v>16级手镯</v>
      </c>
      <c r="N11" s="4" t="s">
        <v>611</v>
      </c>
      <c r="O11" s="36">
        <v>10</v>
      </c>
      <c r="P11" s="36" t="str">
        <f t="shared" si="1"/>
        <v>手镯</v>
      </c>
      <c r="Q11" s="36">
        <f>O11+VLOOKUP(RIGHT(N11,2),装备设定!$C$22:$L$29,10,0)</f>
        <v>16</v>
      </c>
      <c r="R11" s="4">
        <f>LOOKUP($Q11,装备设定!$B$34:$B$41,装备设定!$D$34:$D$41)*VLOOKUP($P11,装备设定!$C$22:$F$29,2,0)</f>
        <v>25.65</v>
      </c>
      <c r="S11" s="4">
        <f>LOOKUP($Q11,装备设定!$B$34:$B$41,装备设定!$F$34:$F$41)*VLOOKUP($P11,装备设定!$C$22:$F$29,3,0)</f>
        <v>2.28</v>
      </c>
      <c r="T11" s="4">
        <f>LOOKUP($Q11,装备设定!$B$34:$B$41,装备设定!$I$34:$I$41)*VLOOKUP($P11,装备设定!$C$22:$F$29,4,0)</f>
        <v>0</v>
      </c>
    </row>
    <row r="12" spans="2:20">
      <c r="B12" s="4">
        <v>11</v>
      </c>
      <c r="C12" s="35">
        <v>100</v>
      </c>
      <c r="D12" s="4">
        <f t="shared" si="2"/>
        <v>600</v>
      </c>
      <c r="E12" s="4">
        <f t="shared" ref="E12:E41" si="5">MAX(E2-4,5)</f>
        <v>96</v>
      </c>
      <c r="F12" s="4">
        <f t="shared" si="0"/>
        <v>625</v>
      </c>
      <c r="I12" s="4" t="s">
        <v>215</v>
      </c>
      <c r="J12" s="4" t="s">
        <v>106</v>
      </c>
      <c r="K12" s="4">
        <v>1</v>
      </c>
      <c r="L12" s="4">
        <f>K12*基础设定!$D$11</f>
        <v>10</v>
      </c>
      <c r="M12" s="4" t="str">
        <f t="shared" si="3"/>
        <v>26级手镯</v>
      </c>
      <c r="N12" s="4" t="s">
        <v>612</v>
      </c>
      <c r="O12" s="36">
        <v>20</v>
      </c>
      <c r="P12" s="36" t="str">
        <f t="shared" si="1"/>
        <v>手镯</v>
      </c>
      <c r="Q12" s="36">
        <f>O12+VLOOKUP(RIGHT(N12,2),装备设定!$C$22:$L$29,10,0)</f>
        <v>26</v>
      </c>
      <c r="R12" s="4">
        <f>LOOKUP($Q12,装备设定!$B$34:$B$41,装备设定!$D$34:$D$41)*VLOOKUP($P12,装备设定!$C$22:$F$29,2,0)</f>
        <v>35.1</v>
      </c>
      <c r="S12" s="4">
        <f>LOOKUP($Q12,装备设定!$B$34:$B$41,装备设定!$F$34:$F$41)*VLOOKUP($P12,装备设定!$C$22:$F$29,3,0)</f>
        <v>3.12</v>
      </c>
      <c r="T12" s="4">
        <f>LOOKUP($Q12,装备设定!$B$34:$B$41,装备设定!$I$34:$I$41)*VLOOKUP($P12,装备设定!$C$22:$F$29,4,0)</f>
        <v>0</v>
      </c>
    </row>
    <row r="13" spans="2:20">
      <c r="B13" s="4">
        <v>12</v>
      </c>
      <c r="C13" s="35">
        <v>100</v>
      </c>
      <c r="D13" s="4">
        <f t="shared" si="2"/>
        <v>700</v>
      </c>
      <c r="E13" s="4">
        <f t="shared" si="5"/>
        <v>90</v>
      </c>
      <c r="F13" s="4">
        <f t="shared" si="0"/>
        <v>777.777777777778</v>
      </c>
      <c r="M13" s="4" t="str">
        <f t="shared" si="3"/>
        <v>36级手镯</v>
      </c>
      <c r="N13" s="4" t="s">
        <v>613</v>
      </c>
      <c r="O13" s="36">
        <v>30</v>
      </c>
      <c r="P13" s="36" t="str">
        <f t="shared" si="1"/>
        <v>手镯</v>
      </c>
      <c r="Q13" s="36">
        <f>O13+VLOOKUP(RIGHT(N13,2),装备设定!$C$22:$L$29,10,0)</f>
        <v>36</v>
      </c>
      <c r="R13" s="4">
        <f>LOOKUP($Q13,装备设定!$B$34:$B$41,装备设定!$D$34:$D$41)*VLOOKUP($P13,装备设定!$C$22:$F$29,2,0)</f>
        <v>47.25</v>
      </c>
      <c r="S13" s="4">
        <f>LOOKUP($Q13,装备设定!$B$34:$B$41,装备设定!$F$34:$F$41)*VLOOKUP($P13,装备设定!$C$22:$F$29,3,0)</f>
        <v>4.2</v>
      </c>
      <c r="T13" s="4">
        <f>LOOKUP($Q13,装备设定!$B$34:$B$41,装备设定!$I$34:$I$41)*VLOOKUP($P13,装备设定!$C$22:$F$29,4,0)</f>
        <v>0</v>
      </c>
    </row>
    <row r="14" spans="2:20">
      <c r="B14" s="4">
        <v>13</v>
      </c>
      <c r="C14" s="35">
        <v>100</v>
      </c>
      <c r="D14" s="4">
        <f t="shared" si="2"/>
        <v>800</v>
      </c>
      <c r="E14" s="4">
        <f t="shared" si="5"/>
        <v>82</v>
      </c>
      <c r="F14" s="4">
        <f t="shared" si="0"/>
        <v>975.609756097561</v>
      </c>
      <c r="M14" s="4" t="str">
        <f t="shared" si="3"/>
        <v>46级手镯</v>
      </c>
      <c r="N14" s="4" t="s">
        <v>614</v>
      </c>
      <c r="O14" s="36">
        <v>40</v>
      </c>
      <c r="P14" s="36" t="str">
        <f t="shared" si="1"/>
        <v>手镯</v>
      </c>
      <c r="Q14" s="36">
        <f>O14+VLOOKUP(RIGHT(N14,2),装备设定!$C$22:$L$29,10,0)</f>
        <v>46</v>
      </c>
      <c r="R14" s="4">
        <f>LOOKUP($Q14,装备设定!$B$34:$B$41,装备设定!$D$34:$D$41)*VLOOKUP($P14,装备设定!$C$22:$F$29,2,0)</f>
        <v>64.8</v>
      </c>
      <c r="S14" s="4">
        <f>LOOKUP($Q14,装备设定!$B$34:$B$41,装备设定!$F$34:$F$41)*VLOOKUP($P14,装备设定!$C$22:$F$29,3,0)</f>
        <v>5.76</v>
      </c>
      <c r="T14" s="4">
        <f>LOOKUP($Q14,装备设定!$B$34:$B$41,装备设定!$I$34:$I$41)*VLOOKUP($P14,装备设定!$C$22:$F$29,4,0)</f>
        <v>0</v>
      </c>
    </row>
    <row r="15" spans="2:20">
      <c r="B15" s="4">
        <v>14</v>
      </c>
      <c r="C15" s="35">
        <v>100</v>
      </c>
      <c r="D15" s="4">
        <f t="shared" si="2"/>
        <v>900</v>
      </c>
      <c r="E15" s="4">
        <f t="shared" si="5"/>
        <v>74</v>
      </c>
      <c r="F15" s="4">
        <f t="shared" si="0"/>
        <v>1216.21621621622</v>
      </c>
      <c r="I15" s="4" t="s">
        <v>615</v>
      </c>
      <c r="M15" s="4" t="str">
        <f t="shared" si="3"/>
        <v>56级手镯</v>
      </c>
      <c r="N15" s="4" t="s">
        <v>616</v>
      </c>
      <c r="O15" s="36">
        <v>50</v>
      </c>
      <c r="P15" s="36" t="str">
        <f t="shared" si="1"/>
        <v>手镯</v>
      </c>
      <c r="Q15" s="36">
        <f>O15+VLOOKUP(RIGHT(N15,2),装备设定!$C$22:$L$29,10,0)</f>
        <v>56</v>
      </c>
      <c r="R15" s="4">
        <f>LOOKUP($Q15,装备设定!$B$34:$B$41,装备设定!$D$34:$D$41)*VLOOKUP($P15,装备设定!$C$22:$F$29,2,0)</f>
        <v>89.1</v>
      </c>
      <c r="S15" s="4">
        <f>LOOKUP($Q15,装备设定!$B$34:$B$41,装备设定!$F$34:$F$41)*VLOOKUP($P15,装备设定!$C$22:$F$29,3,0)</f>
        <v>7.92</v>
      </c>
      <c r="T15" s="4">
        <f>LOOKUP($Q15,装备设定!$B$34:$B$41,装备设定!$I$34:$I$41)*VLOOKUP($P15,装备设定!$C$22:$F$29,4,0)</f>
        <v>0</v>
      </c>
    </row>
    <row r="16" spans="2:20">
      <c r="B16" s="4">
        <v>15</v>
      </c>
      <c r="C16" s="35">
        <v>100</v>
      </c>
      <c r="D16" s="4">
        <f t="shared" si="2"/>
        <v>1000</v>
      </c>
      <c r="E16" s="4">
        <f t="shared" si="5"/>
        <v>66</v>
      </c>
      <c r="F16" s="4">
        <f t="shared" si="0"/>
        <v>1515.15151515152</v>
      </c>
      <c r="I16" s="4" t="s">
        <v>10</v>
      </c>
      <c r="J16" s="4">
        <f>SUMIFS($K$3:$K$12,$J$3:$J$12,I16)</f>
        <v>10</v>
      </c>
      <c r="M16" s="4" t="str">
        <f t="shared" si="3"/>
        <v>66级手镯</v>
      </c>
      <c r="N16" s="4" t="s">
        <v>617</v>
      </c>
      <c r="O16" s="36">
        <v>60</v>
      </c>
      <c r="P16" s="36" t="str">
        <f t="shared" si="1"/>
        <v>手镯</v>
      </c>
      <c r="Q16" s="36">
        <f>O16+VLOOKUP(RIGHT(N16,2),装备设定!$C$22:$L$29,10,0)</f>
        <v>66</v>
      </c>
      <c r="R16" s="4">
        <f>LOOKUP($Q16,装备设定!$B$34:$B$41,装备设定!$D$34:$D$41)*VLOOKUP($P16,装备设定!$C$22:$F$29,2,0)</f>
        <v>121.5</v>
      </c>
      <c r="S16" s="4">
        <f>LOOKUP($Q16,装备设定!$B$34:$B$41,装备设定!$F$34:$F$41)*VLOOKUP($P16,装备设定!$C$22:$F$29,3,0)</f>
        <v>10.8</v>
      </c>
      <c r="T16" s="4">
        <f>LOOKUP($Q16,装备设定!$B$34:$B$41,装备设定!$I$34:$I$41)*VLOOKUP($P16,装备设定!$C$22:$F$29,4,0)</f>
        <v>0</v>
      </c>
    </row>
    <row r="17" spans="2:20">
      <c r="B17" s="4">
        <v>16</v>
      </c>
      <c r="C17" s="35">
        <v>100</v>
      </c>
      <c r="D17" s="4">
        <f t="shared" si="2"/>
        <v>1100</v>
      </c>
      <c r="E17" s="4">
        <f t="shared" si="5"/>
        <v>58</v>
      </c>
      <c r="F17" s="4">
        <f t="shared" si="0"/>
        <v>1896.55172413793</v>
      </c>
      <c r="I17" s="4" t="s">
        <v>106</v>
      </c>
      <c r="J17" s="4">
        <f t="shared" ref="J17:J18" si="6">SUMIFS($K$3:$K$12,$J$3:$J$12,I17)</f>
        <v>5</v>
      </c>
      <c r="M17" s="4" t="str">
        <f t="shared" si="3"/>
        <v>76级手镯</v>
      </c>
      <c r="N17" s="4" t="s">
        <v>618</v>
      </c>
      <c r="O17" s="36">
        <v>70</v>
      </c>
      <c r="P17" s="36" t="str">
        <f t="shared" si="1"/>
        <v>手镯</v>
      </c>
      <c r="Q17" s="36">
        <f>O17+VLOOKUP(RIGHT(N17,2),装备设定!$C$22:$L$29,10,0)</f>
        <v>76</v>
      </c>
      <c r="R17" s="4">
        <f>LOOKUP($Q17,装备设定!$B$34:$B$41,装备设定!$D$34:$D$41)*VLOOKUP($P17,装备设定!$C$22:$F$29,2,0)</f>
        <v>167.4</v>
      </c>
      <c r="S17" s="4">
        <f>LOOKUP($Q17,装备设定!$B$34:$B$41,装备设定!$F$34:$F$41)*VLOOKUP($P17,装备设定!$C$22:$F$29,3,0)</f>
        <v>14.88</v>
      </c>
      <c r="T17" s="4">
        <f>LOOKUP($Q17,装备设定!$B$34:$B$41,装备设定!$I$34:$I$41)*VLOOKUP($P17,装备设定!$C$22:$F$29,4,0)</f>
        <v>0</v>
      </c>
    </row>
    <row r="18" spans="2:20">
      <c r="B18" s="4">
        <v>17</v>
      </c>
      <c r="C18" s="35">
        <v>100</v>
      </c>
      <c r="D18" s="4">
        <f t="shared" si="2"/>
        <v>1200</v>
      </c>
      <c r="E18" s="4">
        <f t="shared" si="5"/>
        <v>50</v>
      </c>
      <c r="F18" s="4">
        <f t="shared" si="0"/>
        <v>2400</v>
      </c>
      <c r="I18" s="4" t="s">
        <v>17</v>
      </c>
      <c r="J18" s="4">
        <f t="shared" si="6"/>
        <v>5</v>
      </c>
      <c r="M18" s="4" t="str">
        <f t="shared" si="3"/>
        <v>7级头盔</v>
      </c>
      <c r="N18" s="4" t="s">
        <v>153</v>
      </c>
      <c r="O18" s="36">
        <v>0</v>
      </c>
      <c r="P18" s="36" t="str">
        <f t="shared" si="1"/>
        <v>头盔</v>
      </c>
      <c r="Q18" s="36">
        <f>O18+VLOOKUP(RIGHT(N18,2),装备设定!$C$22:$L$29,10,0)</f>
        <v>7</v>
      </c>
      <c r="R18" s="4">
        <f>LOOKUP($Q18,装备设定!$B$34:$B$41,装备设定!$D$34:$D$41)*VLOOKUP($P18,装备设定!$C$22:$F$29,2,0)</f>
        <v>0</v>
      </c>
      <c r="S18" s="4">
        <f>LOOKUP($Q18,装备设定!$B$34:$B$41,装备设定!$F$34:$F$41)*VLOOKUP($P18,装备设定!$C$22:$F$29,3,0)</f>
        <v>2.7</v>
      </c>
      <c r="T18" s="4">
        <f>LOOKUP($Q18,装备设定!$B$34:$B$41,装备设定!$I$34:$I$41)*VLOOKUP($P18,装备设定!$C$22:$F$29,4,0)</f>
        <v>2.25</v>
      </c>
    </row>
    <row r="19" spans="2:20">
      <c r="B19" s="4">
        <v>18</v>
      </c>
      <c r="C19" s="35">
        <v>100</v>
      </c>
      <c r="D19" s="4">
        <f t="shared" si="2"/>
        <v>1300</v>
      </c>
      <c r="E19" s="4">
        <f t="shared" si="5"/>
        <v>42</v>
      </c>
      <c r="F19" s="4">
        <f t="shared" si="0"/>
        <v>3095.2380952381</v>
      </c>
      <c r="M19" s="4" t="str">
        <f t="shared" si="3"/>
        <v>17级头盔</v>
      </c>
      <c r="N19" s="4" t="s">
        <v>165</v>
      </c>
      <c r="O19" s="36">
        <v>10</v>
      </c>
      <c r="P19" s="36" t="str">
        <f t="shared" si="1"/>
        <v>头盔</v>
      </c>
      <c r="Q19" s="36">
        <f>O19+VLOOKUP(RIGHT(N19,2),装备设定!$C$22:$L$29,10,0)</f>
        <v>17</v>
      </c>
      <c r="R19" s="4">
        <f>LOOKUP($Q19,装备设定!$B$34:$B$41,装备设定!$D$34:$D$41)*VLOOKUP($P19,装备设定!$C$22:$F$29,2,0)</f>
        <v>0</v>
      </c>
      <c r="S19" s="4">
        <f>LOOKUP($Q19,装备设定!$B$34:$B$41,装备设定!$F$34:$F$41)*VLOOKUP($P19,装备设定!$C$22:$F$29,3,0)</f>
        <v>3.42</v>
      </c>
      <c r="T19" s="4">
        <f>LOOKUP($Q19,装备设定!$B$34:$B$41,装备设定!$I$34:$I$41)*VLOOKUP($P19,装备设定!$C$22:$F$29,4,0)</f>
        <v>2.85</v>
      </c>
    </row>
    <row r="20" spans="2:20">
      <c r="B20" s="4">
        <v>19</v>
      </c>
      <c r="C20" s="35">
        <v>100</v>
      </c>
      <c r="D20" s="4">
        <f t="shared" si="2"/>
        <v>1400</v>
      </c>
      <c r="E20" s="4">
        <f t="shared" si="5"/>
        <v>34</v>
      </c>
      <c r="F20" s="4">
        <f t="shared" si="0"/>
        <v>4117.64705882353</v>
      </c>
      <c r="M20" s="4" t="str">
        <f t="shared" si="3"/>
        <v>27级头盔</v>
      </c>
      <c r="N20" s="4" t="s">
        <v>177</v>
      </c>
      <c r="O20" s="36">
        <v>20</v>
      </c>
      <c r="P20" s="36" t="str">
        <f t="shared" si="1"/>
        <v>头盔</v>
      </c>
      <c r="Q20" s="36">
        <f>O20+VLOOKUP(RIGHT(N20,2),装备设定!$C$22:$L$29,10,0)</f>
        <v>27</v>
      </c>
      <c r="R20" s="4">
        <f>LOOKUP($Q20,装备设定!$B$34:$B$41,装备设定!$D$34:$D$41)*VLOOKUP($P20,装备设定!$C$22:$F$29,2,0)</f>
        <v>0</v>
      </c>
      <c r="S20" s="4">
        <f>LOOKUP($Q20,装备设定!$B$34:$B$41,装备设定!$F$34:$F$41)*VLOOKUP($P20,装备设定!$C$22:$F$29,3,0)</f>
        <v>4.68</v>
      </c>
      <c r="T20" s="4">
        <f>LOOKUP($Q20,装备设定!$B$34:$B$41,装备设定!$I$34:$I$41)*VLOOKUP($P20,装备设定!$C$22:$F$29,4,0)</f>
        <v>3.9</v>
      </c>
    </row>
    <row r="21" spans="2:20">
      <c r="B21" s="4">
        <v>20</v>
      </c>
      <c r="C21" s="35">
        <v>100</v>
      </c>
      <c r="D21" s="4">
        <f t="shared" si="2"/>
        <v>1500</v>
      </c>
      <c r="E21" s="4">
        <f t="shared" si="5"/>
        <v>26</v>
      </c>
      <c r="F21" s="4">
        <f t="shared" si="0"/>
        <v>5769.23076923077</v>
      </c>
      <c r="M21" s="4" t="str">
        <f t="shared" si="3"/>
        <v>37级头盔</v>
      </c>
      <c r="N21" s="4" t="s">
        <v>189</v>
      </c>
      <c r="O21" s="36">
        <v>30</v>
      </c>
      <c r="P21" s="36" t="str">
        <f t="shared" si="1"/>
        <v>头盔</v>
      </c>
      <c r="Q21" s="36">
        <f>O21+VLOOKUP(RIGHT(N21,2),装备设定!$C$22:$L$29,10,0)</f>
        <v>37</v>
      </c>
      <c r="R21" s="4">
        <f>LOOKUP($Q21,装备设定!$B$34:$B$41,装备设定!$D$34:$D$41)*VLOOKUP($P21,装备设定!$C$22:$F$29,2,0)</f>
        <v>0</v>
      </c>
      <c r="S21" s="4">
        <f>LOOKUP($Q21,装备设定!$B$34:$B$41,装备设定!$F$34:$F$41)*VLOOKUP($P21,装备设定!$C$22:$F$29,3,0)</f>
        <v>6.3</v>
      </c>
      <c r="T21" s="4">
        <f>LOOKUP($Q21,装备设定!$B$34:$B$41,装备设定!$I$34:$I$41)*VLOOKUP($P21,装备设定!$C$22:$F$29,4,0)</f>
        <v>5.25</v>
      </c>
    </row>
    <row r="22" spans="2:20">
      <c r="B22" s="4">
        <v>21</v>
      </c>
      <c r="C22" s="37">
        <v>300</v>
      </c>
      <c r="D22" s="4">
        <f t="shared" si="2"/>
        <v>1800</v>
      </c>
      <c r="E22" s="4">
        <f t="shared" si="5"/>
        <v>92</v>
      </c>
      <c r="F22" s="4">
        <f t="shared" si="0"/>
        <v>1956.52173913043</v>
      </c>
      <c r="M22" s="4" t="str">
        <f t="shared" si="3"/>
        <v>47级头盔</v>
      </c>
      <c r="N22" s="4" t="s">
        <v>205</v>
      </c>
      <c r="O22" s="36">
        <v>40</v>
      </c>
      <c r="P22" s="36" t="str">
        <f t="shared" si="1"/>
        <v>头盔</v>
      </c>
      <c r="Q22" s="36">
        <f>O22+VLOOKUP(RIGHT(N22,2),装备设定!$C$22:$L$29,10,0)</f>
        <v>47</v>
      </c>
      <c r="R22" s="4">
        <f>LOOKUP($Q22,装备设定!$B$34:$B$41,装备设定!$D$34:$D$41)*VLOOKUP($P22,装备设定!$C$22:$F$29,2,0)</f>
        <v>0</v>
      </c>
      <c r="S22" s="4">
        <f>LOOKUP($Q22,装备设定!$B$34:$B$41,装备设定!$F$34:$F$41)*VLOOKUP($P22,装备设定!$C$22:$F$29,3,0)</f>
        <v>8.64</v>
      </c>
      <c r="T22" s="4">
        <f>LOOKUP($Q22,装备设定!$B$34:$B$41,装备设定!$I$34:$I$41)*VLOOKUP($P22,装备设定!$C$22:$F$29,4,0)</f>
        <v>7.2</v>
      </c>
    </row>
    <row r="23" spans="2:20">
      <c r="B23" s="4">
        <v>22</v>
      </c>
      <c r="C23" s="37">
        <v>300</v>
      </c>
      <c r="D23" s="4">
        <f t="shared" si="2"/>
        <v>2100</v>
      </c>
      <c r="E23" s="4">
        <f t="shared" si="5"/>
        <v>86</v>
      </c>
      <c r="F23" s="4">
        <f t="shared" si="0"/>
        <v>2441.86046511628</v>
      </c>
      <c r="M23" s="4" t="str">
        <f t="shared" si="3"/>
        <v>57级头盔</v>
      </c>
      <c r="N23" s="4" t="s">
        <v>220</v>
      </c>
      <c r="O23" s="36">
        <v>50</v>
      </c>
      <c r="P23" s="36" t="str">
        <f t="shared" si="1"/>
        <v>头盔</v>
      </c>
      <c r="Q23" s="36">
        <f>O23+VLOOKUP(RIGHT(N23,2),装备设定!$C$22:$L$29,10,0)</f>
        <v>57</v>
      </c>
      <c r="R23" s="4">
        <f>LOOKUP($Q23,装备设定!$B$34:$B$41,装备设定!$D$34:$D$41)*VLOOKUP($P23,装备设定!$C$22:$F$29,2,0)</f>
        <v>0</v>
      </c>
      <c r="S23" s="4">
        <f>LOOKUP($Q23,装备设定!$B$34:$B$41,装备设定!$F$34:$F$41)*VLOOKUP($P23,装备设定!$C$22:$F$29,3,0)</f>
        <v>11.88</v>
      </c>
      <c r="T23" s="4">
        <f>LOOKUP($Q23,装备设定!$B$34:$B$41,装备设定!$I$34:$I$41)*VLOOKUP($P23,装备设定!$C$22:$F$29,4,0)</f>
        <v>9.9</v>
      </c>
    </row>
    <row r="24" spans="2:20">
      <c r="B24" s="4">
        <v>23</v>
      </c>
      <c r="C24" s="37">
        <v>300</v>
      </c>
      <c r="D24" s="4">
        <f t="shared" si="2"/>
        <v>2400</v>
      </c>
      <c r="E24" s="4">
        <f t="shared" si="5"/>
        <v>78</v>
      </c>
      <c r="F24" s="4">
        <f t="shared" si="0"/>
        <v>3076.92307692308</v>
      </c>
      <c r="M24" s="4" t="str">
        <f t="shared" si="3"/>
        <v>67级头盔</v>
      </c>
      <c r="N24" s="4" t="s">
        <v>234</v>
      </c>
      <c r="O24" s="36">
        <v>60</v>
      </c>
      <c r="P24" s="36" t="str">
        <f t="shared" si="1"/>
        <v>头盔</v>
      </c>
      <c r="Q24" s="36">
        <f>O24+VLOOKUP(RIGHT(N24,2),装备设定!$C$22:$L$29,10,0)</f>
        <v>67</v>
      </c>
      <c r="R24" s="4">
        <f>LOOKUP($Q24,装备设定!$B$34:$B$41,装备设定!$D$34:$D$41)*VLOOKUP($P24,装备设定!$C$22:$F$29,2,0)</f>
        <v>0</v>
      </c>
      <c r="S24" s="4">
        <f>LOOKUP($Q24,装备设定!$B$34:$B$41,装备设定!$F$34:$F$41)*VLOOKUP($P24,装备设定!$C$22:$F$29,3,0)</f>
        <v>16.2</v>
      </c>
      <c r="T24" s="4">
        <f>LOOKUP($Q24,装备设定!$B$34:$B$41,装备设定!$I$34:$I$41)*VLOOKUP($P24,装备设定!$C$22:$F$29,4,0)</f>
        <v>13.5</v>
      </c>
    </row>
    <row r="25" spans="2:20">
      <c r="B25" s="4">
        <v>24</v>
      </c>
      <c r="C25" s="37">
        <v>300</v>
      </c>
      <c r="D25" s="4">
        <f t="shared" si="2"/>
        <v>2700</v>
      </c>
      <c r="E25" s="4">
        <f t="shared" si="5"/>
        <v>70</v>
      </c>
      <c r="F25" s="4">
        <f t="shared" si="0"/>
        <v>3857.14285714286</v>
      </c>
      <c r="M25" s="4" t="str">
        <f t="shared" si="3"/>
        <v>77级头盔</v>
      </c>
      <c r="N25" s="4" t="s">
        <v>245</v>
      </c>
      <c r="O25" s="36">
        <v>70</v>
      </c>
      <c r="P25" s="36" t="str">
        <f t="shared" si="1"/>
        <v>头盔</v>
      </c>
      <c r="Q25" s="36">
        <f>O25+VLOOKUP(RIGHT(N25,2),装备设定!$C$22:$L$29,10,0)</f>
        <v>77</v>
      </c>
      <c r="R25" s="4">
        <f>LOOKUP($Q25,装备设定!$B$34:$B$41,装备设定!$D$34:$D$41)*VLOOKUP($P25,装备设定!$C$22:$F$29,2,0)</f>
        <v>0</v>
      </c>
      <c r="S25" s="4">
        <f>LOOKUP($Q25,装备设定!$B$34:$B$41,装备设定!$F$34:$F$41)*VLOOKUP($P25,装备设定!$C$22:$F$29,3,0)</f>
        <v>22.32</v>
      </c>
      <c r="T25" s="4">
        <f>LOOKUP($Q25,装备设定!$B$34:$B$41,装备设定!$I$34:$I$41)*VLOOKUP($P25,装备设定!$C$22:$F$29,4,0)</f>
        <v>18.6</v>
      </c>
    </row>
    <row r="26" spans="2:20">
      <c r="B26" s="4">
        <v>25</v>
      </c>
      <c r="C26" s="37">
        <v>300</v>
      </c>
      <c r="D26" s="4">
        <f t="shared" si="2"/>
        <v>3000</v>
      </c>
      <c r="E26" s="4">
        <f t="shared" si="5"/>
        <v>62</v>
      </c>
      <c r="F26" s="4">
        <f t="shared" si="0"/>
        <v>4838.70967741936</v>
      </c>
      <c r="M26" s="4" t="str">
        <f t="shared" si="3"/>
        <v>1级武器</v>
      </c>
      <c r="N26" s="4" t="s">
        <v>150</v>
      </c>
      <c r="O26" s="36">
        <v>0</v>
      </c>
      <c r="P26" s="36" t="str">
        <f t="shared" si="1"/>
        <v>武器</v>
      </c>
      <c r="Q26" s="36">
        <f>O26+VLOOKUP(RIGHT(N26,2),装备设定!$C$22:$L$29,10,0)</f>
        <v>1</v>
      </c>
      <c r="R26" s="4">
        <f>LOOKUP($Q26,装备设定!$B$34:$B$41,装备设定!$D$34:$D$41)*VLOOKUP($P26,装备设定!$C$22:$F$29,2,0)</f>
        <v>0</v>
      </c>
      <c r="S26" s="4">
        <f>LOOKUP($Q26,装备设定!$B$34:$B$41,装备设定!$F$34:$F$41)*VLOOKUP($P26,装备设定!$C$22:$F$29,3,0)</f>
        <v>5.4</v>
      </c>
      <c r="T26" s="4">
        <f>LOOKUP($Q26,装备设定!$B$34:$B$41,装备设定!$I$34:$I$41)*VLOOKUP($P26,装备设定!$C$22:$F$29,4,0)</f>
        <v>0</v>
      </c>
    </row>
    <row r="27" spans="2:20">
      <c r="B27" s="4">
        <v>26</v>
      </c>
      <c r="C27" s="37">
        <v>300</v>
      </c>
      <c r="D27" s="4">
        <f t="shared" si="2"/>
        <v>3300</v>
      </c>
      <c r="E27" s="4">
        <f t="shared" si="5"/>
        <v>54</v>
      </c>
      <c r="F27" s="4">
        <f t="shared" si="0"/>
        <v>6111.11111111111</v>
      </c>
      <c r="M27" s="4" t="str">
        <f t="shared" si="3"/>
        <v>11级武器</v>
      </c>
      <c r="N27" s="4" t="s">
        <v>162</v>
      </c>
      <c r="O27" s="36">
        <v>10</v>
      </c>
      <c r="P27" s="36" t="str">
        <f t="shared" si="1"/>
        <v>武器</v>
      </c>
      <c r="Q27" s="36">
        <f>O27+VLOOKUP(RIGHT(N27,2),装备设定!$C$22:$L$29,10,0)</f>
        <v>11</v>
      </c>
      <c r="R27" s="4">
        <f>LOOKUP($Q27,装备设定!$B$34:$B$41,装备设定!$D$34:$D$41)*VLOOKUP($P27,装备设定!$C$22:$F$29,2,0)</f>
        <v>0</v>
      </c>
      <c r="S27" s="4">
        <f>LOOKUP($Q27,装备设定!$B$34:$B$41,装备设定!$F$34:$F$41)*VLOOKUP($P27,装备设定!$C$22:$F$29,3,0)</f>
        <v>6.84</v>
      </c>
      <c r="T27" s="4">
        <f>LOOKUP($Q27,装备设定!$B$34:$B$41,装备设定!$I$34:$I$41)*VLOOKUP($P27,装备设定!$C$22:$F$29,4,0)</f>
        <v>0</v>
      </c>
    </row>
    <row r="28" spans="2:20">
      <c r="B28" s="4">
        <v>27</v>
      </c>
      <c r="C28" s="37">
        <v>300</v>
      </c>
      <c r="D28" s="4">
        <f t="shared" si="2"/>
        <v>3600</v>
      </c>
      <c r="E28" s="4">
        <f t="shared" si="5"/>
        <v>46</v>
      </c>
      <c r="F28" s="4">
        <f t="shared" si="0"/>
        <v>7826.08695652174</v>
      </c>
      <c r="M28" s="4" t="str">
        <f t="shared" si="3"/>
        <v>21级武器</v>
      </c>
      <c r="N28" s="4" t="s">
        <v>175</v>
      </c>
      <c r="O28" s="36">
        <v>20</v>
      </c>
      <c r="P28" s="36" t="str">
        <f t="shared" si="1"/>
        <v>武器</v>
      </c>
      <c r="Q28" s="36">
        <f>O28+VLOOKUP(RIGHT(N28,2),装备设定!$C$22:$L$29,10,0)</f>
        <v>21</v>
      </c>
      <c r="R28" s="4">
        <f>LOOKUP($Q28,装备设定!$B$34:$B$41,装备设定!$D$34:$D$41)*VLOOKUP($P28,装备设定!$C$22:$F$29,2,0)</f>
        <v>0</v>
      </c>
      <c r="S28" s="4">
        <f>LOOKUP($Q28,装备设定!$B$34:$B$41,装备设定!$F$34:$F$41)*VLOOKUP($P28,装备设定!$C$22:$F$29,3,0)</f>
        <v>9.36</v>
      </c>
      <c r="T28" s="4">
        <f>LOOKUP($Q28,装备设定!$B$34:$B$41,装备设定!$I$34:$I$41)*VLOOKUP($P28,装备设定!$C$22:$F$29,4,0)</f>
        <v>0</v>
      </c>
    </row>
    <row r="29" spans="2:20">
      <c r="B29" s="4">
        <v>28</v>
      </c>
      <c r="C29" s="37">
        <v>300</v>
      </c>
      <c r="D29" s="4">
        <f t="shared" si="2"/>
        <v>3900</v>
      </c>
      <c r="E29" s="4">
        <f t="shared" si="5"/>
        <v>38</v>
      </c>
      <c r="F29" s="4">
        <f t="shared" si="0"/>
        <v>10263.1578947368</v>
      </c>
      <c r="M29" s="4" t="str">
        <f t="shared" si="3"/>
        <v>31级武器</v>
      </c>
      <c r="N29" s="4" t="s">
        <v>185</v>
      </c>
      <c r="O29" s="36">
        <v>30</v>
      </c>
      <c r="P29" s="36" t="str">
        <f t="shared" si="1"/>
        <v>武器</v>
      </c>
      <c r="Q29" s="36">
        <f>O29+VLOOKUP(RIGHT(N29,2),装备设定!$C$22:$L$29,10,0)</f>
        <v>31</v>
      </c>
      <c r="R29" s="4">
        <f>LOOKUP($Q29,装备设定!$B$34:$B$41,装备设定!$D$34:$D$41)*VLOOKUP($P29,装备设定!$C$22:$F$29,2,0)</f>
        <v>0</v>
      </c>
      <c r="S29" s="4">
        <f>LOOKUP($Q29,装备设定!$B$34:$B$41,装备设定!$F$34:$F$41)*VLOOKUP($P29,装备设定!$C$22:$F$29,3,0)</f>
        <v>12.6</v>
      </c>
      <c r="T29" s="4">
        <f>LOOKUP($Q29,装备设定!$B$34:$B$41,装备设定!$I$34:$I$41)*VLOOKUP($P29,装备设定!$C$22:$F$29,4,0)</f>
        <v>0</v>
      </c>
    </row>
    <row r="30" spans="2:20">
      <c r="B30" s="4">
        <v>29</v>
      </c>
      <c r="C30" s="37">
        <v>300</v>
      </c>
      <c r="D30" s="4">
        <f t="shared" si="2"/>
        <v>4200</v>
      </c>
      <c r="E30" s="4">
        <f t="shared" si="5"/>
        <v>30</v>
      </c>
      <c r="F30" s="4">
        <f t="shared" si="0"/>
        <v>14000</v>
      </c>
      <c r="M30" s="4" t="str">
        <f t="shared" si="3"/>
        <v>41级武器</v>
      </c>
      <c r="N30" s="4" t="s">
        <v>201</v>
      </c>
      <c r="O30" s="36">
        <v>40</v>
      </c>
      <c r="P30" s="36" t="str">
        <f t="shared" si="1"/>
        <v>武器</v>
      </c>
      <c r="Q30" s="36">
        <f>O30+VLOOKUP(RIGHT(N30,2),装备设定!$C$22:$L$29,10,0)</f>
        <v>41</v>
      </c>
      <c r="R30" s="4">
        <f>LOOKUP($Q30,装备设定!$B$34:$B$41,装备设定!$D$34:$D$41)*VLOOKUP($P30,装备设定!$C$22:$F$29,2,0)</f>
        <v>0</v>
      </c>
      <c r="S30" s="4">
        <f>LOOKUP($Q30,装备设定!$B$34:$B$41,装备设定!$F$34:$F$41)*VLOOKUP($P30,装备设定!$C$22:$F$29,3,0)</f>
        <v>17.28</v>
      </c>
      <c r="T30" s="4">
        <f>LOOKUP($Q30,装备设定!$B$34:$B$41,装备设定!$I$34:$I$41)*VLOOKUP($P30,装备设定!$C$22:$F$29,4,0)</f>
        <v>0</v>
      </c>
    </row>
    <row r="31" spans="2:20">
      <c r="B31" s="4">
        <v>30</v>
      </c>
      <c r="C31" s="37">
        <v>300</v>
      </c>
      <c r="D31" s="4">
        <f t="shared" si="2"/>
        <v>4500</v>
      </c>
      <c r="E31" s="4">
        <f t="shared" si="5"/>
        <v>22</v>
      </c>
      <c r="F31" s="4">
        <f t="shared" si="0"/>
        <v>20454.5454545455</v>
      </c>
      <c r="M31" s="4" t="str">
        <f t="shared" si="3"/>
        <v>51级武器</v>
      </c>
      <c r="N31" s="4" t="s">
        <v>217</v>
      </c>
      <c r="O31" s="36">
        <v>50</v>
      </c>
      <c r="P31" s="36" t="str">
        <f t="shared" si="1"/>
        <v>武器</v>
      </c>
      <c r="Q31" s="36">
        <f>O31+VLOOKUP(RIGHT(N31,2),装备设定!$C$22:$L$29,10,0)</f>
        <v>51</v>
      </c>
      <c r="R31" s="4">
        <f>LOOKUP($Q31,装备设定!$B$34:$B$41,装备设定!$D$34:$D$41)*VLOOKUP($P31,装备设定!$C$22:$F$29,2,0)</f>
        <v>0</v>
      </c>
      <c r="S31" s="4">
        <f>LOOKUP($Q31,装备设定!$B$34:$B$41,装备设定!$F$34:$F$41)*VLOOKUP($P31,装备设定!$C$22:$F$29,3,0)</f>
        <v>23.76</v>
      </c>
      <c r="T31" s="4">
        <f>LOOKUP($Q31,装备设定!$B$34:$B$41,装备设定!$I$34:$I$41)*VLOOKUP($P31,装备设定!$C$22:$F$29,4,0)</f>
        <v>0</v>
      </c>
    </row>
    <row r="32" spans="2:20">
      <c r="B32" s="4">
        <v>31</v>
      </c>
      <c r="C32" s="38">
        <v>500</v>
      </c>
      <c r="D32" s="4">
        <f t="shared" si="2"/>
        <v>5000</v>
      </c>
      <c r="E32" s="4">
        <f t="shared" si="5"/>
        <v>88</v>
      </c>
      <c r="F32" s="4">
        <f t="shared" si="0"/>
        <v>5681.81818181818</v>
      </c>
      <c r="M32" s="4" t="str">
        <f t="shared" si="3"/>
        <v>61级武器</v>
      </c>
      <c r="N32" s="4" t="s">
        <v>231</v>
      </c>
      <c r="O32" s="36">
        <v>60</v>
      </c>
      <c r="P32" s="36" t="str">
        <f t="shared" si="1"/>
        <v>武器</v>
      </c>
      <c r="Q32" s="36">
        <f>O32+VLOOKUP(RIGHT(N32,2),装备设定!$C$22:$L$29,10,0)</f>
        <v>61</v>
      </c>
      <c r="R32" s="4">
        <f>LOOKUP($Q32,装备设定!$B$34:$B$41,装备设定!$D$34:$D$41)*VLOOKUP($P32,装备设定!$C$22:$F$29,2,0)</f>
        <v>0</v>
      </c>
      <c r="S32" s="4">
        <f>LOOKUP($Q32,装备设定!$B$34:$B$41,装备设定!$F$34:$F$41)*VLOOKUP($P32,装备设定!$C$22:$F$29,3,0)</f>
        <v>32.4</v>
      </c>
      <c r="T32" s="4">
        <f>LOOKUP($Q32,装备设定!$B$34:$B$41,装备设定!$I$34:$I$41)*VLOOKUP($P32,装备设定!$C$22:$F$29,4,0)</f>
        <v>0</v>
      </c>
    </row>
    <row r="33" spans="2:20">
      <c r="B33" s="4">
        <v>32</v>
      </c>
      <c r="C33" s="38">
        <v>500</v>
      </c>
      <c r="D33" s="4">
        <f t="shared" si="2"/>
        <v>5500</v>
      </c>
      <c r="E33" s="4">
        <f t="shared" si="5"/>
        <v>82</v>
      </c>
      <c r="F33" s="4">
        <f t="shared" si="0"/>
        <v>6707.31707317073</v>
      </c>
      <c r="M33" s="4" t="str">
        <f t="shared" si="3"/>
        <v>71级武器</v>
      </c>
      <c r="N33" s="4" t="s">
        <v>243</v>
      </c>
      <c r="O33" s="36">
        <v>70</v>
      </c>
      <c r="P33" s="36" t="str">
        <f t="shared" si="1"/>
        <v>武器</v>
      </c>
      <c r="Q33" s="36">
        <f>O33+VLOOKUP(RIGHT(N33,2),装备设定!$C$22:$L$29,10,0)</f>
        <v>71</v>
      </c>
      <c r="R33" s="4">
        <f>LOOKUP($Q33,装备设定!$B$34:$B$41,装备设定!$D$34:$D$41)*VLOOKUP($P33,装备设定!$C$22:$F$29,2,0)</f>
        <v>0</v>
      </c>
      <c r="S33" s="4">
        <f>LOOKUP($Q33,装备设定!$B$34:$B$41,装备设定!$F$34:$F$41)*VLOOKUP($P33,装备设定!$C$22:$F$29,3,0)</f>
        <v>44.64</v>
      </c>
      <c r="T33" s="4">
        <f>LOOKUP($Q33,装备设定!$B$34:$B$41,装备设定!$I$34:$I$41)*VLOOKUP($P33,装备设定!$C$22:$F$29,4,0)</f>
        <v>0</v>
      </c>
    </row>
    <row r="34" spans="2:20">
      <c r="B34" s="4">
        <v>33</v>
      </c>
      <c r="C34" s="38">
        <v>500</v>
      </c>
      <c r="D34" s="4">
        <f t="shared" si="2"/>
        <v>6000</v>
      </c>
      <c r="E34" s="4">
        <f t="shared" si="5"/>
        <v>74</v>
      </c>
      <c r="F34" s="4">
        <f t="shared" ref="F34:F65" si="7">D34/(E34/100)</f>
        <v>8108.10810810811</v>
      </c>
      <c r="M34" s="4" t="str">
        <f t="shared" si="3"/>
        <v>4级项链</v>
      </c>
      <c r="N34" s="4" t="s">
        <v>619</v>
      </c>
      <c r="O34" s="36">
        <v>0</v>
      </c>
      <c r="P34" s="36" t="str">
        <f t="shared" ref="P34:P65" si="8">RIGHT(N34,2)</f>
        <v>项链</v>
      </c>
      <c r="Q34" s="36">
        <f>O34+VLOOKUP(RIGHT(N34,2),装备设定!$C$22:$L$29,10,0)</f>
        <v>4</v>
      </c>
      <c r="R34" s="4">
        <f>LOOKUP($Q34,装备设定!$B$34:$B$41,装备设定!$D$34:$D$41)*VLOOKUP($P34,装备设定!$C$22:$F$29,2,0)</f>
        <v>0</v>
      </c>
      <c r="S34" s="4">
        <f>LOOKUP($Q34,装备设定!$B$34:$B$41,装备设定!$F$34:$F$41)*VLOOKUP($P34,装备设定!$C$22:$F$29,3,0)</f>
        <v>2.7</v>
      </c>
      <c r="T34" s="4">
        <f>LOOKUP($Q34,装备设定!$B$34:$B$41,装备设定!$I$34:$I$41)*VLOOKUP($P34,装备设定!$C$22:$F$29,4,0)</f>
        <v>0.9</v>
      </c>
    </row>
    <row r="35" spans="2:20">
      <c r="B35" s="4">
        <v>34</v>
      </c>
      <c r="C35" s="38">
        <v>500</v>
      </c>
      <c r="D35" s="4">
        <f t="shared" ref="D35:D66" si="9">D34+C35</f>
        <v>6500</v>
      </c>
      <c r="E35" s="4">
        <f t="shared" si="5"/>
        <v>66</v>
      </c>
      <c r="F35" s="4">
        <f t="shared" si="7"/>
        <v>9848.48484848485</v>
      </c>
      <c r="M35" s="4" t="str">
        <f t="shared" si="3"/>
        <v>14级项链</v>
      </c>
      <c r="N35" s="4" t="s">
        <v>620</v>
      </c>
      <c r="O35" s="36">
        <v>10</v>
      </c>
      <c r="P35" s="36" t="str">
        <f t="shared" si="8"/>
        <v>项链</v>
      </c>
      <c r="Q35" s="36">
        <f>O35+VLOOKUP(RIGHT(N35,2),装备设定!$C$22:$L$29,10,0)</f>
        <v>14</v>
      </c>
      <c r="R35" s="4">
        <f>LOOKUP($Q35,装备设定!$B$34:$B$41,装备设定!$D$34:$D$41)*VLOOKUP($P35,装备设定!$C$22:$F$29,2,0)</f>
        <v>0</v>
      </c>
      <c r="S35" s="4">
        <f>LOOKUP($Q35,装备设定!$B$34:$B$41,装备设定!$F$34:$F$41)*VLOOKUP($P35,装备设定!$C$22:$F$29,3,0)</f>
        <v>3.42</v>
      </c>
      <c r="T35" s="4">
        <f>LOOKUP($Q35,装备设定!$B$34:$B$41,装备设定!$I$34:$I$41)*VLOOKUP($P35,装备设定!$C$22:$F$29,4,0)</f>
        <v>1.14</v>
      </c>
    </row>
    <row r="36" spans="2:20">
      <c r="B36" s="4">
        <v>35</v>
      </c>
      <c r="C36" s="38">
        <v>500</v>
      </c>
      <c r="D36" s="4">
        <f t="shared" si="9"/>
        <v>7000</v>
      </c>
      <c r="E36" s="4">
        <f t="shared" si="5"/>
        <v>58</v>
      </c>
      <c r="F36" s="4">
        <f t="shared" si="7"/>
        <v>12068.9655172414</v>
      </c>
      <c r="M36" s="4" t="str">
        <f t="shared" si="3"/>
        <v>24级项链</v>
      </c>
      <c r="N36" s="4" t="s">
        <v>621</v>
      </c>
      <c r="O36" s="36">
        <v>20</v>
      </c>
      <c r="P36" s="36" t="str">
        <f t="shared" si="8"/>
        <v>项链</v>
      </c>
      <c r="Q36" s="36">
        <f>O36+VLOOKUP(RIGHT(N36,2),装备设定!$C$22:$L$29,10,0)</f>
        <v>24</v>
      </c>
      <c r="R36" s="4">
        <f>LOOKUP($Q36,装备设定!$B$34:$B$41,装备设定!$D$34:$D$41)*VLOOKUP($P36,装备设定!$C$22:$F$29,2,0)</f>
        <v>0</v>
      </c>
      <c r="S36" s="4">
        <f>LOOKUP($Q36,装备设定!$B$34:$B$41,装备设定!$F$34:$F$41)*VLOOKUP($P36,装备设定!$C$22:$F$29,3,0)</f>
        <v>4.68</v>
      </c>
      <c r="T36" s="4">
        <f>LOOKUP($Q36,装备设定!$B$34:$B$41,装备设定!$I$34:$I$41)*VLOOKUP($P36,装备设定!$C$22:$F$29,4,0)</f>
        <v>1.56</v>
      </c>
    </row>
    <row r="37" spans="2:20">
      <c r="B37" s="4">
        <v>36</v>
      </c>
      <c r="C37" s="38">
        <v>500</v>
      </c>
      <c r="D37" s="4">
        <f t="shared" si="9"/>
        <v>7500</v>
      </c>
      <c r="E37" s="4">
        <f t="shared" si="5"/>
        <v>50</v>
      </c>
      <c r="F37" s="4">
        <f t="shared" si="7"/>
        <v>15000</v>
      </c>
      <c r="M37" s="4" t="str">
        <f t="shared" si="3"/>
        <v>34级项链</v>
      </c>
      <c r="N37" s="4" t="s">
        <v>622</v>
      </c>
      <c r="O37" s="36">
        <v>30</v>
      </c>
      <c r="P37" s="36" t="str">
        <f t="shared" si="8"/>
        <v>项链</v>
      </c>
      <c r="Q37" s="36">
        <f>O37+VLOOKUP(RIGHT(N37,2),装备设定!$C$22:$L$29,10,0)</f>
        <v>34</v>
      </c>
      <c r="R37" s="4">
        <f>LOOKUP($Q37,装备设定!$B$34:$B$41,装备设定!$D$34:$D$41)*VLOOKUP($P37,装备设定!$C$22:$F$29,2,0)</f>
        <v>0</v>
      </c>
      <c r="S37" s="4">
        <f>LOOKUP($Q37,装备设定!$B$34:$B$41,装备设定!$F$34:$F$41)*VLOOKUP($P37,装备设定!$C$22:$F$29,3,0)</f>
        <v>6.3</v>
      </c>
      <c r="T37" s="4">
        <f>LOOKUP($Q37,装备设定!$B$34:$B$41,装备设定!$I$34:$I$41)*VLOOKUP($P37,装备设定!$C$22:$F$29,4,0)</f>
        <v>2.1</v>
      </c>
    </row>
    <row r="38" spans="2:20">
      <c r="B38" s="4">
        <v>37</v>
      </c>
      <c r="C38" s="38">
        <v>500</v>
      </c>
      <c r="D38" s="4">
        <f t="shared" si="9"/>
        <v>8000</v>
      </c>
      <c r="E38" s="4">
        <f t="shared" si="5"/>
        <v>42</v>
      </c>
      <c r="F38" s="4">
        <f t="shared" si="7"/>
        <v>19047.619047619</v>
      </c>
      <c r="M38" s="4" t="str">
        <f t="shared" si="3"/>
        <v>44级项链</v>
      </c>
      <c r="N38" s="4" t="s">
        <v>623</v>
      </c>
      <c r="O38" s="36">
        <v>40</v>
      </c>
      <c r="P38" s="36" t="str">
        <f t="shared" si="8"/>
        <v>项链</v>
      </c>
      <c r="Q38" s="36">
        <f>O38+VLOOKUP(RIGHT(N38,2),装备设定!$C$22:$L$29,10,0)</f>
        <v>44</v>
      </c>
      <c r="R38" s="4">
        <f>LOOKUP($Q38,装备设定!$B$34:$B$41,装备设定!$D$34:$D$41)*VLOOKUP($P38,装备设定!$C$22:$F$29,2,0)</f>
        <v>0</v>
      </c>
      <c r="S38" s="4">
        <f>LOOKUP($Q38,装备设定!$B$34:$B$41,装备设定!$F$34:$F$41)*VLOOKUP($P38,装备设定!$C$22:$F$29,3,0)</f>
        <v>8.64</v>
      </c>
      <c r="T38" s="4">
        <f>LOOKUP($Q38,装备设定!$B$34:$B$41,装备设定!$I$34:$I$41)*VLOOKUP($P38,装备设定!$C$22:$F$29,4,0)</f>
        <v>2.88</v>
      </c>
    </row>
    <row r="39" spans="2:20">
      <c r="B39" s="4">
        <v>38</v>
      </c>
      <c r="C39" s="38">
        <v>500</v>
      </c>
      <c r="D39" s="4">
        <f t="shared" si="9"/>
        <v>8500</v>
      </c>
      <c r="E39" s="4">
        <f t="shared" si="5"/>
        <v>34</v>
      </c>
      <c r="F39" s="4">
        <f t="shared" si="7"/>
        <v>25000</v>
      </c>
      <c r="M39" s="4" t="str">
        <f t="shared" si="3"/>
        <v>54级项链</v>
      </c>
      <c r="N39" s="4" t="s">
        <v>624</v>
      </c>
      <c r="O39" s="36">
        <v>50</v>
      </c>
      <c r="P39" s="36" t="str">
        <f t="shared" si="8"/>
        <v>项链</v>
      </c>
      <c r="Q39" s="36">
        <f>O39+VLOOKUP(RIGHT(N39,2),装备设定!$C$22:$L$29,10,0)</f>
        <v>54</v>
      </c>
      <c r="R39" s="4">
        <f>LOOKUP($Q39,装备设定!$B$34:$B$41,装备设定!$D$34:$D$41)*VLOOKUP($P39,装备设定!$C$22:$F$29,2,0)</f>
        <v>0</v>
      </c>
      <c r="S39" s="4">
        <f>LOOKUP($Q39,装备设定!$B$34:$B$41,装备设定!$F$34:$F$41)*VLOOKUP($P39,装备设定!$C$22:$F$29,3,0)</f>
        <v>11.88</v>
      </c>
      <c r="T39" s="4">
        <f>LOOKUP($Q39,装备设定!$B$34:$B$41,装备设定!$I$34:$I$41)*VLOOKUP($P39,装备设定!$C$22:$F$29,4,0)</f>
        <v>3.96</v>
      </c>
    </row>
    <row r="40" spans="2:20">
      <c r="B40" s="4">
        <v>39</v>
      </c>
      <c r="C40" s="38">
        <v>500</v>
      </c>
      <c r="D40" s="4">
        <f t="shared" si="9"/>
        <v>9000</v>
      </c>
      <c r="E40" s="4">
        <f t="shared" si="5"/>
        <v>26</v>
      </c>
      <c r="F40" s="4">
        <f t="shared" si="7"/>
        <v>34615.3846153846</v>
      </c>
      <c r="M40" s="4" t="str">
        <f t="shared" si="3"/>
        <v>64级项链</v>
      </c>
      <c r="N40" s="4" t="s">
        <v>625</v>
      </c>
      <c r="O40" s="36">
        <v>60</v>
      </c>
      <c r="P40" s="36" t="str">
        <f t="shared" si="8"/>
        <v>项链</v>
      </c>
      <c r="Q40" s="36">
        <f>O40+VLOOKUP(RIGHT(N40,2),装备设定!$C$22:$L$29,10,0)</f>
        <v>64</v>
      </c>
      <c r="R40" s="4">
        <f>LOOKUP($Q40,装备设定!$B$34:$B$41,装备设定!$D$34:$D$41)*VLOOKUP($P40,装备设定!$C$22:$F$29,2,0)</f>
        <v>0</v>
      </c>
      <c r="S40" s="4">
        <f>LOOKUP($Q40,装备设定!$B$34:$B$41,装备设定!$F$34:$F$41)*VLOOKUP($P40,装备设定!$C$22:$F$29,3,0)</f>
        <v>16.2</v>
      </c>
      <c r="T40" s="4">
        <f>LOOKUP($Q40,装备设定!$B$34:$B$41,装备设定!$I$34:$I$41)*VLOOKUP($P40,装备设定!$C$22:$F$29,4,0)</f>
        <v>5.4</v>
      </c>
    </row>
    <row r="41" spans="2:20">
      <c r="B41" s="4">
        <v>40</v>
      </c>
      <c r="C41" s="38">
        <v>1000</v>
      </c>
      <c r="D41" s="4">
        <f t="shared" si="9"/>
        <v>10000</v>
      </c>
      <c r="E41" s="4">
        <f t="shared" si="5"/>
        <v>18</v>
      </c>
      <c r="F41" s="4">
        <f t="shared" si="7"/>
        <v>55555.5555555556</v>
      </c>
      <c r="M41" s="4" t="str">
        <f t="shared" si="3"/>
        <v>74级项链</v>
      </c>
      <c r="N41" s="4" t="s">
        <v>626</v>
      </c>
      <c r="O41" s="36">
        <v>70</v>
      </c>
      <c r="P41" s="36" t="str">
        <f t="shared" si="8"/>
        <v>项链</v>
      </c>
      <c r="Q41" s="36">
        <f>O41+VLOOKUP(RIGHT(N41,2),装备设定!$C$22:$L$29,10,0)</f>
        <v>74</v>
      </c>
      <c r="R41" s="4">
        <f>LOOKUP($Q41,装备设定!$B$34:$B$41,装备设定!$D$34:$D$41)*VLOOKUP($P41,装备设定!$C$22:$F$29,2,0)</f>
        <v>0</v>
      </c>
      <c r="S41" s="4">
        <f>LOOKUP($Q41,装备设定!$B$34:$B$41,装备设定!$F$34:$F$41)*VLOOKUP($P41,装备设定!$C$22:$F$29,3,0)</f>
        <v>22.32</v>
      </c>
      <c r="T41" s="4">
        <f>LOOKUP($Q41,装备设定!$B$34:$B$41,装备设定!$I$34:$I$41)*VLOOKUP($P41,装备设定!$C$22:$F$29,4,0)</f>
        <v>7.44</v>
      </c>
    </row>
    <row r="42" spans="2:20">
      <c r="B42" s="4">
        <v>41</v>
      </c>
      <c r="C42" s="39">
        <v>1000</v>
      </c>
      <c r="D42" s="4">
        <f t="shared" si="9"/>
        <v>11000</v>
      </c>
      <c r="E42" s="4">
        <f t="shared" ref="E42:E81" si="10">MAX(E32-6,5)</f>
        <v>82</v>
      </c>
      <c r="F42" s="4">
        <f t="shared" si="7"/>
        <v>13414.6341463415</v>
      </c>
      <c r="M42" s="4" t="str">
        <f t="shared" si="3"/>
        <v>2级鞋子</v>
      </c>
      <c r="N42" s="4" t="s">
        <v>160</v>
      </c>
      <c r="O42" s="36">
        <v>0</v>
      </c>
      <c r="P42" s="36" t="str">
        <f t="shared" si="8"/>
        <v>鞋子</v>
      </c>
      <c r="Q42" s="36">
        <f>O42+VLOOKUP(RIGHT(N42,2),装备设定!$C$22:$L$29,10,0)</f>
        <v>2</v>
      </c>
      <c r="R42" s="4">
        <f>LOOKUP($Q42,装备设定!$B$34:$B$41,装备设定!$D$34:$D$41)*VLOOKUP($P42,装备设定!$C$22:$F$29,2,0)</f>
        <v>20.25</v>
      </c>
      <c r="S42" s="4">
        <f>LOOKUP($Q42,装备设定!$B$34:$B$41,装备设定!$F$34:$F$41)*VLOOKUP($P42,装备设定!$C$22:$F$29,3,0)</f>
        <v>0</v>
      </c>
      <c r="T42" s="4">
        <f>LOOKUP($Q42,装备设定!$B$34:$B$41,装备设定!$I$34:$I$41)*VLOOKUP($P42,装备设定!$C$22:$F$29,4,0)</f>
        <v>1.8</v>
      </c>
    </row>
    <row r="43" spans="2:20">
      <c r="B43" s="4">
        <v>42</v>
      </c>
      <c r="C43" s="39">
        <v>1000</v>
      </c>
      <c r="D43" s="4">
        <f t="shared" si="9"/>
        <v>12000</v>
      </c>
      <c r="E43" s="4">
        <f t="shared" si="10"/>
        <v>76</v>
      </c>
      <c r="F43" s="4">
        <f t="shared" si="7"/>
        <v>15789.4736842105</v>
      </c>
      <c r="M43" s="4" t="str">
        <f t="shared" si="3"/>
        <v>12级鞋子</v>
      </c>
      <c r="N43" s="4" t="s">
        <v>173</v>
      </c>
      <c r="O43" s="36">
        <v>10</v>
      </c>
      <c r="P43" s="36" t="str">
        <f t="shared" si="8"/>
        <v>鞋子</v>
      </c>
      <c r="Q43" s="36">
        <f>O43+VLOOKUP(RIGHT(N43,2),装备设定!$C$22:$L$29,10,0)</f>
        <v>12</v>
      </c>
      <c r="R43" s="4">
        <f>LOOKUP($Q43,装备设定!$B$34:$B$41,装备设定!$D$34:$D$41)*VLOOKUP($P43,装备设定!$C$22:$F$29,2,0)</f>
        <v>25.65</v>
      </c>
      <c r="S43" s="4">
        <f>LOOKUP($Q43,装备设定!$B$34:$B$41,装备设定!$F$34:$F$41)*VLOOKUP($P43,装备设定!$C$22:$F$29,3,0)</f>
        <v>0</v>
      </c>
      <c r="T43" s="4">
        <f>LOOKUP($Q43,装备设定!$B$34:$B$41,装备设定!$I$34:$I$41)*VLOOKUP($P43,装备设定!$C$22:$F$29,4,0)</f>
        <v>2.28</v>
      </c>
    </row>
    <row r="44" spans="2:20">
      <c r="B44" s="4">
        <v>43</v>
      </c>
      <c r="C44" s="39">
        <v>1000</v>
      </c>
      <c r="D44" s="4">
        <f t="shared" si="9"/>
        <v>13000</v>
      </c>
      <c r="E44" s="4">
        <f t="shared" si="10"/>
        <v>68</v>
      </c>
      <c r="F44" s="4">
        <f t="shared" si="7"/>
        <v>19117.6470588235</v>
      </c>
      <c r="M44" s="4" t="str">
        <f t="shared" si="3"/>
        <v>22级鞋子</v>
      </c>
      <c r="N44" s="4" t="s">
        <v>183</v>
      </c>
      <c r="O44" s="36">
        <v>20</v>
      </c>
      <c r="P44" s="36" t="str">
        <f t="shared" si="8"/>
        <v>鞋子</v>
      </c>
      <c r="Q44" s="36">
        <f>O44+VLOOKUP(RIGHT(N44,2),装备设定!$C$22:$L$29,10,0)</f>
        <v>22</v>
      </c>
      <c r="R44" s="4">
        <f>LOOKUP($Q44,装备设定!$B$34:$B$41,装备设定!$D$34:$D$41)*VLOOKUP($P44,装备设定!$C$22:$F$29,2,0)</f>
        <v>35.1</v>
      </c>
      <c r="S44" s="4">
        <f>LOOKUP($Q44,装备设定!$B$34:$B$41,装备设定!$F$34:$F$41)*VLOOKUP($P44,装备设定!$C$22:$F$29,3,0)</f>
        <v>0</v>
      </c>
      <c r="T44" s="4">
        <f>LOOKUP($Q44,装备设定!$B$34:$B$41,装备设定!$I$34:$I$41)*VLOOKUP($P44,装备设定!$C$22:$F$29,4,0)</f>
        <v>3.12</v>
      </c>
    </row>
    <row r="45" spans="2:20">
      <c r="B45" s="4">
        <v>44</v>
      </c>
      <c r="C45" s="39">
        <v>1000</v>
      </c>
      <c r="D45" s="4">
        <f t="shared" si="9"/>
        <v>14000</v>
      </c>
      <c r="E45" s="4">
        <f t="shared" si="10"/>
        <v>60</v>
      </c>
      <c r="F45" s="4">
        <f t="shared" si="7"/>
        <v>23333.3333333333</v>
      </c>
      <c r="M45" s="4" t="str">
        <f t="shared" si="3"/>
        <v>32级鞋子</v>
      </c>
      <c r="N45" s="4" t="s">
        <v>197</v>
      </c>
      <c r="O45" s="36">
        <v>30</v>
      </c>
      <c r="P45" s="36" t="str">
        <f t="shared" si="8"/>
        <v>鞋子</v>
      </c>
      <c r="Q45" s="36">
        <f>O45+VLOOKUP(RIGHT(N45,2),装备设定!$C$22:$L$29,10,0)</f>
        <v>32</v>
      </c>
      <c r="R45" s="4">
        <f>LOOKUP($Q45,装备设定!$B$34:$B$41,装备设定!$D$34:$D$41)*VLOOKUP($P45,装备设定!$C$22:$F$29,2,0)</f>
        <v>47.25</v>
      </c>
      <c r="S45" s="4">
        <f>LOOKUP($Q45,装备设定!$B$34:$B$41,装备设定!$F$34:$F$41)*VLOOKUP($P45,装备设定!$C$22:$F$29,3,0)</f>
        <v>0</v>
      </c>
      <c r="T45" s="4">
        <f>LOOKUP($Q45,装备设定!$B$34:$B$41,装备设定!$I$34:$I$41)*VLOOKUP($P45,装备设定!$C$22:$F$29,4,0)</f>
        <v>4.2</v>
      </c>
    </row>
    <row r="46" spans="2:20">
      <c r="B46" s="4">
        <v>45</v>
      </c>
      <c r="C46" s="39">
        <v>1000</v>
      </c>
      <c r="D46" s="4">
        <f t="shared" si="9"/>
        <v>15000</v>
      </c>
      <c r="E46" s="4">
        <f t="shared" si="10"/>
        <v>52</v>
      </c>
      <c r="F46" s="4">
        <f t="shared" si="7"/>
        <v>28846.1538461538</v>
      </c>
      <c r="M46" s="4" t="str">
        <f t="shared" si="3"/>
        <v>42级鞋子</v>
      </c>
      <c r="N46" s="4" t="s">
        <v>214</v>
      </c>
      <c r="O46" s="36">
        <v>40</v>
      </c>
      <c r="P46" s="36" t="str">
        <f t="shared" si="8"/>
        <v>鞋子</v>
      </c>
      <c r="Q46" s="36">
        <f>O46+VLOOKUP(RIGHT(N46,2),装备设定!$C$22:$L$29,10,0)</f>
        <v>42</v>
      </c>
      <c r="R46" s="4">
        <f>LOOKUP($Q46,装备设定!$B$34:$B$41,装备设定!$D$34:$D$41)*VLOOKUP($P46,装备设定!$C$22:$F$29,2,0)</f>
        <v>64.8</v>
      </c>
      <c r="S46" s="4">
        <f>LOOKUP($Q46,装备设定!$B$34:$B$41,装备设定!$F$34:$F$41)*VLOOKUP($P46,装备设定!$C$22:$F$29,3,0)</f>
        <v>0</v>
      </c>
      <c r="T46" s="4">
        <f>LOOKUP($Q46,装备设定!$B$34:$B$41,装备设定!$I$34:$I$41)*VLOOKUP($P46,装备设定!$C$22:$F$29,4,0)</f>
        <v>5.76</v>
      </c>
    </row>
    <row r="47" spans="2:20">
      <c r="B47" s="4">
        <v>46</v>
      </c>
      <c r="C47" s="39">
        <v>1000</v>
      </c>
      <c r="D47" s="4">
        <f t="shared" si="9"/>
        <v>16000</v>
      </c>
      <c r="E47" s="4">
        <f t="shared" si="10"/>
        <v>44</v>
      </c>
      <c r="F47" s="4">
        <f t="shared" si="7"/>
        <v>36363.6363636364</v>
      </c>
      <c r="M47" s="4" t="str">
        <f t="shared" si="3"/>
        <v>52级鞋子</v>
      </c>
      <c r="N47" s="4" t="s">
        <v>229</v>
      </c>
      <c r="O47" s="36">
        <v>50</v>
      </c>
      <c r="P47" s="36" t="str">
        <f t="shared" si="8"/>
        <v>鞋子</v>
      </c>
      <c r="Q47" s="36">
        <f>O47+VLOOKUP(RIGHT(N47,2),装备设定!$C$22:$L$29,10,0)</f>
        <v>52</v>
      </c>
      <c r="R47" s="4">
        <f>LOOKUP($Q47,装备设定!$B$34:$B$41,装备设定!$D$34:$D$41)*VLOOKUP($P47,装备设定!$C$22:$F$29,2,0)</f>
        <v>89.1</v>
      </c>
      <c r="S47" s="4">
        <f>LOOKUP($Q47,装备设定!$B$34:$B$41,装备设定!$F$34:$F$41)*VLOOKUP($P47,装备设定!$C$22:$F$29,3,0)</f>
        <v>0</v>
      </c>
      <c r="T47" s="4">
        <f>LOOKUP($Q47,装备设定!$B$34:$B$41,装备设定!$I$34:$I$41)*VLOOKUP($P47,装备设定!$C$22:$F$29,4,0)</f>
        <v>7.92</v>
      </c>
    </row>
    <row r="48" spans="2:20">
      <c r="B48" s="4">
        <v>47</v>
      </c>
      <c r="C48" s="39">
        <v>1000</v>
      </c>
      <c r="D48" s="4">
        <f t="shared" si="9"/>
        <v>17000</v>
      </c>
      <c r="E48" s="4">
        <f t="shared" si="10"/>
        <v>36</v>
      </c>
      <c r="F48" s="4">
        <f t="shared" si="7"/>
        <v>47222.2222222222</v>
      </c>
      <c r="M48" s="4" t="str">
        <f t="shared" si="3"/>
        <v>62级鞋子</v>
      </c>
      <c r="N48" s="4" t="s">
        <v>241</v>
      </c>
      <c r="O48" s="36">
        <v>60</v>
      </c>
      <c r="P48" s="36" t="str">
        <f t="shared" si="8"/>
        <v>鞋子</v>
      </c>
      <c r="Q48" s="36">
        <f>O48+VLOOKUP(RIGHT(N48,2),装备设定!$C$22:$L$29,10,0)</f>
        <v>62</v>
      </c>
      <c r="R48" s="4">
        <f>LOOKUP($Q48,装备设定!$B$34:$B$41,装备设定!$D$34:$D$41)*VLOOKUP($P48,装备设定!$C$22:$F$29,2,0)</f>
        <v>121.5</v>
      </c>
      <c r="S48" s="4">
        <f>LOOKUP($Q48,装备设定!$B$34:$B$41,装备设定!$F$34:$F$41)*VLOOKUP($P48,装备设定!$C$22:$F$29,3,0)</f>
        <v>0</v>
      </c>
      <c r="T48" s="4">
        <f>LOOKUP($Q48,装备设定!$B$34:$B$41,装备设定!$I$34:$I$41)*VLOOKUP($P48,装备设定!$C$22:$F$29,4,0)</f>
        <v>10.8</v>
      </c>
    </row>
    <row r="49" spans="2:20">
      <c r="B49" s="4">
        <v>48</v>
      </c>
      <c r="C49" s="39">
        <v>1000</v>
      </c>
      <c r="D49" s="4">
        <f t="shared" si="9"/>
        <v>18000</v>
      </c>
      <c r="E49" s="4">
        <f t="shared" si="10"/>
        <v>28</v>
      </c>
      <c r="F49" s="4">
        <f t="shared" si="7"/>
        <v>64285.7142857143</v>
      </c>
      <c r="M49" s="4" t="str">
        <f t="shared" si="3"/>
        <v>72级鞋子</v>
      </c>
      <c r="N49" s="4" t="s">
        <v>251</v>
      </c>
      <c r="O49" s="36">
        <v>70</v>
      </c>
      <c r="P49" s="36" t="str">
        <f t="shared" si="8"/>
        <v>鞋子</v>
      </c>
      <c r="Q49" s="36">
        <f>O49+VLOOKUP(RIGHT(N49,2),装备设定!$C$22:$L$29,10,0)</f>
        <v>72</v>
      </c>
      <c r="R49" s="4">
        <f>LOOKUP($Q49,装备设定!$B$34:$B$41,装备设定!$D$34:$D$41)*VLOOKUP($P49,装备设定!$C$22:$F$29,2,0)</f>
        <v>167.4</v>
      </c>
      <c r="S49" s="4">
        <f>LOOKUP($Q49,装备设定!$B$34:$B$41,装备设定!$F$34:$F$41)*VLOOKUP($P49,装备设定!$C$22:$F$29,3,0)</f>
        <v>0</v>
      </c>
      <c r="T49" s="4">
        <f>LOOKUP($Q49,装备设定!$B$34:$B$41,装备设定!$I$34:$I$41)*VLOOKUP($P49,装备设定!$C$22:$F$29,4,0)</f>
        <v>14.88</v>
      </c>
    </row>
    <row r="50" spans="2:20">
      <c r="B50" s="4">
        <v>49</v>
      </c>
      <c r="C50" s="39">
        <v>1000</v>
      </c>
      <c r="D50" s="4">
        <f t="shared" si="9"/>
        <v>19000</v>
      </c>
      <c r="E50" s="4">
        <f t="shared" si="10"/>
        <v>20</v>
      </c>
      <c r="F50" s="4">
        <f t="shared" si="7"/>
        <v>95000</v>
      </c>
      <c r="M50" s="4" t="str">
        <f t="shared" si="3"/>
        <v>8级腰带</v>
      </c>
      <c r="N50" s="4" t="s">
        <v>158</v>
      </c>
      <c r="O50" s="36">
        <v>0</v>
      </c>
      <c r="P50" s="36" t="str">
        <f t="shared" si="8"/>
        <v>腰带</v>
      </c>
      <c r="Q50" s="36">
        <f>O50+VLOOKUP(RIGHT(N50,2),装备设定!$C$22:$L$29,10,0)</f>
        <v>8</v>
      </c>
      <c r="R50" s="4">
        <f>LOOKUP($Q50,装备设定!$B$34:$B$41,装备设定!$D$34:$D$41)*VLOOKUP($P50,装备设定!$C$22:$F$29,2,0)</f>
        <v>20.25</v>
      </c>
      <c r="S50" s="4">
        <f>LOOKUP($Q50,装备设定!$B$34:$B$41,装备设定!$F$34:$F$41)*VLOOKUP($P50,装备设定!$C$22:$F$29,3,0)</f>
        <v>0</v>
      </c>
      <c r="T50" s="4">
        <f>LOOKUP($Q50,装备设定!$B$34:$B$41,装备设定!$I$34:$I$41)*VLOOKUP($P50,装备设定!$C$22:$F$29,4,0)</f>
        <v>1.8</v>
      </c>
    </row>
    <row r="51" spans="2:20">
      <c r="B51" s="4">
        <v>50</v>
      </c>
      <c r="C51" s="39">
        <v>1000</v>
      </c>
      <c r="D51" s="4">
        <f t="shared" si="9"/>
        <v>20000</v>
      </c>
      <c r="E51" s="4">
        <f t="shared" si="10"/>
        <v>12</v>
      </c>
      <c r="F51" s="4">
        <f t="shared" si="7"/>
        <v>166666.666666667</v>
      </c>
      <c r="M51" s="4" t="str">
        <f t="shared" si="3"/>
        <v>18级腰带</v>
      </c>
      <c r="N51" s="4" t="s">
        <v>171</v>
      </c>
      <c r="O51" s="36">
        <v>10</v>
      </c>
      <c r="P51" s="36" t="str">
        <f t="shared" si="8"/>
        <v>腰带</v>
      </c>
      <c r="Q51" s="36">
        <f>O51+VLOOKUP(RIGHT(N51,2),装备设定!$C$22:$L$29,10,0)</f>
        <v>18</v>
      </c>
      <c r="R51" s="4">
        <f>LOOKUP($Q51,装备设定!$B$34:$B$41,装备设定!$D$34:$D$41)*VLOOKUP($P51,装备设定!$C$22:$F$29,2,0)</f>
        <v>25.65</v>
      </c>
      <c r="S51" s="4">
        <f>LOOKUP($Q51,装备设定!$B$34:$B$41,装备设定!$F$34:$F$41)*VLOOKUP($P51,装备设定!$C$22:$F$29,3,0)</f>
        <v>0</v>
      </c>
      <c r="T51" s="4">
        <f>LOOKUP($Q51,装备设定!$B$34:$B$41,装备设定!$I$34:$I$41)*VLOOKUP($P51,装备设定!$C$22:$F$29,4,0)</f>
        <v>2.28</v>
      </c>
    </row>
    <row r="52" spans="2:20">
      <c r="B52" s="4">
        <v>51</v>
      </c>
      <c r="C52" s="38">
        <v>2000</v>
      </c>
      <c r="D52" s="4">
        <f t="shared" si="9"/>
        <v>22000</v>
      </c>
      <c r="E52" s="4">
        <f t="shared" si="10"/>
        <v>76</v>
      </c>
      <c r="F52" s="4">
        <f t="shared" si="7"/>
        <v>28947.3684210526</v>
      </c>
      <c r="M52" s="4" t="str">
        <f t="shared" si="3"/>
        <v>28级腰带</v>
      </c>
      <c r="N52" s="4" t="s">
        <v>181</v>
      </c>
      <c r="O52" s="36">
        <v>20</v>
      </c>
      <c r="P52" s="36" t="str">
        <f t="shared" si="8"/>
        <v>腰带</v>
      </c>
      <c r="Q52" s="36">
        <f>O52+VLOOKUP(RIGHT(N52,2),装备设定!$C$22:$L$29,10,0)</f>
        <v>28</v>
      </c>
      <c r="R52" s="4">
        <f>LOOKUP($Q52,装备设定!$B$34:$B$41,装备设定!$D$34:$D$41)*VLOOKUP($P52,装备设定!$C$22:$F$29,2,0)</f>
        <v>35.1</v>
      </c>
      <c r="S52" s="4">
        <f>LOOKUP($Q52,装备设定!$B$34:$B$41,装备设定!$F$34:$F$41)*VLOOKUP($P52,装备设定!$C$22:$F$29,3,0)</f>
        <v>0</v>
      </c>
      <c r="T52" s="4">
        <f>LOOKUP($Q52,装备设定!$B$34:$B$41,装备设定!$I$34:$I$41)*VLOOKUP($P52,装备设定!$C$22:$F$29,4,0)</f>
        <v>3.12</v>
      </c>
    </row>
    <row r="53" spans="2:20">
      <c r="B53" s="4">
        <v>52</v>
      </c>
      <c r="C53" s="38">
        <v>2000</v>
      </c>
      <c r="D53" s="4">
        <f t="shared" si="9"/>
        <v>24000</v>
      </c>
      <c r="E53" s="4">
        <f t="shared" si="10"/>
        <v>70</v>
      </c>
      <c r="F53" s="4">
        <f t="shared" si="7"/>
        <v>34285.7142857143</v>
      </c>
      <c r="M53" s="4" t="str">
        <f t="shared" si="3"/>
        <v>38级腰带</v>
      </c>
      <c r="N53" s="4" t="s">
        <v>193</v>
      </c>
      <c r="O53" s="36">
        <v>30</v>
      </c>
      <c r="P53" s="36" t="str">
        <f t="shared" si="8"/>
        <v>腰带</v>
      </c>
      <c r="Q53" s="36">
        <f>O53+VLOOKUP(RIGHT(N53,2),装备设定!$C$22:$L$29,10,0)</f>
        <v>38</v>
      </c>
      <c r="R53" s="4">
        <f>LOOKUP($Q53,装备设定!$B$34:$B$41,装备设定!$D$34:$D$41)*VLOOKUP($P53,装备设定!$C$22:$F$29,2,0)</f>
        <v>47.25</v>
      </c>
      <c r="S53" s="4">
        <f>LOOKUP($Q53,装备设定!$B$34:$B$41,装备设定!$F$34:$F$41)*VLOOKUP($P53,装备设定!$C$22:$F$29,3,0)</f>
        <v>0</v>
      </c>
      <c r="T53" s="4">
        <f>LOOKUP($Q53,装备设定!$B$34:$B$41,装备设定!$I$34:$I$41)*VLOOKUP($P53,装备设定!$C$22:$F$29,4,0)</f>
        <v>4.2</v>
      </c>
    </row>
    <row r="54" spans="2:20">
      <c r="B54" s="4">
        <v>53</v>
      </c>
      <c r="C54" s="38">
        <v>2000</v>
      </c>
      <c r="D54" s="4">
        <f t="shared" si="9"/>
        <v>26000</v>
      </c>
      <c r="E54" s="4">
        <f t="shared" si="10"/>
        <v>62</v>
      </c>
      <c r="F54" s="4">
        <f t="shared" si="7"/>
        <v>41935.4838709677</v>
      </c>
      <c r="M54" s="4" t="str">
        <f t="shared" si="3"/>
        <v>48级腰带</v>
      </c>
      <c r="N54" s="4" t="s">
        <v>211</v>
      </c>
      <c r="O54" s="36">
        <v>40</v>
      </c>
      <c r="P54" s="36" t="str">
        <f t="shared" si="8"/>
        <v>腰带</v>
      </c>
      <c r="Q54" s="36">
        <f>O54+VLOOKUP(RIGHT(N54,2),装备设定!$C$22:$L$29,10,0)</f>
        <v>48</v>
      </c>
      <c r="R54" s="4">
        <f>LOOKUP($Q54,装备设定!$B$34:$B$41,装备设定!$D$34:$D$41)*VLOOKUP($P54,装备设定!$C$22:$F$29,2,0)</f>
        <v>64.8</v>
      </c>
      <c r="S54" s="4">
        <f>LOOKUP($Q54,装备设定!$B$34:$B$41,装备设定!$F$34:$F$41)*VLOOKUP($P54,装备设定!$C$22:$F$29,3,0)</f>
        <v>0</v>
      </c>
      <c r="T54" s="4">
        <f>LOOKUP($Q54,装备设定!$B$34:$B$41,装备设定!$I$34:$I$41)*VLOOKUP($P54,装备设定!$C$22:$F$29,4,0)</f>
        <v>5.76</v>
      </c>
    </row>
    <row r="55" spans="2:20">
      <c r="B55" s="4">
        <v>54</v>
      </c>
      <c r="C55" s="38">
        <v>2000</v>
      </c>
      <c r="D55" s="4">
        <f t="shared" si="9"/>
        <v>28000</v>
      </c>
      <c r="E55" s="4">
        <f t="shared" si="10"/>
        <v>54</v>
      </c>
      <c r="F55" s="4">
        <f t="shared" si="7"/>
        <v>51851.8518518518</v>
      </c>
      <c r="M55" s="4" t="str">
        <f t="shared" si="3"/>
        <v>58级腰带</v>
      </c>
      <c r="N55" s="4" t="s">
        <v>225</v>
      </c>
      <c r="O55" s="36">
        <v>50</v>
      </c>
      <c r="P55" s="36" t="str">
        <f t="shared" si="8"/>
        <v>腰带</v>
      </c>
      <c r="Q55" s="36">
        <f>O55+VLOOKUP(RIGHT(N55,2),装备设定!$C$22:$L$29,10,0)</f>
        <v>58</v>
      </c>
      <c r="R55" s="4">
        <f>LOOKUP($Q55,装备设定!$B$34:$B$41,装备设定!$D$34:$D$41)*VLOOKUP($P55,装备设定!$C$22:$F$29,2,0)</f>
        <v>89.1</v>
      </c>
      <c r="S55" s="4">
        <f>LOOKUP($Q55,装备设定!$B$34:$B$41,装备设定!$F$34:$F$41)*VLOOKUP($P55,装备设定!$C$22:$F$29,3,0)</f>
        <v>0</v>
      </c>
      <c r="T55" s="4">
        <f>LOOKUP($Q55,装备设定!$B$34:$B$41,装备设定!$I$34:$I$41)*VLOOKUP($P55,装备设定!$C$22:$F$29,4,0)</f>
        <v>7.92</v>
      </c>
    </row>
    <row r="56" spans="2:20">
      <c r="B56" s="4">
        <v>55</v>
      </c>
      <c r="C56" s="38">
        <v>2000</v>
      </c>
      <c r="D56" s="4">
        <f t="shared" si="9"/>
        <v>30000</v>
      </c>
      <c r="E56" s="4">
        <f t="shared" si="10"/>
        <v>46</v>
      </c>
      <c r="F56" s="4">
        <f t="shared" si="7"/>
        <v>65217.3913043478</v>
      </c>
      <c r="M56" s="4" t="str">
        <f t="shared" si="3"/>
        <v>68级腰带</v>
      </c>
      <c r="N56" s="4" t="s">
        <v>239</v>
      </c>
      <c r="O56" s="36">
        <v>60</v>
      </c>
      <c r="P56" s="36" t="str">
        <f t="shared" si="8"/>
        <v>腰带</v>
      </c>
      <c r="Q56" s="36">
        <f>O56+VLOOKUP(RIGHT(N56,2),装备设定!$C$22:$L$29,10,0)</f>
        <v>68</v>
      </c>
      <c r="R56" s="4">
        <f>LOOKUP($Q56,装备设定!$B$34:$B$41,装备设定!$D$34:$D$41)*VLOOKUP($P56,装备设定!$C$22:$F$29,2,0)</f>
        <v>121.5</v>
      </c>
      <c r="S56" s="4">
        <f>LOOKUP($Q56,装备设定!$B$34:$B$41,装备设定!$F$34:$F$41)*VLOOKUP($P56,装备设定!$C$22:$F$29,3,0)</f>
        <v>0</v>
      </c>
      <c r="T56" s="4">
        <f>LOOKUP($Q56,装备设定!$B$34:$B$41,装备设定!$I$34:$I$41)*VLOOKUP($P56,装备设定!$C$22:$F$29,4,0)</f>
        <v>10.8</v>
      </c>
    </row>
    <row r="57" spans="2:20">
      <c r="B57" s="4">
        <v>56</v>
      </c>
      <c r="C57" s="38">
        <v>2000</v>
      </c>
      <c r="D57" s="4">
        <f t="shared" si="9"/>
        <v>32000</v>
      </c>
      <c r="E57" s="4">
        <f t="shared" si="10"/>
        <v>38</v>
      </c>
      <c r="F57" s="4">
        <f t="shared" si="7"/>
        <v>84210.5263157895</v>
      </c>
      <c r="M57" s="4" t="str">
        <f t="shared" si="3"/>
        <v>78级腰带</v>
      </c>
      <c r="N57" s="4" t="s">
        <v>249</v>
      </c>
      <c r="O57" s="36">
        <v>70</v>
      </c>
      <c r="P57" s="36" t="str">
        <f t="shared" si="8"/>
        <v>腰带</v>
      </c>
      <c r="Q57" s="36">
        <f>O57+VLOOKUP(RIGHT(N57,2),装备设定!$C$22:$L$29,10,0)</f>
        <v>78</v>
      </c>
      <c r="R57" s="4">
        <f>LOOKUP($Q57,装备设定!$B$34:$B$41,装备设定!$D$34:$D$41)*VLOOKUP($P57,装备设定!$C$22:$F$29,2,0)</f>
        <v>167.4</v>
      </c>
      <c r="S57" s="4">
        <f>LOOKUP($Q57,装备设定!$B$34:$B$41,装备设定!$F$34:$F$41)*VLOOKUP($P57,装备设定!$C$22:$F$29,3,0)</f>
        <v>0</v>
      </c>
      <c r="T57" s="4">
        <f>LOOKUP($Q57,装备设定!$B$34:$B$41,装备设定!$I$34:$I$41)*VLOOKUP($P57,装备设定!$C$22:$F$29,4,0)</f>
        <v>14.88</v>
      </c>
    </row>
    <row r="58" spans="2:20">
      <c r="B58" s="4">
        <v>57</v>
      </c>
      <c r="C58" s="38">
        <v>2000</v>
      </c>
      <c r="D58" s="4">
        <f t="shared" si="9"/>
        <v>34000</v>
      </c>
      <c r="E58" s="4">
        <f t="shared" si="10"/>
        <v>30</v>
      </c>
      <c r="F58" s="4">
        <f t="shared" si="7"/>
        <v>113333.333333333</v>
      </c>
      <c r="M58" s="4" t="str">
        <f t="shared" si="3"/>
        <v>5级衣服</v>
      </c>
      <c r="N58" s="4" t="s">
        <v>156</v>
      </c>
      <c r="O58" s="36">
        <v>0</v>
      </c>
      <c r="P58" s="36" t="str">
        <f t="shared" si="8"/>
        <v>衣服</v>
      </c>
      <c r="Q58" s="36">
        <f>O58+VLOOKUP(RIGHT(N58,2),装备设定!$C$22:$L$29,10,0)</f>
        <v>5</v>
      </c>
      <c r="R58" s="4">
        <f>LOOKUP($Q58,装备设定!$B$34:$B$41,装备设定!$D$34:$D$41)*VLOOKUP($P58,装备设定!$C$22:$F$29,2,0)</f>
        <v>40.5</v>
      </c>
      <c r="S58" s="4">
        <f>LOOKUP($Q58,装备设定!$B$34:$B$41,装备设定!$F$34:$F$41)*VLOOKUP($P58,装备设定!$C$22:$F$29,3,0)</f>
        <v>0</v>
      </c>
      <c r="T58" s="4">
        <f>LOOKUP($Q58,装备设定!$B$34:$B$41,装备设定!$I$34:$I$41)*VLOOKUP($P58,装备设定!$C$22:$F$29,4,0)</f>
        <v>2.25</v>
      </c>
    </row>
    <row r="59" spans="2:20">
      <c r="B59" s="4">
        <v>58</v>
      </c>
      <c r="C59" s="38">
        <v>2000</v>
      </c>
      <c r="D59" s="4">
        <f t="shared" si="9"/>
        <v>36000</v>
      </c>
      <c r="E59" s="4">
        <f t="shared" si="10"/>
        <v>22</v>
      </c>
      <c r="F59" s="4">
        <f t="shared" si="7"/>
        <v>163636.363636364</v>
      </c>
      <c r="M59" s="4" t="str">
        <f t="shared" si="3"/>
        <v>15级衣服</v>
      </c>
      <c r="N59" s="4" t="s">
        <v>167</v>
      </c>
      <c r="O59" s="36">
        <v>10</v>
      </c>
      <c r="P59" s="36" t="str">
        <f t="shared" si="8"/>
        <v>衣服</v>
      </c>
      <c r="Q59" s="36">
        <f>O59+VLOOKUP(RIGHT(N59,2),装备设定!$C$22:$L$29,10,0)</f>
        <v>15</v>
      </c>
      <c r="R59" s="4">
        <f>LOOKUP($Q59,装备设定!$B$34:$B$41,装备设定!$D$34:$D$41)*VLOOKUP($P59,装备设定!$C$22:$F$29,2,0)</f>
        <v>51.3</v>
      </c>
      <c r="S59" s="4">
        <f>LOOKUP($Q59,装备设定!$B$34:$B$41,装备设定!$F$34:$F$41)*VLOOKUP($P59,装备设定!$C$22:$F$29,3,0)</f>
        <v>0</v>
      </c>
      <c r="T59" s="4">
        <f>LOOKUP($Q59,装备设定!$B$34:$B$41,装备设定!$I$34:$I$41)*VLOOKUP($P59,装备设定!$C$22:$F$29,4,0)</f>
        <v>2.85</v>
      </c>
    </row>
    <row r="60" spans="2:20">
      <c r="B60" s="4">
        <v>59</v>
      </c>
      <c r="C60" s="38">
        <v>2000</v>
      </c>
      <c r="D60" s="4">
        <f t="shared" si="9"/>
        <v>38000</v>
      </c>
      <c r="E60" s="4">
        <f t="shared" si="10"/>
        <v>14</v>
      </c>
      <c r="F60" s="4">
        <f t="shared" si="7"/>
        <v>271428.571428571</v>
      </c>
      <c r="M60" s="4" t="str">
        <f t="shared" si="3"/>
        <v>25级衣服</v>
      </c>
      <c r="N60" s="4" t="s">
        <v>179</v>
      </c>
      <c r="O60" s="36">
        <v>20</v>
      </c>
      <c r="P60" s="36" t="str">
        <f t="shared" si="8"/>
        <v>衣服</v>
      </c>
      <c r="Q60" s="36">
        <f>O60+VLOOKUP(RIGHT(N60,2),装备设定!$C$22:$L$29,10,0)</f>
        <v>25</v>
      </c>
      <c r="R60" s="4">
        <f>LOOKUP($Q60,装备设定!$B$34:$B$41,装备设定!$D$34:$D$41)*VLOOKUP($P60,装备设定!$C$22:$F$29,2,0)</f>
        <v>70.2</v>
      </c>
      <c r="S60" s="4">
        <f>LOOKUP($Q60,装备设定!$B$34:$B$41,装备设定!$F$34:$F$41)*VLOOKUP($P60,装备设定!$C$22:$F$29,3,0)</f>
        <v>0</v>
      </c>
      <c r="T60" s="4">
        <f>LOOKUP($Q60,装备设定!$B$34:$B$41,装备设定!$I$34:$I$41)*VLOOKUP($P60,装备设定!$C$22:$F$29,4,0)</f>
        <v>3.9</v>
      </c>
    </row>
    <row r="61" spans="2:20">
      <c r="B61" s="4">
        <v>60</v>
      </c>
      <c r="C61" s="38">
        <v>2000</v>
      </c>
      <c r="D61" s="4">
        <f t="shared" si="9"/>
        <v>40000</v>
      </c>
      <c r="E61" s="4">
        <f t="shared" si="10"/>
        <v>6</v>
      </c>
      <c r="F61" s="4">
        <f t="shared" si="7"/>
        <v>666666.666666667</v>
      </c>
      <c r="M61" s="4" t="str">
        <f t="shared" si="3"/>
        <v>35级衣服</v>
      </c>
      <c r="N61" s="4" t="s">
        <v>191</v>
      </c>
      <c r="O61" s="36">
        <v>30</v>
      </c>
      <c r="P61" s="36" t="str">
        <f t="shared" si="8"/>
        <v>衣服</v>
      </c>
      <c r="Q61" s="36">
        <f>O61+VLOOKUP(RIGHT(N61,2),装备设定!$C$22:$L$29,10,0)</f>
        <v>35</v>
      </c>
      <c r="R61" s="4">
        <f>LOOKUP($Q61,装备设定!$B$34:$B$41,装备设定!$D$34:$D$41)*VLOOKUP($P61,装备设定!$C$22:$F$29,2,0)</f>
        <v>94.5</v>
      </c>
      <c r="S61" s="4">
        <f>LOOKUP($Q61,装备设定!$B$34:$B$41,装备设定!$F$34:$F$41)*VLOOKUP($P61,装备设定!$C$22:$F$29,3,0)</f>
        <v>0</v>
      </c>
      <c r="T61" s="4">
        <f>LOOKUP($Q61,装备设定!$B$34:$B$41,装备设定!$I$34:$I$41)*VLOOKUP($P61,装备设定!$C$22:$F$29,4,0)</f>
        <v>5.25</v>
      </c>
    </row>
    <row r="62" spans="2:20">
      <c r="B62" s="4">
        <v>61</v>
      </c>
      <c r="C62" s="40">
        <v>4000</v>
      </c>
      <c r="D62" s="4">
        <f t="shared" si="9"/>
        <v>44000</v>
      </c>
      <c r="E62" s="4">
        <f t="shared" si="10"/>
        <v>70</v>
      </c>
      <c r="F62" s="4">
        <f t="shared" si="7"/>
        <v>62857.1428571429</v>
      </c>
      <c r="M62" s="4" t="str">
        <f t="shared" si="3"/>
        <v>45级衣服</v>
      </c>
      <c r="N62" s="4" t="s">
        <v>208</v>
      </c>
      <c r="O62" s="36">
        <v>40</v>
      </c>
      <c r="P62" s="36" t="str">
        <f t="shared" si="8"/>
        <v>衣服</v>
      </c>
      <c r="Q62" s="36">
        <f>O62+VLOOKUP(RIGHT(N62,2),装备设定!$C$22:$L$29,10,0)</f>
        <v>45</v>
      </c>
      <c r="R62" s="4">
        <f>LOOKUP($Q62,装备设定!$B$34:$B$41,装备设定!$D$34:$D$41)*VLOOKUP($P62,装备设定!$C$22:$F$29,2,0)</f>
        <v>129.6</v>
      </c>
      <c r="S62" s="4">
        <f>LOOKUP($Q62,装备设定!$B$34:$B$41,装备设定!$F$34:$F$41)*VLOOKUP($P62,装备设定!$C$22:$F$29,3,0)</f>
        <v>0</v>
      </c>
      <c r="T62" s="4">
        <f>LOOKUP($Q62,装备设定!$B$34:$B$41,装备设定!$I$34:$I$41)*VLOOKUP($P62,装备设定!$C$22:$F$29,4,0)</f>
        <v>7.2</v>
      </c>
    </row>
    <row r="63" spans="2:20">
      <c r="B63" s="4">
        <v>62</v>
      </c>
      <c r="C63" s="40">
        <v>4000</v>
      </c>
      <c r="D63" s="4">
        <f t="shared" si="9"/>
        <v>48000</v>
      </c>
      <c r="E63" s="4">
        <f t="shared" si="10"/>
        <v>64</v>
      </c>
      <c r="F63" s="4">
        <f t="shared" si="7"/>
        <v>75000</v>
      </c>
      <c r="M63" s="4" t="str">
        <f t="shared" si="3"/>
        <v>55级衣服</v>
      </c>
      <c r="N63" s="4" t="s">
        <v>223</v>
      </c>
      <c r="O63" s="36">
        <v>50</v>
      </c>
      <c r="P63" s="36" t="str">
        <f t="shared" si="8"/>
        <v>衣服</v>
      </c>
      <c r="Q63" s="36">
        <f>O63+VLOOKUP(RIGHT(N63,2),装备设定!$C$22:$L$29,10,0)</f>
        <v>55</v>
      </c>
      <c r="R63" s="4">
        <f>LOOKUP($Q63,装备设定!$B$34:$B$41,装备设定!$D$34:$D$41)*VLOOKUP($P63,装备设定!$C$22:$F$29,2,0)</f>
        <v>178.2</v>
      </c>
      <c r="S63" s="4">
        <f>LOOKUP($Q63,装备设定!$B$34:$B$41,装备设定!$F$34:$F$41)*VLOOKUP($P63,装备设定!$C$22:$F$29,3,0)</f>
        <v>0</v>
      </c>
      <c r="T63" s="4">
        <f>LOOKUP($Q63,装备设定!$B$34:$B$41,装备设定!$I$34:$I$41)*VLOOKUP($P63,装备设定!$C$22:$F$29,4,0)</f>
        <v>9.9</v>
      </c>
    </row>
    <row r="64" spans="2:20">
      <c r="B64" s="4">
        <v>63</v>
      </c>
      <c r="C64" s="40">
        <v>4000</v>
      </c>
      <c r="D64" s="4">
        <f t="shared" si="9"/>
        <v>52000</v>
      </c>
      <c r="E64" s="4">
        <f t="shared" si="10"/>
        <v>56</v>
      </c>
      <c r="F64" s="4">
        <f t="shared" si="7"/>
        <v>92857.1428571429</v>
      </c>
      <c r="M64" s="4" t="str">
        <f t="shared" si="3"/>
        <v>65级衣服</v>
      </c>
      <c r="N64" s="4" t="s">
        <v>237</v>
      </c>
      <c r="O64" s="36">
        <v>60</v>
      </c>
      <c r="P64" s="36" t="str">
        <f t="shared" si="8"/>
        <v>衣服</v>
      </c>
      <c r="Q64" s="36">
        <f>O64+VLOOKUP(RIGHT(N64,2),装备设定!$C$22:$L$29,10,0)</f>
        <v>65</v>
      </c>
      <c r="R64" s="4">
        <f>LOOKUP($Q64,装备设定!$B$34:$B$41,装备设定!$D$34:$D$41)*VLOOKUP($P64,装备设定!$C$22:$F$29,2,0)</f>
        <v>243</v>
      </c>
      <c r="S64" s="4">
        <f>LOOKUP($Q64,装备设定!$B$34:$B$41,装备设定!$F$34:$F$41)*VLOOKUP($P64,装备设定!$C$22:$F$29,3,0)</f>
        <v>0</v>
      </c>
      <c r="T64" s="4">
        <f>LOOKUP($Q64,装备设定!$B$34:$B$41,装备设定!$I$34:$I$41)*VLOOKUP($P64,装备设定!$C$22:$F$29,4,0)</f>
        <v>13.5</v>
      </c>
    </row>
    <row r="65" spans="2:20">
      <c r="B65" s="4">
        <v>64</v>
      </c>
      <c r="C65" s="40">
        <v>4000</v>
      </c>
      <c r="D65" s="4">
        <f t="shared" si="9"/>
        <v>56000</v>
      </c>
      <c r="E65" s="4">
        <f t="shared" si="10"/>
        <v>48</v>
      </c>
      <c r="F65" s="4">
        <f t="shared" si="7"/>
        <v>116666.666666667</v>
      </c>
      <c r="M65" s="4" t="str">
        <f t="shared" si="3"/>
        <v>75级衣服</v>
      </c>
      <c r="N65" s="4" t="s">
        <v>247</v>
      </c>
      <c r="O65" s="36">
        <v>70</v>
      </c>
      <c r="P65" s="36" t="str">
        <f t="shared" si="8"/>
        <v>衣服</v>
      </c>
      <c r="Q65" s="36">
        <f>O65+VLOOKUP(RIGHT(N65,2),装备设定!$C$22:$L$29,10,0)</f>
        <v>75</v>
      </c>
      <c r="R65" s="4">
        <f>LOOKUP($Q65,装备设定!$B$34:$B$41,装备设定!$D$34:$D$41)*VLOOKUP($P65,装备设定!$C$22:$F$29,2,0)</f>
        <v>334.8</v>
      </c>
      <c r="S65" s="4">
        <f>LOOKUP($Q65,装备设定!$B$34:$B$41,装备设定!$F$34:$F$41)*VLOOKUP($P65,装备设定!$C$22:$F$29,3,0)</f>
        <v>0</v>
      </c>
      <c r="T65" s="4">
        <f>LOOKUP($Q65,装备设定!$B$34:$B$41,装备设定!$I$34:$I$41)*VLOOKUP($P65,装备设定!$C$22:$F$29,4,0)</f>
        <v>18.6</v>
      </c>
    </row>
    <row r="66" spans="2:6">
      <c r="B66" s="4">
        <v>65</v>
      </c>
      <c r="C66" s="40">
        <v>4000</v>
      </c>
      <c r="D66" s="4">
        <f t="shared" si="9"/>
        <v>60000</v>
      </c>
      <c r="E66" s="4">
        <f t="shared" si="10"/>
        <v>40</v>
      </c>
      <c r="F66" s="4">
        <f t="shared" ref="F66:F81" si="11">D66/(E66/100)</f>
        <v>150000</v>
      </c>
    </row>
    <row r="67" spans="2:6">
      <c r="B67" s="4">
        <v>66</v>
      </c>
      <c r="C67" s="40">
        <v>4000</v>
      </c>
      <c r="D67" s="4">
        <f t="shared" ref="D67:D81" si="12">D66+C67</f>
        <v>64000</v>
      </c>
      <c r="E67" s="4">
        <f t="shared" si="10"/>
        <v>32</v>
      </c>
      <c r="F67" s="4">
        <f t="shared" si="11"/>
        <v>200000</v>
      </c>
    </row>
    <row r="68" spans="2:6">
      <c r="B68" s="4">
        <v>67</v>
      </c>
      <c r="C68" s="40">
        <v>4000</v>
      </c>
      <c r="D68" s="4">
        <f t="shared" si="12"/>
        <v>68000</v>
      </c>
      <c r="E68" s="4">
        <f t="shared" si="10"/>
        <v>24</v>
      </c>
      <c r="F68" s="4">
        <f t="shared" si="11"/>
        <v>283333.333333333</v>
      </c>
    </row>
    <row r="69" spans="2:6">
      <c r="B69" s="4">
        <v>68</v>
      </c>
      <c r="C69" s="40">
        <v>4000</v>
      </c>
      <c r="D69" s="4">
        <f t="shared" si="12"/>
        <v>72000</v>
      </c>
      <c r="E69" s="4">
        <f t="shared" si="10"/>
        <v>16</v>
      </c>
      <c r="F69" s="4">
        <f t="shared" si="11"/>
        <v>450000</v>
      </c>
    </row>
    <row r="70" spans="2:6">
      <c r="B70" s="4">
        <v>69</v>
      </c>
      <c r="C70" s="40">
        <v>4000</v>
      </c>
      <c r="D70" s="4">
        <f t="shared" si="12"/>
        <v>76000</v>
      </c>
      <c r="E70" s="4">
        <f t="shared" si="10"/>
        <v>8</v>
      </c>
      <c r="F70" s="4">
        <f t="shared" si="11"/>
        <v>950000</v>
      </c>
    </row>
    <row r="71" spans="2:6">
      <c r="B71" s="4">
        <v>70</v>
      </c>
      <c r="C71" s="40">
        <v>4000</v>
      </c>
      <c r="D71" s="4">
        <f t="shared" si="12"/>
        <v>80000</v>
      </c>
      <c r="E71" s="4">
        <f t="shared" si="10"/>
        <v>5</v>
      </c>
      <c r="F71" s="4">
        <f t="shared" si="11"/>
        <v>1600000</v>
      </c>
    </row>
    <row r="72" spans="2:6">
      <c r="B72" s="4">
        <v>71</v>
      </c>
      <c r="C72" s="4">
        <v>8000</v>
      </c>
      <c r="D72" s="4">
        <f t="shared" si="12"/>
        <v>88000</v>
      </c>
      <c r="E72" s="4">
        <f t="shared" si="10"/>
        <v>64</v>
      </c>
      <c r="F72" s="4">
        <f t="shared" si="11"/>
        <v>137500</v>
      </c>
    </row>
    <row r="73" spans="2:6">
      <c r="B73" s="4">
        <v>72</v>
      </c>
      <c r="C73" s="4">
        <v>8000</v>
      </c>
      <c r="D73" s="4">
        <f t="shared" si="12"/>
        <v>96000</v>
      </c>
      <c r="E73" s="4">
        <f t="shared" si="10"/>
        <v>58</v>
      </c>
      <c r="F73" s="4">
        <f t="shared" si="11"/>
        <v>165517.24137931</v>
      </c>
    </row>
    <row r="74" spans="2:6">
      <c r="B74" s="4">
        <v>73</v>
      </c>
      <c r="C74" s="4">
        <v>8000</v>
      </c>
      <c r="D74" s="4">
        <f t="shared" si="12"/>
        <v>104000</v>
      </c>
      <c r="E74" s="4">
        <f t="shared" si="10"/>
        <v>50</v>
      </c>
      <c r="F74" s="4">
        <f t="shared" si="11"/>
        <v>208000</v>
      </c>
    </row>
    <row r="75" spans="2:6">
      <c r="B75" s="4">
        <v>74</v>
      </c>
      <c r="C75" s="4">
        <v>8000</v>
      </c>
      <c r="D75" s="4">
        <f t="shared" si="12"/>
        <v>112000</v>
      </c>
      <c r="E75" s="4">
        <f t="shared" si="10"/>
        <v>42</v>
      </c>
      <c r="F75" s="4">
        <f t="shared" si="11"/>
        <v>266666.666666667</v>
      </c>
    </row>
    <row r="76" spans="2:6">
      <c r="B76" s="4">
        <v>75</v>
      </c>
      <c r="C76" s="4">
        <v>8000</v>
      </c>
      <c r="D76" s="4">
        <f t="shared" si="12"/>
        <v>120000</v>
      </c>
      <c r="E76" s="4">
        <f t="shared" si="10"/>
        <v>34</v>
      </c>
      <c r="F76" s="4">
        <f t="shared" si="11"/>
        <v>352941.176470588</v>
      </c>
    </row>
    <row r="77" spans="2:6">
      <c r="B77" s="4">
        <v>76</v>
      </c>
      <c r="C77" s="4">
        <v>8000</v>
      </c>
      <c r="D77" s="4">
        <f t="shared" si="12"/>
        <v>128000</v>
      </c>
      <c r="E77" s="4">
        <f t="shared" si="10"/>
        <v>26</v>
      </c>
      <c r="F77" s="4">
        <f t="shared" si="11"/>
        <v>492307.692307692</v>
      </c>
    </row>
    <row r="78" spans="2:6">
      <c r="B78" s="4">
        <v>77</v>
      </c>
      <c r="C78" s="4">
        <v>8000</v>
      </c>
      <c r="D78" s="4">
        <f t="shared" si="12"/>
        <v>136000</v>
      </c>
      <c r="E78" s="4">
        <f t="shared" si="10"/>
        <v>18</v>
      </c>
      <c r="F78" s="4">
        <f t="shared" si="11"/>
        <v>755555.555555556</v>
      </c>
    </row>
    <row r="79" spans="2:6">
      <c r="B79" s="4">
        <v>78</v>
      </c>
      <c r="C79" s="4">
        <v>8000</v>
      </c>
      <c r="D79" s="4">
        <f t="shared" si="12"/>
        <v>144000</v>
      </c>
      <c r="E79" s="4">
        <f t="shared" si="10"/>
        <v>10</v>
      </c>
      <c r="F79" s="4">
        <f t="shared" si="11"/>
        <v>1440000</v>
      </c>
    </row>
    <row r="80" spans="2:6">
      <c r="B80" s="4">
        <v>79</v>
      </c>
      <c r="C80" s="4">
        <v>8000</v>
      </c>
      <c r="D80" s="4">
        <f t="shared" si="12"/>
        <v>152000</v>
      </c>
      <c r="E80" s="4">
        <f t="shared" si="10"/>
        <v>5</v>
      </c>
      <c r="F80" s="4">
        <f t="shared" si="11"/>
        <v>3040000</v>
      </c>
    </row>
    <row r="81" spans="2:6">
      <c r="B81" s="4">
        <v>80</v>
      </c>
      <c r="C81" s="4">
        <v>8000</v>
      </c>
      <c r="D81" s="4">
        <f t="shared" si="12"/>
        <v>160000</v>
      </c>
      <c r="E81" s="4">
        <f t="shared" si="10"/>
        <v>5</v>
      </c>
      <c r="F81" s="4">
        <f t="shared" si="11"/>
        <v>3200000</v>
      </c>
    </row>
    <row r="83" spans="6:6">
      <c r="F83" s="4">
        <f>SUM(F2:F82)</f>
        <v>16365399.9221318</v>
      </c>
    </row>
    <row r="84" spans="6:6">
      <c r="F84" s="4">
        <f>F83/10000</f>
        <v>1636.53999221318</v>
      </c>
    </row>
    <row r="87" spans="18:20">
      <c r="R87" s="4">
        <f>SUBTOTAL(9,R2:R86)</f>
        <v>3426.3</v>
      </c>
      <c r="S87" s="4">
        <f t="shared" ref="S87:T87" si="13">SUBTOTAL(9,S2:S86)</f>
        <v>406.08</v>
      </c>
      <c r="T87" s="4">
        <f t="shared" si="13"/>
        <v>253.8</v>
      </c>
    </row>
  </sheetData>
  <autoFilter ref="M1:T84">
    <extLst/>
  </autoFilter>
  <sortState ref="N2:T65">
    <sortCondition ref="P2:P65"/>
    <sortCondition ref="O2:O65"/>
  </sortState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AN1656"/>
  <sheetViews>
    <sheetView topLeftCell="A4" workbookViewId="0">
      <selection activeCell="I86" sqref="I86:I330"/>
    </sheetView>
  </sheetViews>
  <sheetFormatPr defaultColWidth="9" defaultRowHeight="14.25"/>
  <cols>
    <col min="1" max="1" width="15.875" style="4" customWidth="1"/>
    <col min="2" max="2" width="4.5" style="4" customWidth="1"/>
    <col min="3" max="3" width="6.5" style="4" customWidth="1"/>
    <col min="4" max="4" width="6.25" style="4" customWidth="1"/>
    <col min="5" max="5" width="9" style="4"/>
    <col min="6" max="6" width="6.125" style="4" customWidth="1"/>
    <col min="7" max="7" width="8.5" style="4" customWidth="1"/>
    <col min="8" max="9" width="9" style="4"/>
    <col min="10" max="10" width="10.875" style="4" customWidth="1"/>
    <col min="11" max="11" width="6.125" style="4" customWidth="1"/>
    <col min="12" max="12" width="4.875" style="4" customWidth="1"/>
    <col min="13" max="13" width="10.875" style="4" customWidth="1"/>
    <col min="14" max="14" width="9" style="4"/>
    <col min="15" max="15" width="7.25" style="4" customWidth="1"/>
    <col min="16" max="16" width="25.75" style="4" customWidth="1"/>
    <col min="17" max="17" width="6" style="4" customWidth="1"/>
    <col min="18" max="19" width="4.5" style="4" customWidth="1"/>
    <col min="20" max="20" width="7.5" style="4" customWidth="1"/>
    <col min="21" max="21" width="11" style="4" customWidth="1"/>
    <col min="22" max="26" width="10" style="4" customWidth="1"/>
    <col min="27" max="28" width="7.375" style="4" customWidth="1"/>
    <col min="29" max="29" width="9.125" style="4" customWidth="1"/>
    <col min="30" max="32" width="10" style="4" customWidth="1"/>
    <col min="33" max="33" width="10.875" style="4" customWidth="1"/>
    <col min="34" max="34" width="10" style="4" customWidth="1"/>
    <col min="35" max="36" width="10.875" style="4" customWidth="1"/>
    <col min="37" max="38" width="9.125" style="4" customWidth="1"/>
    <col min="39" max="40" width="7.5" style="4" customWidth="1"/>
    <col min="41" max="16384" width="9" style="4"/>
  </cols>
  <sheetData>
    <row r="1" spans="3:19">
      <c r="C1" s="4" t="s">
        <v>627</v>
      </c>
      <c r="D1" s="4" t="s">
        <v>110</v>
      </c>
      <c r="E1" s="4" t="s">
        <v>71</v>
      </c>
      <c r="F1" s="4" t="s">
        <v>72</v>
      </c>
      <c r="G1" s="4" t="s">
        <v>628</v>
      </c>
      <c r="H1" s="4" t="s">
        <v>629</v>
      </c>
      <c r="I1" s="4" t="s">
        <v>630</v>
      </c>
      <c r="S1" s="4" t="s">
        <v>631</v>
      </c>
    </row>
    <row r="2" spans="1:40">
      <c r="A2" s="4" t="str">
        <f>D2&amp;"级"&amp;C2&amp;B2&amp;E2</f>
        <v>1级绿武器生命值</v>
      </c>
      <c r="B2" s="4" t="s">
        <v>198</v>
      </c>
      <c r="C2" s="4" t="s">
        <v>117</v>
      </c>
      <c r="D2" s="4">
        <v>1</v>
      </c>
      <c r="E2" s="4" t="s">
        <v>74</v>
      </c>
      <c r="F2" s="4">
        <f>VLOOKUP(E2,基础属性ID!A:B,2,0)</f>
        <v>1</v>
      </c>
      <c r="G2" s="4">
        <f>VLOOKUP(E2,基础属性ID!$A:$E,5,0)</f>
        <v>100</v>
      </c>
      <c r="H2" s="4">
        <v>1</v>
      </c>
      <c r="I2" s="4">
        <v>5</v>
      </c>
      <c r="J2" s="4" t="str">
        <f t="shared" ref="J2:J65" si="0">F2&amp;":"&amp;G2&amp;":"&amp;H2&amp;":"&amp;I2&amp;","</f>
        <v>1:100:1:5,</v>
      </c>
      <c r="Q2" s="4" t="s">
        <v>110</v>
      </c>
      <c r="R2" s="4" t="s">
        <v>111</v>
      </c>
      <c r="S2" s="4" t="s">
        <v>627</v>
      </c>
      <c r="T2" s="4" t="s">
        <v>632</v>
      </c>
      <c r="U2" s="35" t="s">
        <v>74</v>
      </c>
      <c r="V2" s="35" t="s">
        <v>75</v>
      </c>
      <c r="W2" s="35" t="s">
        <v>13</v>
      </c>
      <c r="X2" s="35" t="s">
        <v>14</v>
      </c>
      <c r="Y2" s="35" t="s">
        <v>15</v>
      </c>
      <c r="Z2" s="35" t="s">
        <v>17</v>
      </c>
      <c r="AA2" s="35" t="s">
        <v>18</v>
      </c>
      <c r="AB2" s="35" t="s">
        <v>19</v>
      </c>
      <c r="AC2" s="35" t="s">
        <v>24</v>
      </c>
      <c r="AD2" s="35" t="s">
        <v>25</v>
      </c>
      <c r="AE2" s="35" t="s">
        <v>28</v>
      </c>
      <c r="AF2" s="35" t="s">
        <v>29</v>
      </c>
      <c r="AG2" s="35" t="s">
        <v>21</v>
      </c>
      <c r="AH2" s="35" t="s">
        <v>76</v>
      </c>
      <c r="AI2" s="35" t="s">
        <v>26</v>
      </c>
      <c r="AJ2" s="35" t="s">
        <v>27</v>
      </c>
      <c r="AK2" s="35" t="s">
        <v>30</v>
      </c>
      <c r="AL2" s="35" t="s">
        <v>31</v>
      </c>
      <c r="AM2" s="35" t="s">
        <v>32</v>
      </c>
      <c r="AN2" s="35" t="s">
        <v>33</v>
      </c>
    </row>
    <row r="3" spans="1:40">
      <c r="A3" s="4" t="str">
        <f t="shared" ref="A3:A66" si="1">D3&amp;"级"&amp;C3&amp;B3&amp;E3</f>
        <v>1级绿武器法力值</v>
      </c>
      <c r="B3" s="4" t="s">
        <v>198</v>
      </c>
      <c r="C3" s="4" t="s">
        <v>117</v>
      </c>
      <c r="D3" s="4">
        <v>1</v>
      </c>
      <c r="E3" s="4" t="s">
        <v>75</v>
      </c>
      <c r="F3" s="4">
        <f>VLOOKUP(E3,基础属性ID!A:B,2,0)</f>
        <v>2</v>
      </c>
      <c r="G3" s="4">
        <f>VLOOKUP(E3,基础属性ID!$A:$E,5,0)</f>
        <v>100</v>
      </c>
      <c r="H3" s="4">
        <v>2</v>
      </c>
      <c r="I3" s="4">
        <v>5</v>
      </c>
      <c r="J3" s="4" t="str">
        <f t="shared" si="0"/>
        <v>2:100:2:5,</v>
      </c>
      <c r="M3" s="4" t="str">
        <f>Q3&amp;"级品质"&amp;T3&amp;R3</f>
        <v>1级品质1武器</v>
      </c>
      <c r="N3" s="4" t="str">
        <f>Q3&amp;"级"&amp;S3&amp;R3</f>
        <v>1级绿武器</v>
      </c>
      <c r="O3" s="33">
        <v>10001</v>
      </c>
      <c r="P3" s="34" t="str">
        <f>LEFT(_xlfn.CONCAT(U3:AN3),LEN(_xlfn.CONCAT(U3:AN3))-1)</f>
        <v>1:100:1:5,2:100:2:5,3:100:1:3,4:100:1:3,5:100:1:3,6:100:1:3,9:50:1:3,10:50:1:3,11:50:1:3,12:50:1:3,13:20:10:30,14:20:1:3,17:60:1:3,18:60:1:3</v>
      </c>
      <c r="Q3" s="4">
        <v>1</v>
      </c>
      <c r="R3" s="4" t="s">
        <v>198</v>
      </c>
      <c r="S3" s="4" t="str">
        <f>IF(T3=1,"绿",VLOOKUP(T3,{1,"白";2,"绿";3,"蓝";4,"紫";5,"橙";6,"红"},2,0))</f>
        <v>绿</v>
      </c>
      <c r="T3" s="4">
        <v>1</v>
      </c>
      <c r="U3" s="35" t="str">
        <f t="shared" ref="U3:AD12" si="2">IFERROR(VLOOKUP($N3&amp;U$2,$A:$J,10,0),"")</f>
        <v>1:100:1:5,</v>
      </c>
      <c r="V3" s="35" t="str">
        <f t="shared" si="2"/>
        <v>2:100:2:5,</v>
      </c>
      <c r="W3" s="35" t="str">
        <f t="shared" si="2"/>
        <v>3:100:1:3,</v>
      </c>
      <c r="X3" s="35" t="str">
        <f t="shared" si="2"/>
        <v>4:100:1:3,</v>
      </c>
      <c r="Y3" s="35" t="str">
        <f t="shared" si="2"/>
        <v>5:100:1:3,</v>
      </c>
      <c r="Z3" s="35" t="str">
        <f t="shared" si="2"/>
        <v>6:100:1:3,</v>
      </c>
      <c r="AA3" s="35" t="str">
        <f t="shared" si="2"/>
        <v/>
      </c>
      <c r="AB3" s="35" t="str">
        <f t="shared" si="2"/>
        <v/>
      </c>
      <c r="AC3" s="35" t="str">
        <f t="shared" si="2"/>
        <v>9:50:1:3,</v>
      </c>
      <c r="AD3" s="35" t="str">
        <f t="shared" si="2"/>
        <v>10:50:1:3,</v>
      </c>
      <c r="AE3" s="35" t="str">
        <f t="shared" ref="AE3:AN12" si="3">IFERROR(VLOOKUP($N3&amp;AE$2,$A:$J,10,0),"")</f>
        <v>11:50:1:3,</v>
      </c>
      <c r="AF3" s="35" t="str">
        <f t="shared" si="3"/>
        <v>12:50:1:3,</v>
      </c>
      <c r="AG3" s="35" t="str">
        <f t="shared" si="3"/>
        <v>13:20:10:30,</v>
      </c>
      <c r="AH3" s="35" t="str">
        <f t="shared" si="3"/>
        <v>14:20:1:3,</v>
      </c>
      <c r="AI3" s="35" t="str">
        <f t="shared" si="3"/>
        <v/>
      </c>
      <c r="AJ3" s="35" t="str">
        <f t="shared" si="3"/>
        <v/>
      </c>
      <c r="AK3" s="35" t="str">
        <f t="shared" si="3"/>
        <v>17:60:1:3,</v>
      </c>
      <c r="AL3" s="35" t="str">
        <f t="shared" si="3"/>
        <v>18:60:1:3,</v>
      </c>
      <c r="AM3" s="35" t="str">
        <f t="shared" si="3"/>
        <v/>
      </c>
      <c r="AN3" s="35" t="str">
        <f t="shared" si="3"/>
        <v/>
      </c>
    </row>
    <row r="4" spans="1:40">
      <c r="A4" s="4" t="str">
        <f t="shared" si="1"/>
        <v>1级绿武器物理攻击</v>
      </c>
      <c r="B4" s="4" t="s">
        <v>198</v>
      </c>
      <c r="C4" s="4" t="s">
        <v>117</v>
      </c>
      <c r="D4" s="4">
        <v>1</v>
      </c>
      <c r="E4" s="4" t="s">
        <v>13</v>
      </c>
      <c r="F4" s="4">
        <f>VLOOKUP(E4,基础属性ID!A:B,2,0)</f>
        <v>3</v>
      </c>
      <c r="G4" s="4">
        <f>VLOOKUP(E4,基础属性ID!$A:$E,5,0)</f>
        <v>100</v>
      </c>
      <c r="H4" s="4">
        <v>1</v>
      </c>
      <c r="I4" s="4">
        <f>H4*3</f>
        <v>3</v>
      </c>
      <c r="J4" s="4" t="str">
        <f t="shared" si="0"/>
        <v>3:100:1:3,</v>
      </c>
      <c r="M4" s="4" t="str">
        <f t="shared" ref="M4:M67" si="4">Q4&amp;"级品质"&amp;T4&amp;R4</f>
        <v>1级品质2武器</v>
      </c>
      <c r="N4" s="4" t="str">
        <f t="shared" ref="N4:N67" si="5">Q4&amp;"级"&amp;S4&amp;R4</f>
        <v>1级绿武器</v>
      </c>
      <c r="O4" s="33">
        <v>10002</v>
      </c>
      <c r="P4" s="34" t="str">
        <f t="shared" ref="P4:P67" si="6">LEFT(_xlfn.CONCAT(U4:AN4),LEN(_xlfn.CONCAT(U4:AN4))-1)</f>
        <v>1:100:1:5,2:100:2:5,3:100:1:3,4:100:1:3,5:100:1:3,6:100:1:3,9:50:1:3,10:50:1:3,11:50:1:3,12:50:1:3,13:20:10:30,14:20:1:3,17:60:1:3,18:60:1:3</v>
      </c>
      <c r="Q4" s="4">
        <v>1</v>
      </c>
      <c r="R4" s="4" t="s">
        <v>198</v>
      </c>
      <c r="S4" s="4" t="str">
        <f>IF(T4=1,"绿",VLOOKUP(T4,{1,"白";2,"绿";3,"蓝";4,"紫";5,"橙";6,"红"},2,0))</f>
        <v>绿</v>
      </c>
      <c r="T4" s="4">
        <v>2</v>
      </c>
      <c r="U4" s="35" t="str">
        <f t="shared" si="2"/>
        <v>1:100:1:5,</v>
      </c>
      <c r="V4" s="35" t="str">
        <f t="shared" si="2"/>
        <v>2:100:2:5,</v>
      </c>
      <c r="W4" s="35" t="str">
        <f t="shared" si="2"/>
        <v>3:100:1:3,</v>
      </c>
      <c r="X4" s="35" t="str">
        <f t="shared" si="2"/>
        <v>4:100:1:3,</v>
      </c>
      <c r="Y4" s="35" t="str">
        <f t="shared" si="2"/>
        <v>5:100:1:3,</v>
      </c>
      <c r="Z4" s="35" t="str">
        <f t="shared" si="2"/>
        <v>6:100:1:3,</v>
      </c>
      <c r="AA4" s="35" t="str">
        <f t="shared" si="2"/>
        <v/>
      </c>
      <c r="AB4" s="35" t="str">
        <f t="shared" si="2"/>
        <v/>
      </c>
      <c r="AC4" s="35" t="str">
        <f t="shared" si="2"/>
        <v>9:50:1:3,</v>
      </c>
      <c r="AD4" s="35" t="str">
        <f t="shared" si="2"/>
        <v>10:50:1:3,</v>
      </c>
      <c r="AE4" s="35" t="str">
        <f t="shared" si="3"/>
        <v>11:50:1:3,</v>
      </c>
      <c r="AF4" s="35" t="str">
        <f t="shared" si="3"/>
        <v>12:50:1:3,</v>
      </c>
      <c r="AG4" s="35" t="str">
        <f t="shared" si="3"/>
        <v>13:20:10:30,</v>
      </c>
      <c r="AH4" s="35" t="str">
        <f t="shared" si="3"/>
        <v>14:20:1:3,</v>
      </c>
      <c r="AI4" s="35" t="str">
        <f t="shared" si="3"/>
        <v/>
      </c>
      <c r="AJ4" s="35" t="str">
        <f t="shared" si="3"/>
        <v/>
      </c>
      <c r="AK4" s="35" t="str">
        <f t="shared" si="3"/>
        <v>17:60:1:3,</v>
      </c>
      <c r="AL4" s="35" t="str">
        <f t="shared" si="3"/>
        <v>18:60:1:3,</v>
      </c>
      <c r="AM4" s="35" t="str">
        <f t="shared" si="3"/>
        <v/>
      </c>
      <c r="AN4" s="35" t="str">
        <f t="shared" si="3"/>
        <v/>
      </c>
    </row>
    <row r="5" spans="1:40">
      <c r="A5" s="4" t="str">
        <f t="shared" si="1"/>
        <v>1级绿武器魔法攻击</v>
      </c>
      <c r="B5" s="4" t="s">
        <v>198</v>
      </c>
      <c r="C5" s="4" t="s">
        <v>117</v>
      </c>
      <c r="D5" s="4">
        <v>1</v>
      </c>
      <c r="E5" s="4" t="s">
        <v>14</v>
      </c>
      <c r="F5" s="4">
        <f>VLOOKUP(E5,基础属性ID!A:B,2,0)</f>
        <v>4</v>
      </c>
      <c r="G5" s="4">
        <f>VLOOKUP(E5,基础属性ID!$A:$E,5,0)</f>
        <v>100</v>
      </c>
      <c r="H5" s="4">
        <v>1</v>
      </c>
      <c r="I5" s="4">
        <f t="shared" ref="I5:I11" si="7">H5*3</f>
        <v>3</v>
      </c>
      <c r="J5" s="4" t="str">
        <f t="shared" si="0"/>
        <v>4:100:1:3,</v>
      </c>
      <c r="M5" s="4" t="str">
        <f t="shared" si="4"/>
        <v>1级品质3武器</v>
      </c>
      <c r="N5" s="4" t="str">
        <f t="shared" si="5"/>
        <v>1级蓝武器</v>
      </c>
      <c r="O5" s="33">
        <v>10003</v>
      </c>
      <c r="P5" s="34" t="str">
        <f t="shared" si="6"/>
        <v>1:100:4:12,2:100:4:10,3:100:2:6,4:100:2:6,5:100:2:6,6:100:2:6,9:50:2:6,10:50:2:6,11:50:1:3,12:50:1:3,13:20:20:50,14:20:2:5,17:60:2:6,18:60:2:6</v>
      </c>
      <c r="Q5" s="4">
        <v>1</v>
      </c>
      <c r="R5" s="4" t="s">
        <v>198</v>
      </c>
      <c r="S5" s="4" t="str">
        <f>IF(T5=1,"绿",VLOOKUP(T5,{1,"白";2,"绿";3,"蓝";4,"紫";5,"橙";6,"红"},2,0))</f>
        <v>蓝</v>
      </c>
      <c r="T5" s="4">
        <v>3</v>
      </c>
      <c r="U5" s="35" t="str">
        <f t="shared" si="2"/>
        <v>1:100:4:12,</v>
      </c>
      <c r="V5" s="35" t="str">
        <f t="shared" si="2"/>
        <v>2:100:4:10,</v>
      </c>
      <c r="W5" s="35" t="str">
        <f t="shared" si="2"/>
        <v>3:100:2:6,</v>
      </c>
      <c r="X5" s="35" t="str">
        <f t="shared" si="2"/>
        <v>4:100:2:6,</v>
      </c>
      <c r="Y5" s="35" t="str">
        <f t="shared" si="2"/>
        <v>5:100:2:6,</v>
      </c>
      <c r="Z5" s="35" t="str">
        <f t="shared" si="2"/>
        <v>6:100:2:6,</v>
      </c>
      <c r="AA5" s="35" t="str">
        <f t="shared" si="2"/>
        <v/>
      </c>
      <c r="AB5" s="35" t="str">
        <f t="shared" si="2"/>
        <v/>
      </c>
      <c r="AC5" s="35" t="str">
        <f t="shared" si="2"/>
        <v>9:50:2:6,</v>
      </c>
      <c r="AD5" s="35" t="str">
        <f t="shared" si="2"/>
        <v>10:50:2:6,</v>
      </c>
      <c r="AE5" s="35" t="str">
        <f t="shared" si="3"/>
        <v>11:50:1:3,</v>
      </c>
      <c r="AF5" s="35" t="str">
        <f t="shared" si="3"/>
        <v>12:50:1:3,</v>
      </c>
      <c r="AG5" s="35" t="str">
        <f t="shared" si="3"/>
        <v>13:20:20:50,</v>
      </c>
      <c r="AH5" s="35" t="str">
        <f t="shared" si="3"/>
        <v>14:20:2:5,</v>
      </c>
      <c r="AI5" s="35" t="str">
        <f t="shared" si="3"/>
        <v/>
      </c>
      <c r="AJ5" s="35" t="str">
        <f t="shared" si="3"/>
        <v/>
      </c>
      <c r="AK5" s="35" t="str">
        <f t="shared" si="3"/>
        <v>17:60:2:6,</v>
      </c>
      <c r="AL5" s="35" t="str">
        <f t="shared" si="3"/>
        <v>18:60:2:6,</v>
      </c>
      <c r="AM5" s="35" t="str">
        <f t="shared" si="3"/>
        <v/>
      </c>
      <c r="AN5" s="35" t="str">
        <f t="shared" si="3"/>
        <v/>
      </c>
    </row>
    <row r="6" spans="1:40">
      <c r="A6" s="4" t="str">
        <f t="shared" si="1"/>
        <v>1级绿武器道术攻击</v>
      </c>
      <c r="B6" s="4" t="s">
        <v>198</v>
      </c>
      <c r="C6" s="4" t="s">
        <v>117</v>
      </c>
      <c r="D6" s="4">
        <v>1</v>
      </c>
      <c r="E6" s="4" t="s">
        <v>15</v>
      </c>
      <c r="F6" s="4">
        <f>VLOOKUP(E6,基础属性ID!A:B,2,0)</f>
        <v>5</v>
      </c>
      <c r="G6" s="4">
        <f>VLOOKUP(E6,基础属性ID!$A:$E,5,0)</f>
        <v>100</v>
      </c>
      <c r="H6" s="4">
        <v>1</v>
      </c>
      <c r="I6" s="4">
        <f t="shared" si="7"/>
        <v>3</v>
      </c>
      <c r="J6" s="4" t="str">
        <f t="shared" si="0"/>
        <v>5:100:1:3,</v>
      </c>
      <c r="M6" s="4" t="str">
        <f t="shared" si="4"/>
        <v>1级品质4武器</v>
      </c>
      <c r="N6" s="4" t="str">
        <f t="shared" si="5"/>
        <v>1级紫武器</v>
      </c>
      <c r="O6" s="33">
        <v>10004</v>
      </c>
      <c r="P6" s="34" t="str">
        <f t="shared" si="6"/>
        <v>1:100:6:18,2:100:6:15,3:100:3:9,4:100:3:9,5:100:3:9,6:100:3:9,9:50:3:9,10:50:3:9,11:50:2:6,12:50:2:6,13:20:50:150,14:20:3:8,17:60:3:9,18:60:3:9</v>
      </c>
      <c r="Q6" s="4">
        <v>1</v>
      </c>
      <c r="R6" s="4" t="s">
        <v>198</v>
      </c>
      <c r="S6" s="4" t="str">
        <f>IF(T6=1,"绿",VLOOKUP(T6,{1,"白";2,"绿";3,"蓝";4,"紫";5,"橙";6,"红"},2,0))</f>
        <v>紫</v>
      </c>
      <c r="T6" s="4">
        <v>4</v>
      </c>
      <c r="U6" s="35" t="str">
        <f t="shared" si="2"/>
        <v>1:100:6:18,</v>
      </c>
      <c r="V6" s="35" t="str">
        <f t="shared" si="2"/>
        <v>2:100:6:15,</v>
      </c>
      <c r="W6" s="35" t="str">
        <f t="shared" si="2"/>
        <v>3:100:3:9,</v>
      </c>
      <c r="X6" s="35" t="str">
        <f t="shared" si="2"/>
        <v>4:100:3:9,</v>
      </c>
      <c r="Y6" s="35" t="str">
        <f t="shared" si="2"/>
        <v>5:100:3:9,</v>
      </c>
      <c r="Z6" s="35" t="str">
        <f t="shared" si="2"/>
        <v>6:100:3:9,</v>
      </c>
      <c r="AA6" s="35" t="str">
        <f t="shared" si="2"/>
        <v/>
      </c>
      <c r="AB6" s="35" t="str">
        <f t="shared" si="2"/>
        <v/>
      </c>
      <c r="AC6" s="35" t="str">
        <f t="shared" si="2"/>
        <v>9:50:3:9,</v>
      </c>
      <c r="AD6" s="35" t="str">
        <f t="shared" si="2"/>
        <v>10:50:3:9,</v>
      </c>
      <c r="AE6" s="35" t="str">
        <f t="shared" si="3"/>
        <v>11:50:2:6,</v>
      </c>
      <c r="AF6" s="35" t="str">
        <f t="shared" si="3"/>
        <v>12:50:2:6,</v>
      </c>
      <c r="AG6" s="35" t="str">
        <f t="shared" si="3"/>
        <v>13:20:50:150,</v>
      </c>
      <c r="AH6" s="35" t="str">
        <f t="shared" si="3"/>
        <v>14:20:3:8,</v>
      </c>
      <c r="AI6" s="35" t="str">
        <f t="shared" si="3"/>
        <v/>
      </c>
      <c r="AJ6" s="35" t="str">
        <f t="shared" si="3"/>
        <v/>
      </c>
      <c r="AK6" s="35" t="str">
        <f t="shared" si="3"/>
        <v>17:60:3:9,</v>
      </c>
      <c r="AL6" s="35" t="str">
        <f t="shared" si="3"/>
        <v>18:60:3:9,</v>
      </c>
      <c r="AM6" s="35" t="str">
        <f t="shared" si="3"/>
        <v/>
      </c>
      <c r="AN6" s="35" t="str">
        <f t="shared" si="3"/>
        <v/>
      </c>
    </row>
    <row r="7" spans="1:40">
      <c r="A7" s="4" t="str">
        <f t="shared" si="1"/>
        <v>1级绿武器防御</v>
      </c>
      <c r="B7" s="4" t="s">
        <v>198</v>
      </c>
      <c r="C7" s="4" t="s">
        <v>117</v>
      </c>
      <c r="D7" s="4">
        <v>1</v>
      </c>
      <c r="E7" s="4" t="s">
        <v>17</v>
      </c>
      <c r="F7" s="4">
        <f>VLOOKUP(E7,基础属性ID!A:B,2,0)</f>
        <v>6</v>
      </c>
      <c r="G7" s="4">
        <f>VLOOKUP(E7,基础属性ID!$A:$E,5,0)</f>
        <v>100</v>
      </c>
      <c r="H7" s="4">
        <v>1</v>
      </c>
      <c r="I7" s="4">
        <f t="shared" si="7"/>
        <v>3</v>
      </c>
      <c r="J7" s="4" t="str">
        <f t="shared" si="0"/>
        <v>6:100:1:3,</v>
      </c>
      <c r="M7" s="4" t="str">
        <f t="shared" si="4"/>
        <v>1级品质5武器</v>
      </c>
      <c r="N7" s="4" t="str">
        <f t="shared" si="5"/>
        <v>1级橙武器</v>
      </c>
      <c r="O7" s="33">
        <v>10005</v>
      </c>
      <c r="P7" s="34" t="str">
        <f t="shared" si="6"/>
        <v>1:100:10:30,2:100:10:20,3:100:4:12,4:100:4:12,5:100:4:12,6:100:4:12,9:50:4:12,10:50:4:12,11:50:3:9,12:50:3:9,13:20:150:300,14:20:5:10,17:60:4:12,18:60:4:12</v>
      </c>
      <c r="Q7" s="4">
        <v>1</v>
      </c>
      <c r="R7" s="4" t="s">
        <v>198</v>
      </c>
      <c r="S7" s="4" t="str">
        <f>IF(T7=1,"绿",VLOOKUP(T7,{1,"白";2,"绿";3,"蓝";4,"紫";5,"橙";6,"红"},2,0))</f>
        <v>橙</v>
      </c>
      <c r="T7" s="4">
        <v>5</v>
      </c>
      <c r="U7" s="35" t="str">
        <f t="shared" si="2"/>
        <v>1:100:10:30,</v>
      </c>
      <c r="V7" s="35" t="str">
        <f t="shared" si="2"/>
        <v>2:100:10:20,</v>
      </c>
      <c r="W7" s="35" t="str">
        <f t="shared" si="2"/>
        <v>3:100:4:12,</v>
      </c>
      <c r="X7" s="35" t="str">
        <f t="shared" si="2"/>
        <v>4:100:4:12,</v>
      </c>
      <c r="Y7" s="35" t="str">
        <f t="shared" si="2"/>
        <v>5:100:4:12,</v>
      </c>
      <c r="Z7" s="35" t="str">
        <f t="shared" si="2"/>
        <v>6:100:4:12,</v>
      </c>
      <c r="AA7" s="35" t="str">
        <f t="shared" si="2"/>
        <v/>
      </c>
      <c r="AB7" s="35" t="str">
        <f t="shared" si="2"/>
        <v/>
      </c>
      <c r="AC7" s="35" t="str">
        <f t="shared" si="2"/>
        <v>9:50:4:12,</v>
      </c>
      <c r="AD7" s="35" t="str">
        <f t="shared" si="2"/>
        <v>10:50:4:12,</v>
      </c>
      <c r="AE7" s="35" t="str">
        <f t="shared" si="3"/>
        <v>11:50:3:9,</v>
      </c>
      <c r="AF7" s="35" t="str">
        <f t="shared" si="3"/>
        <v>12:50:3:9,</v>
      </c>
      <c r="AG7" s="35" t="str">
        <f t="shared" si="3"/>
        <v>13:20:150:300,</v>
      </c>
      <c r="AH7" s="35" t="str">
        <f t="shared" si="3"/>
        <v>14:20:5:10,</v>
      </c>
      <c r="AI7" s="35" t="str">
        <f t="shared" si="3"/>
        <v/>
      </c>
      <c r="AJ7" s="35" t="str">
        <f t="shared" si="3"/>
        <v/>
      </c>
      <c r="AK7" s="35" t="str">
        <f t="shared" si="3"/>
        <v>17:60:4:12,</v>
      </c>
      <c r="AL7" s="35" t="str">
        <f t="shared" si="3"/>
        <v>18:60:4:12,</v>
      </c>
      <c r="AM7" s="35" t="str">
        <f t="shared" si="3"/>
        <v/>
      </c>
      <c r="AN7" s="35" t="str">
        <f t="shared" si="3"/>
        <v/>
      </c>
    </row>
    <row r="8" spans="1:40">
      <c r="A8" s="4" t="str">
        <f t="shared" si="1"/>
        <v>1级绿武器固定伤害</v>
      </c>
      <c r="B8" s="4" t="s">
        <v>198</v>
      </c>
      <c r="C8" s="4" t="s">
        <v>117</v>
      </c>
      <c r="D8" s="4">
        <v>1</v>
      </c>
      <c r="E8" s="4" t="s">
        <v>24</v>
      </c>
      <c r="F8" s="4">
        <f>VLOOKUP(E8,基础属性ID!A:B,2,0)</f>
        <v>9</v>
      </c>
      <c r="G8" s="4">
        <f>VLOOKUP(E8,基础属性ID!$A:$E,5,0)</f>
        <v>50</v>
      </c>
      <c r="H8" s="4">
        <v>1</v>
      </c>
      <c r="I8" s="4">
        <f t="shared" si="7"/>
        <v>3</v>
      </c>
      <c r="J8" s="4" t="str">
        <f t="shared" si="0"/>
        <v>9:50:1:3,</v>
      </c>
      <c r="M8" s="4" t="str">
        <f t="shared" si="4"/>
        <v>1级品质6武器</v>
      </c>
      <c r="N8" s="4" t="str">
        <f t="shared" si="5"/>
        <v>1级红武器</v>
      </c>
      <c r="O8" s="33">
        <v>10006</v>
      </c>
      <c r="P8" s="34" t="str">
        <f t="shared" si="6"/>
        <v>1:100:15:45,2:100:15:30,3:100:5:15,4:100:5:15,5:100:5:15,6:100:5:15,9:50:5:15,10:50:5:15,11:50:4:12,12:50:4:12,13:20:300:500,14:20:10:20,17:60:5:15,18:60:5:15</v>
      </c>
      <c r="Q8" s="4">
        <v>1</v>
      </c>
      <c r="R8" s="4" t="s">
        <v>198</v>
      </c>
      <c r="S8" s="4" t="str">
        <f>IF(T8=1,"绿",VLOOKUP(T8,{1,"白";2,"绿";3,"蓝";4,"紫";5,"橙";6,"红"},2,0))</f>
        <v>红</v>
      </c>
      <c r="T8" s="4">
        <v>6</v>
      </c>
      <c r="U8" s="35" t="str">
        <f t="shared" si="2"/>
        <v>1:100:15:45,</v>
      </c>
      <c r="V8" s="35" t="str">
        <f t="shared" si="2"/>
        <v>2:100:15:30,</v>
      </c>
      <c r="W8" s="35" t="str">
        <f t="shared" si="2"/>
        <v>3:100:5:15,</v>
      </c>
      <c r="X8" s="35" t="str">
        <f t="shared" si="2"/>
        <v>4:100:5:15,</v>
      </c>
      <c r="Y8" s="35" t="str">
        <f t="shared" si="2"/>
        <v>5:100:5:15,</v>
      </c>
      <c r="Z8" s="35" t="str">
        <f t="shared" si="2"/>
        <v>6:100:5:15,</v>
      </c>
      <c r="AA8" s="35" t="str">
        <f t="shared" si="2"/>
        <v/>
      </c>
      <c r="AB8" s="35" t="str">
        <f t="shared" si="2"/>
        <v/>
      </c>
      <c r="AC8" s="35" t="str">
        <f t="shared" si="2"/>
        <v>9:50:5:15,</v>
      </c>
      <c r="AD8" s="35" t="str">
        <f t="shared" si="2"/>
        <v>10:50:5:15,</v>
      </c>
      <c r="AE8" s="35" t="str">
        <f t="shared" si="3"/>
        <v>11:50:4:12,</v>
      </c>
      <c r="AF8" s="35" t="str">
        <f t="shared" si="3"/>
        <v>12:50:4:12,</v>
      </c>
      <c r="AG8" s="35" t="str">
        <f t="shared" si="3"/>
        <v>13:20:300:500,</v>
      </c>
      <c r="AH8" s="35" t="str">
        <f t="shared" si="3"/>
        <v>14:20:10:20,</v>
      </c>
      <c r="AI8" s="35" t="str">
        <f t="shared" si="3"/>
        <v/>
      </c>
      <c r="AJ8" s="35" t="str">
        <f t="shared" si="3"/>
        <v/>
      </c>
      <c r="AK8" s="35" t="str">
        <f t="shared" si="3"/>
        <v>17:60:5:15,</v>
      </c>
      <c r="AL8" s="35" t="str">
        <f t="shared" si="3"/>
        <v>18:60:5:15,</v>
      </c>
      <c r="AM8" s="35" t="str">
        <f t="shared" si="3"/>
        <v/>
      </c>
      <c r="AN8" s="35" t="str">
        <f t="shared" si="3"/>
        <v/>
      </c>
    </row>
    <row r="9" spans="1:40">
      <c r="A9" s="4" t="str">
        <f t="shared" si="1"/>
        <v>1级绿武器固定减伤</v>
      </c>
      <c r="B9" s="4" t="s">
        <v>198</v>
      </c>
      <c r="C9" s="4" t="s">
        <v>117</v>
      </c>
      <c r="D9" s="4">
        <v>1</v>
      </c>
      <c r="E9" s="4" t="s">
        <v>25</v>
      </c>
      <c r="F9" s="4">
        <f>VLOOKUP(E9,基础属性ID!A:B,2,0)</f>
        <v>10</v>
      </c>
      <c r="G9" s="4">
        <f>VLOOKUP(E9,基础属性ID!$A:$E,5,0)</f>
        <v>50</v>
      </c>
      <c r="H9" s="4">
        <v>1</v>
      </c>
      <c r="I9" s="4">
        <f t="shared" si="7"/>
        <v>3</v>
      </c>
      <c r="J9" s="4" t="str">
        <f t="shared" si="0"/>
        <v>10:50:1:3,</v>
      </c>
      <c r="M9" s="4" t="str">
        <f t="shared" si="4"/>
        <v>21级品质1武器</v>
      </c>
      <c r="N9" s="4" t="str">
        <f t="shared" si="5"/>
        <v>21级绿武器</v>
      </c>
      <c r="O9" s="33">
        <v>11001</v>
      </c>
      <c r="P9" s="34" t="str">
        <f t="shared" si="6"/>
        <v>1:100:5:15,2:100:3:6,3:100:2:6,4:100:2:6,5:100:2:6,6:100:2:6,7:20:1:1,8:20:1:1,9:50:2:6,10:50:2:6,11:50:1:3,12:50:1:3,13:20:10:30,14:20:1:3,15:10:50:100,16:10:50:100,17:60:1:3,18:60:1:3</v>
      </c>
      <c r="Q9" s="4">
        <v>21</v>
      </c>
      <c r="R9" s="4" t="s">
        <v>198</v>
      </c>
      <c r="S9" s="4" t="str">
        <f>IF(T9=1,"绿",VLOOKUP(T9,{1,"白";2,"绿";3,"蓝";4,"紫";5,"橙";6,"红"},2,0))</f>
        <v>绿</v>
      </c>
      <c r="T9" s="4">
        <v>1</v>
      </c>
      <c r="U9" s="35" t="str">
        <f t="shared" si="2"/>
        <v>1:100:5:15,</v>
      </c>
      <c r="V9" s="35" t="str">
        <f t="shared" si="2"/>
        <v>2:100:3:6,</v>
      </c>
      <c r="W9" s="35" t="str">
        <f t="shared" si="2"/>
        <v>3:100:2:6,</v>
      </c>
      <c r="X9" s="35" t="str">
        <f t="shared" si="2"/>
        <v>4:100:2:6,</v>
      </c>
      <c r="Y9" s="35" t="str">
        <f t="shared" si="2"/>
        <v>5:100:2:6,</v>
      </c>
      <c r="Z9" s="35" t="str">
        <f t="shared" si="2"/>
        <v>6:100:2:6,</v>
      </c>
      <c r="AA9" s="35" t="str">
        <f t="shared" si="2"/>
        <v>7:20:1:1,</v>
      </c>
      <c r="AB9" s="35" t="str">
        <f t="shared" si="2"/>
        <v>8:20:1:1,</v>
      </c>
      <c r="AC9" s="35" t="str">
        <f t="shared" si="2"/>
        <v>9:50:2:6,</v>
      </c>
      <c r="AD9" s="35" t="str">
        <f t="shared" si="2"/>
        <v>10:50:2:6,</v>
      </c>
      <c r="AE9" s="35" t="str">
        <f t="shared" si="3"/>
        <v>11:50:1:3,</v>
      </c>
      <c r="AF9" s="35" t="str">
        <f t="shared" si="3"/>
        <v>12:50:1:3,</v>
      </c>
      <c r="AG9" s="35" t="str">
        <f t="shared" si="3"/>
        <v>13:20:10:30,</v>
      </c>
      <c r="AH9" s="35" t="str">
        <f t="shared" si="3"/>
        <v>14:20:1:3,</v>
      </c>
      <c r="AI9" s="35" t="str">
        <f t="shared" si="3"/>
        <v>15:10:50:100,</v>
      </c>
      <c r="AJ9" s="35" t="str">
        <f t="shared" si="3"/>
        <v>16:10:50:100,</v>
      </c>
      <c r="AK9" s="35" t="str">
        <f t="shared" si="3"/>
        <v>17:60:1:3,</v>
      </c>
      <c r="AL9" s="35" t="str">
        <f t="shared" si="3"/>
        <v>18:60:1:3,</v>
      </c>
      <c r="AM9" s="35" t="str">
        <f t="shared" si="3"/>
        <v/>
      </c>
      <c r="AN9" s="35" t="str">
        <f t="shared" si="3"/>
        <v/>
      </c>
    </row>
    <row r="10" spans="1:40">
      <c r="A10" s="4" t="str">
        <f t="shared" si="1"/>
        <v>1级绿武器生命吸取</v>
      </c>
      <c r="B10" s="4" t="s">
        <v>198</v>
      </c>
      <c r="C10" s="4" t="s">
        <v>117</v>
      </c>
      <c r="D10" s="4">
        <v>1</v>
      </c>
      <c r="E10" s="4" t="s">
        <v>28</v>
      </c>
      <c r="F10" s="4">
        <f>VLOOKUP(E10,基础属性ID!A:B,2,0)</f>
        <v>11</v>
      </c>
      <c r="G10" s="4">
        <f>VLOOKUP(E10,基础属性ID!$A:$E,5,0)</f>
        <v>50</v>
      </c>
      <c r="H10" s="4">
        <v>1</v>
      </c>
      <c r="I10" s="4">
        <f t="shared" si="7"/>
        <v>3</v>
      </c>
      <c r="J10" s="4" t="str">
        <f t="shared" si="0"/>
        <v>11:50:1:3,</v>
      </c>
      <c r="M10" s="4" t="str">
        <f t="shared" si="4"/>
        <v>21级品质2武器</v>
      </c>
      <c r="N10" s="4" t="str">
        <f t="shared" si="5"/>
        <v>21级绿武器</v>
      </c>
      <c r="O10" s="33">
        <v>11002</v>
      </c>
      <c r="P10" s="34" t="str">
        <f t="shared" si="6"/>
        <v>1:100:5:15,2:100:3:6,3:100:2:6,4:100:2:6,5:100:2:6,6:100:2:6,7:20:1:1,8:20:1:1,9:50:2:6,10:50:2:6,11:50:1:3,12:50:1:3,13:20:10:30,14:20:1:3,15:10:50:100,16:10:50:100,17:60:1:3,18:60:1:3</v>
      </c>
      <c r="Q10" s="4">
        <v>21</v>
      </c>
      <c r="R10" s="4" t="s">
        <v>198</v>
      </c>
      <c r="S10" s="4" t="str">
        <f>IF(T10=1,"绿",VLOOKUP(T10,{1,"白";2,"绿";3,"蓝";4,"紫";5,"橙";6,"红"},2,0))</f>
        <v>绿</v>
      </c>
      <c r="T10" s="4">
        <v>2</v>
      </c>
      <c r="U10" s="35" t="str">
        <f t="shared" si="2"/>
        <v>1:100:5:15,</v>
      </c>
      <c r="V10" s="35" t="str">
        <f t="shared" si="2"/>
        <v>2:100:3:6,</v>
      </c>
      <c r="W10" s="35" t="str">
        <f t="shared" si="2"/>
        <v>3:100:2:6,</v>
      </c>
      <c r="X10" s="35" t="str">
        <f t="shared" si="2"/>
        <v>4:100:2:6,</v>
      </c>
      <c r="Y10" s="35" t="str">
        <f t="shared" si="2"/>
        <v>5:100:2:6,</v>
      </c>
      <c r="Z10" s="35" t="str">
        <f t="shared" si="2"/>
        <v>6:100:2:6,</v>
      </c>
      <c r="AA10" s="35" t="str">
        <f t="shared" si="2"/>
        <v>7:20:1:1,</v>
      </c>
      <c r="AB10" s="35" t="str">
        <f t="shared" si="2"/>
        <v>8:20:1:1,</v>
      </c>
      <c r="AC10" s="35" t="str">
        <f t="shared" si="2"/>
        <v>9:50:2:6,</v>
      </c>
      <c r="AD10" s="35" t="str">
        <f t="shared" si="2"/>
        <v>10:50:2:6,</v>
      </c>
      <c r="AE10" s="35" t="str">
        <f t="shared" si="3"/>
        <v>11:50:1:3,</v>
      </c>
      <c r="AF10" s="35" t="str">
        <f t="shared" si="3"/>
        <v>12:50:1:3,</v>
      </c>
      <c r="AG10" s="35" t="str">
        <f t="shared" si="3"/>
        <v>13:20:10:30,</v>
      </c>
      <c r="AH10" s="35" t="str">
        <f t="shared" si="3"/>
        <v>14:20:1:3,</v>
      </c>
      <c r="AI10" s="35" t="str">
        <f t="shared" si="3"/>
        <v>15:10:50:100,</v>
      </c>
      <c r="AJ10" s="35" t="str">
        <f t="shared" si="3"/>
        <v>16:10:50:100,</v>
      </c>
      <c r="AK10" s="35" t="str">
        <f t="shared" si="3"/>
        <v>17:60:1:3,</v>
      </c>
      <c r="AL10" s="35" t="str">
        <f t="shared" si="3"/>
        <v>18:60:1:3,</v>
      </c>
      <c r="AM10" s="35" t="str">
        <f t="shared" si="3"/>
        <v/>
      </c>
      <c r="AN10" s="35" t="str">
        <f t="shared" si="3"/>
        <v/>
      </c>
    </row>
    <row r="11" spans="1:40">
      <c r="A11" s="4" t="str">
        <f t="shared" si="1"/>
        <v>1级绿武器法力吸取</v>
      </c>
      <c r="B11" s="4" t="s">
        <v>198</v>
      </c>
      <c r="C11" s="4" t="s">
        <v>117</v>
      </c>
      <c r="D11" s="4">
        <v>1</v>
      </c>
      <c r="E11" s="4" t="s">
        <v>29</v>
      </c>
      <c r="F11" s="4">
        <f>VLOOKUP(E11,基础属性ID!A:B,2,0)</f>
        <v>12</v>
      </c>
      <c r="G11" s="4">
        <f>VLOOKUP(E11,基础属性ID!$A:$E,5,0)</f>
        <v>50</v>
      </c>
      <c r="H11" s="4">
        <v>1</v>
      </c>
      <c r="I11" s="4">
        <f t="shared" si="7"/>
        <v>3</v>
      </c>
      <c r="J11" s="4" t="str">
        <f t="shared" si="0"/>
        <v>12:50:1:3,</v>
      </c>
      <c r="M11" s="4" t="str">
        <f t="shared" si="4"/>
        <v>21级品质3武器</v>
      </c>
      <c r="N11" s="4" t="str">
        <f t="shared" si="5"/>
        <v>21级蓝武器</v>
      </c>
      <c r="O11" s="33">
        <v>11003</v>
      </c>
      <c r="P11" s="34" t="str">
        <f t="shared" si="6"/>
        <v>1:100:8:24,2:100:6:12,3:100:3:9,4:100:3:9,5:100:3:9,6:100:3:9,7:20:1:1,8:20:1:2,9:50:3:9,10:50:3:9,11:50:1:3,12:50:1:3,13:20:20:50,14:20:2:5,15:10:80:150,16:10:80:150,17:60:2:6,18:60:2:6</v>
      </c>
      <c r="Q11" s="4">
        <v>21</v>
      </c>
      <c r="R11" s="4" t="s">
        <v>198</v>
      </c>
      <c r="S11" s="4" t="str">
        <f>IF(T11=1,"绿",VLOOKUP(T11,{1,"白";2,"绿";3,"蓝";4,"紫";5,"橙";6,"红"},2,0))</f>
        <v>蓝</v>
      </c>
      <c r="T11" s="4">
        <v>3</v>
      </c>
      <c r="U11" s="35" t="str">
        <f t="shared" si="2"/>
        <v>1:100:8:24,</v>
      </c>
      <c r="V11" s="35" t="str">
        <f t="shared" si="2"/>
        <v>2:100:6:12,</v>
      </c>
      <c r="W11" s="35" t="str">
        <f t="shared" si="2"/>
        <v>3:100:3:9,</v>
      </c>
      <c r="X11" s="35" t="str">
        <f t="shared" si="2"/>
        <v>4:100:3:9,</v>
      </c>
      <c r="Y11" s="35" t="str">
        <f t="shared" si="2"/>
        <v>5:100:3:9,</v>
      </c>
      <c r="Z11" s="35" t="str">
        <f t="shared" si="2"/>
        <v>6:100:3:9,</v>
      </c>
      <c r="AA11" s="35" t="str">
        <f t="shared" si="2"/>
        <v>7:20:1:1,</v>
      </c>
      <c r="AB11" s="35" t="str">
        <f t="shared" si="2"/>
        <v>8:20:1:2,</v>
      </c>
      <c r="AC11" s="35" t="str">
        <f t="shared" si="2"/>
        <v>9:50:3:9,</v>
      </c>
      <c r="AD11" s="35" t="str">
        <f t="shared" si="2"/>
        <v>10:50:3:9,</v>
      </c>
      <c r="AE11" s="35" t="str">
        <f t="shared" si="3"/>
        <v>11:50:1:3,</v>
      </c>
      <c r="AF11" s="35" t="str">
        <f t="shared" si="3"/>
        <v>12:50:1:3,</v>
      </c>
      <c r="AG11" s="35" t="str">
        <f t="shared" si="3"/>
        <v>13:20:20:50,</v>
      </c>
      <c r="AH11" s="35" t="str">
        <f t="shared" si="3"/>
        <v>14:20:2:5,</v>
      </c>
      <c r="AI11" s="35" t="str">
        <f t="shared" si="3"/>
        <v>15:10:80:150,</v>
      </c>
      <c r="AJ11" s="35" t="str">
        <f t="shared" si="3"/>
        <v>16:10:80:150,</v>
      </c>
      <c r="AK11" s="35" t="str">
        <f t="shared" si="3"/>
        <v>17:60:2:6,</v>
      </c>
      <c r="AL11" s="35" t="str">
        <f t="shared" si="3"/>
        <v>18:60:2:6,</v>
      </c>
      <c r="AM11" s="35" t="str">
        <f t="shared" si="3"/>
        <v/>
      </c>
      <c r="AN11" s="35" t="str">
        <f t="shared" si="3"/>
        <v/>
      </c>
    </row>
    <row r="12" spans="1:40">
      <c r="A12" s="4" t="str">
        <f t="shared" si="1"/>
        <v>1级绿武器暴击几率</v>
      </c>
      <c r="B12" s="4" t="s">
        <v>198</v>
      </c>
      <c r="C12" s="4" t="s">
        <v>117</v>
      </c>
      <c r="D12" s="4">
        <v>1</v>
      </c>
      <c r="E12" s="4" t="s">
        <v>21</v>
      </c>
      <c r="F12" s="4">
        <f>VLOOKUP(E12,基础属性ID!A:B,2,0)</f>
        <v>13</v>
      </c>
      <c r="G12" s="4">
        <f>VLOOKUP(E12,基础属性ID!$A:$E,5,0)</f>
        <v>20</v>
      </c>
      <c r="H12" s="4">
        <v>10</v>
      </c>
      <c r="I12" s="4">
        <v>30</v>
      </c>
      <c r="J12" s="4" t="str">
        <f t="shared" si="0"/>
        <v>13:20:10:30,</v>
      </c>
      <c r="K12" s="4" t="s">
        <v>22</v>
      </c>
      <c r="M12" s="4" t="str">
        <f t="shared" si="4"/>
        <v>21级品质4武器</v>
      </c>
      <c r="N12" s="4" t="str">
        <f t="shared" si="5"/>
        <v>21级紫武器</v>
      </c>
      <c r="O12" s="33">
        <v>11004</v>
      </c>
      <c r="P12" s="34" t="str">
        <f t="shared" si="6"/>
        <v>1:100:12:36,2:100:8:16,3:100:5:15,4:100:5:15,5:100:5:15,6:100:5:15,7:20:1:2,8:20:1:3,9:50:4:12,10:50:4:12,11:50:3:9,12:50:3:9,13:20:50:150,14:20:3:8,15:10:1:2,16:10:1:2,17:60:3:9,18:60:3:9</v>
      </c>
      <c r="Q12" s="4">
        <v>21</v>
      </c>
      <c r="R12" s="4" t="s">
        <v>198</v>
      </c>
      <c r="S12" s="4" t="str">
        <f>IF(T12=1,"绿",VLOOKUP(T12,{1,"白";2,"绿";3,"蓝";4,"紫";5,"橙";6,"红"},2,0))</f>
        <v>紫</v>
      </c>
      <c r="T12" s="4">
        <v>4</v>
      </c>
      <c r="U12" s="35" t="str">
        <f t="shared" si="2"/>
        <v>1:100:12:36,</v>
      </c>
      <c r="V12" s="35" t="str">
        <f t="shared" si="2"/>
        <v>2:100:8:16,</v>
      </c>
      <c r="W12" s="35" t="str">
        <f t="shared" si="2"/>
        <v>3:100:5:15,</v>
      </c>
      <c r="X12" s="35" t="str">
        <f t="shared" si="2"/>
        <v>4:100:5:15,</v>
      </c>
      <c r="Y12" s="35" t="str">
        <f t="shared" si="2"/>
        <v>5:100:5:15,</v>
      </c>
      <c r="Z12" s="35" t="str">
        <f t="shared" si="2"/>
        <v>6:100:5:15,</v>
      </c>
      <c r="AA12" s="35" t="str">
        <f t="shared" si="2"/>
        <v>7:20:1:2,</v>
      </c>
      <c r="AB12" s="35" t="str">
        <f t="shared" si="2"/>
        <v>8:20:1:3,</v>
      </c>
      <c r="AC12" s="35" t="str">
        <f t="shared" si="2"/>
        <v>9:50:4:12,</v>
      </c>
      <c r="AD12" s="35" t="str">
        <f t="shared" si="2"/>
        <v>10:50:4:12,</v>
      </c>
      <c r="AE12" s="35" t="str">
        <f t="shared" si="3"/>
        <v>11:50:3:9,</v>
      </c>
      <c r="AF12" s="35" t="str">
        <f t="shared" si="3"/>
        <v>12:50:3:9,</v>
      </c>
      <c r="AG12" s="35" t="str">
        <f t="shared" si="3"/>
        <v>13:20:50:150,</v>
      </c>
      <c r="AH12" s="35" t="str">
        <f t="shared" si="3"/>
        <v>14:20:3:8,</v>
      </c>
      <c r="AI12" s="35" t="str">
        <f t="shared" si="3"/>
        <v>15:10:1:2,</v>
      </c>
      <c r="AJ12" s="35" t="str">
        <f t="shared" si="3"/>
        <v>16:10:1:2,</v>
      </c>
      <c r="AK12" s="35" t="str">
        <f t="shared" si="3"/>
        <v>17:60:3:9,</v>
      </c>
      <c r="AL12" s="35" t="str">
        <f t="shared" si="3"/>
        <v>18:60:3:9,</v>
      </c>
      <c r="AM12" s="35" t="str">
        <f t="shared" si="3"/>
        <v/>
      </c>
      <c r="AN12" s="35" t="str">
        <f t="shared" si="3"/>
        <v/>
      </c>
    </row>
    <row r="13" spans="1:40">
      <c r="A13" s="4" t="str">
        <f t="shared" si="1"/>
        <v>1级绿武器爆击伤害</v>
      </c>
      <c r="B13" s="4" t="s">
        <v>198</v>
      </c>
      <c r="C13" s="4" t="s">
        <v>117</v>
      </c>
      <c r="D13" s="4">
        <v>1</v>
      </c>
      <c r="E13" s="4" t="s">
        <v>76</v>
      </c>
      <c r="F13" s="4">
        <f>VLOOKUP(E13,基础属性ID!A:B,2,0)</f>
        <v>14</v>
      </c>
      <c r="G13" s="4">
        <f>VLOOKUP(E13,基础属性ID!$A:$E,5,0)</f>
        <v>20</v>
      </c>
      <c r="H13" s="4">
        <v>1</v>
      </c>
      <c r="I13" s="4">
        <v>3</v>
      </c>
      <c r="J13" s="4" t="str">
        <f t="shared" si="0"/>
        <v>14:20:1:3,</v>
      </c>
      <c r="M13" s="4" t="str">
        <f t="shared" si="4"/>
        <v>21级品质5武器</v>
      </c>
      <c r="N13" s="4" t="str">
        <f t="shared" si="5"/>
        <v>21级橙武器</v>
      </c>
      <c r="O13" s="33">
        <v>11005</v>
      </c>
      <c r="P13" s="34" t="str">
        <f t="shared" si="6"/>
        <v>1:100:15:45,2:100:12:24,3:100:6:18,4:100:6:18,5:100:6:18,6:100:6:18,7:20:1:3,8:20:1:4,9:50:5:15,10:50:5:15,11:50:4:12,12:50:4:12,13:20:150:300,14:20:5:10,15:10:150:300,16:10:150:300,17:60:4:12,18:60:4:12</v>
      </c>
      <c r="Q13" s="4">
        <v>21</v>
      </c>
      <c r="R13" s="4" t="s">
        <v>198</v>
      </c>
      <c r="S13" s="4" t="str">
        <f>IF(T13=1,"绿",VLOOKUP(T13,{1,"白";2,"绿";3,"蓝";4,"紫";5,"橙";6,"红"},2,0))</f>
        <v>橙</v>
      </c>
      <c r="T13" s="4">
        <v>5</v>
      </c>
      <c r="U13" s="35" t="str">
        <f t="shared" ref="U13:AD22" si="8">IFERROR(VLOOKUP($N13&amp;U$2,$A:$J,10,0),"")</f>
        <v>1:100:15:45,</v>
      </c>
      <c r="V13" s="35" t="str">
        <f t="shared" si="8"/>
        <v>2:100:12:24,</v>
      </c>
      <c r="W13" s="35" t="str">
        <f t="shared" si="8"/>
        <v>3:100:6:18,</v>
      </c>
      <c r="X13" s="35" t="str">
        <f t="shared" si="8"/>
        <v>4:100:6:18,</v>
      </c>
      <c r="Y13" s="35" t="str">
        <f t="shared" si="8"/>
        <v>5:100:6:18,</v>
      </c>
      <c r="Z13" s="35" t="str">
        <f t="shared" si="8"/>
        <v>6:100:6:18,</v>
      </c>
      <c r="AA13" s="35" t="str">
        <f t="shared" si="8"/>
        <v>7:20:1:3,</v>
      </c>
      <c r="AB13" s="35" t="str">
        <f t="shared" si="8"/>
        <v>8:20:1:4,</v>
      </c>
      <c r="AC13" s="35" t="str">
        <f t="shared" si="8"/>
        <v>9:50:5:15,</v>
      </c>
      <c r="AD13" s="35" t="str">
        <f t="shared" si="8"/>
        <v>10:50:5:15,</v>
      </c>
      <c r="AE13" s="35" t="str">
        <f t="shared" ref="AE13:AN22" si="9">IFERROR(VLOOKUP($N13&amp;AE$2,$A:$J,10,0),"")</f>
        <v>11:50:4:12,</v>
      </c>
      <c r="AF13" s="35" t="str">
        <f t="shared" si="9"/>
        <v>12:50:4:12,</v>
      </c>
      <c r="AG13" s="35" t="str">
        <f t="shared" si="9"/>
        <v>13:20:150:300,</v>
      </c>
      <c r="AH13" s="35" t="str">
        <f t="shared" si="9"/>
        <v>14:20:5:10,</v>
      </c>
      <c r="AI13" s="35" t="str">
        <f t="shared" si="9"/>
        <v>15:10:150:300,</v>
      </c>
      <c r="AJ13" s="35" t="str">
        <f t="shared" si="9"/>
        <v>16:10:150:300,</v>
      </c>
      <c r="AK13" s="35" t="str">
        <f t="shared" si="9"/>
        <v>17:60:4:12,</v>
      </c>
      <c r="AL13" s="35" t="str">
        <f t="shared" si="9"/>
        <v>18:60:4:12,</v>
      </c>
      <c r="AM13" s="35" t="str">
        <f t="shared" si="9"/>
        <v/>
      </c>
      <c r="AN13" s="35" t="str">
        <f t="shared" si="9"/>
        <v/>
      </c>
    </row>
    <row r="14" spans="1:40">
      <c r="A14" s="4" t="str">
        <f t="shared" si="1"/>
        <v>1级绿武器装备掉率</v>
      </c>
      <c r="B14" s="4" t="s">
        <v>198</v>
      </c>
      <c r="C14" s="4" t="s">
        <v>117</v>
      </c>
      <c r="D14" s="4">
        <v>1</v>
      </c>
      <c r="E14" s="4" t="s">
        <v>30</v>
      </c>
      <c r="F14" s="4">
        <f>VLOOKUP(E14,基础属性ID!A:B,2,0)</f>
        <v>17</v>
      </c>
      <c r="G14" s="4">
        <f>VLOOKUP(E14,基础属性ID!$A:$E,5,0)</f>
        <v>60</v>
      </c>
      <c r="H14" s="4">
        <v>1</v>
      </c>
      <c r="I14" s="4">
        <f>H14*3</f>
        <v>3</v>
      </c>
      <c r="J14" s="4" t="str">
        <f t="shared" si="0"/>
        <v>17:60:1:3,</v>
      </c>
      <c r="M14" s="4" t="str">
        <f t="shared" si="4"/>
        <v>21级品质6武器</v>
      </c>
      <c r="N14" s="4" t="str">
        <f t="shared" si="5"/>
        <v>21级红武器</v>
      </c>
      <c r="O14" s="33">
        <v>11006</v>
      </c>
      <c r="P14" s="34" t="str">
        <f t="shared" si="6"/>
        <v>1:100:20:60,2:100:18:36,3:100:8:24,4:100:8:24,5:100:8:24,6:100:8:24,7:20:1:5,8:20:1:5,9:50:6:18,10:50:6:18,11:50:6:18,12:50:6:18,13:20:300:500,14:20:10:20,15:10:2:5,16:10:2:5,17:60:5:15,18:60:5:15</v>
      </c>
      <c r="Q14" s="4">
        <v>21</v>
      </c>
      <c r="R14" s="4" t="s">
        <v>198</v>
      </c>
      <c r="S14" s="4" t="str">
        <f>IF(T14=1,"绿",VLOOKUP(T14,{1,"白";2,"绿";3,"蓝";4,"紫";5,"橙";6,"红"},2,0))</f>
        <v>红</v>
      </c>
      <c r="T14" s="4">
        <v>6</v>
      </c>
      <c r="U14" s="35" t="str">
        <f t="shared" si="8"/>
        <v>1:100:20:60,</v>
      </c>
      <c r="V14" s="35" t="str">
        <f t="shared" si="8"/>
        <v>2:100:18:36,</v>
      </c>
      <c r="W14" s="35" t="str">
        <f t="shared" si="8"/>
        <v>3:100:8:24,</v>
      </c>
      <c r="X14" s="35" t="str">
        <f t="shared" si="8"/>
        <v>4:100:8:24,</v>
      </c>
      <c r="Y14" s="35" t="str">
        <f t="shared" si="8"/>
        <v>5:100:8:24,</v>
      </c>
      <c r="Z14" s="35" t="str">
        <f t="shared" si="8"/>
        <v>6:100:8:24,</v>
      </c>
      <c r="AA14" s="35" t="str">
        <f t="shared" si="8"/>
        <v>7:20:1:5,</v>
      </c>
      <c r="AB14" s="35" t="str">
        <f t="shared" si="8"/>
        <v>8:20:1:5,</v>
      </c>
      <c r="AC14" s="35" t="str">
        <f t="shared" si="8"/>
        <v>9:50:6:18,</v>
      </c>
      <c r="AD14" s="35" t="str">
        <f t="shared" si="8"/>
        <v>10:50:6:18,</v>
      </c>
      <c r="AE14" s="35" t="str">
        <f t="shared" si="9"/>
        <v>11:50:6:18,</v>
      </c>
      <c r="AF14" s="35" t="str">
        <f t="shared" si="9"/>
        <v>12:50:6:18,</v>
      </c>
      <c r="AG14" s="35" t="str">
        <f t="shared" si="9"/>
        <v>13:20:300:500,</v>
      </c>
      <c r="AH14" s="35" t="str">
        <f t="shared" si="9"/>
        <v>14:20:10:20,</v>
      </c>
      <c r="AI14" s="35" t="str">
        <f t="shared" si="9"/>
        <v>15:10:2:5,</v>
      </c>
      <c r="AJ14" s="35" t="str">
        <f t="shared" si="9"/>
        <v>16:10:2:5,</v>
      </c>
      <c r="AK14" s="35" t="str">
        <f t="shared" si="9"/>
        <v>17:60:5:15,</v>
      </c>
      <c r="AL14" s="35" t="str">
        <f t="shared" si="9"/>
        <v>18:60:5:15,</v>
      </c>
      <c r="AM14" s="35" t="str">
        <f t="shared" si="9"/>
        <v/>
      </c>
      <c r="AN14" s="35" t="str">
        <f t="shared" si="9"/>
        <v/>
      </c>
    </row>
    <row r="15" spans="1:40">
      <c r="A15" s="4" t="str">
        <f t="shared" si="1"/>
        <v>1级绿武器极品掉率</v>
      </c>
      <c r="B15" s="4" t="s">
        <v>198</v>
      </c>
      <c r="C15" s="4" t="s">
        <v>117</v>
      </c>
      <c r="D15" s="4">
        <v>1</v>
      </c>
      <c r="E15" s="4" t="s">
        <v>31</v>
      </c>
      <c r="F15" s="4">
        <f>VLOOKUP(E15,基础属性ID!A:B,2,0)</f>
        <v>18</v>
      </c>
      <c r="G15" s="4">
        <f>VLOOKUP(E15,基础属性ID!$A:$E,5,0)</f>
        <v>60</v>
      </c>
      <c r="H15" s="4">
        <v>1</v>
      </c>
      <c r="I15" s="4">
        <f>H15*3</f>
        <v>3</v>
      </c>
      <c r="J15" s="4" t="str">
        <f t="shared" si="0"/>
        <v>18:60:1:3,</v>
      </c>
      <c r="M15" s="4" t="str">
        <f t="shared" si="4"/>
        <v>41级品质1武器</v>
      </c>
      <c r="N15" s="4" t="str">
        <f t="shared" si="5"/>
        <v>41级绿武器</v>
      </c>
      <c r="O15" s="33">
        <v>12001</v>
      </c>
      <c r="P15" s="34" t="str">
        <f t="shared" si="6"/>
        <v>1:100:10:30,2:100:4:8,3:100:3:9,4:100:3:9,5:100:3:9,6:100:3:9,7:20:1:1,8:20:1:1,9:50:3:9,10:50:3:9,11:50:2:6,12:50:2:6,13:20:10:30,14:20:1:3,15:10:50:100,16:10:50:100,17:60:1:3,18:60:1:3</v>
      </c>
      <c r="Q15" s="4">
        <v>41</v>
      </c>
      <c r="R15" s="4" t="s">
        <v>198</v>
      </c>
      <c r="S15" s="4" t="str">
        <f>IF(T15=1,"绿",VLOOKUP(T15,{1,"白";2,"绿";3,"蓝";4,"紫";5,"橙";6,"红"},2,0))</f>
        <v>绿</v>
      </c>
      <c r="T15" s="4">
        <v>1</v>
      </c>
      <c r="U15" s="35" t="str">
        <f t="shared" si="8"/>
        <v>1:100:10:30,</v>
      </c>
      <c r="V15" s="35" t="str">
        <f t="shared" si="8"/>
        <v>2:100:4:8,</v>
      </c>
      <c r="W15" s="35" t="str">
        <f t="shared" si="8"/>
        <v>3:100:3:9,</v>
      </c>
      <c r="X15" s="35" t="str">
        <f t="shared" si="8"/>
        <v>4:100:3:9,</v>
      </c>
      <c r="Y15" s="35" t="str">
        <f t="shared" si="8"/>
        <v>5:100:3:9,</v>
      </c>
      <c r="Z15" s="35" t="str">
        <f t="shared" si="8"/>
        <v>6:100:3:9,</v>
      </c>
      <c r="AA15" s="35" t="str">
        <f t="shared" si="8"/>
        <v>7:20:1:1,</v>
      </c>
      <c r="AB15" s="35" t="str">
        <f t="shared" si="8"/>
        <v>8:20:1:1,</v>
      </c>
      <c r="AC15" s="35" t="str">
        <f t="shared" si="8"/>
        <v>9:50:3:9,</v>
      </c>
      <c r="AD15" s="35" t="str">
        <f t="shared" si="8"/>
        <v>10:50:3:9,</v>
      </c>
      <c r="AE15" s="35" t="str">
        <f t="shared" si="9"/>
        <v>11:50:2:6,</v>
      </c>
      <c r="AF15" s="35" t="str">
        <f t="shared" si="9"/>
        <v>12:50:2:6,</v>
      </c>
      <c r="AG15" s="35" t="str">
        <f t="shared" si="9"/>
        <v>13:20:10:30,</v>
      </c>
      <c r="AH15" s="35" t="str">
        <f t="shared" si="9"/>
        <v>14:20:1:3,</v>
      </c>
      <c r="AI15" s="35" t="str">
        <f t="shared" si="9"/>
        <v>15:10:50:100,</v>
      </c>
      <c r="AJ15" s="35" t="str">
        <f t="shared" si="9"/>
        <v>16:10:50:100,</v>
      </c>
      <c r="AK15" s="35" t="str">
        <f t="shared" si="9"/>
        <v>17:60:1:3,</v>
      </c>
      <c r="AL15" s="35" t="str">
        <f t="shared" si="9"/>
        <v>18:60:1:3,</v>
      </c>
      <c r="AM15" s="35" t="str">
        <f t="shared" si="9"/>
        <v/>
      </c>
      <c r="AN15" s="35" t="str">
        <f t="shared" si="9"/>
        <v/>
      </c>
    </row>
    <row r="16" spans="1:40">
      <c r="A16" s="4" t="str">
        <f t="shared" si="1"/>
        <v>1级绿护甲生命值</v>
      </c>
      <c r="B16" s="4" t="s">
        <v>203</v>
      </c>
      <c r="C16" s="4" t="s">
        <v>117</v>
      </c>
      <c r="D16" s="4">
        <v>1</v>
      </c>
      <c r="E16" s="4" t="s">
        <v>74</v>
      </c>
      <c r="F16" s="4">
        <f>VLOOKUP(E16,基础属性ID!A:B,2,0)</f>
        <v>1</v>
      </c>
      <c r="G16" s="4">
        <f>VLOOKUP(E16,基础属性ID!$A:$E,5,0)</f>
        <v>100</v>
      </c>
      <c r="H16" s="4">
        <v>1</v>
      </c>
      <c r="I16" s="4">
        <v>5</v>
      </c>
      <c r="J16" s="4" t="str">
        <f t="shared" si="0"/>
        <v>1:100:1:5,</v>
      </c>
      <c r="M16" s="4" t="str">
        <f t="shared" si="4"/>
        <v>41级品质2武器</v>
      </c>
      <c r="N16" s="4" t="str">
        <f t="shared" si="5"/>
        <v>41级绿武器</v>
      </c>
      <c r="O16" s="33">
        <v>12002</v>
      </c>
      <c r="P16" s="34" t="str">
        <f t="shared" si="6"/>
        <v>1:100:10:30,2:100:4:8,3:100:3:9,4:100:3:9,5:100:3:9,6:100:3:9,7:20:1:1,8:20:1:1,9:50:3:9,10:50:3:9,11:50:2:6,12:50:2:6,13:20:10:30,14:20:1:3,15:10:50:100,16:10:50:100,17:60:1:3,18:60:1:3</v>
      </c>
      <c r="Q16" s="4">
        <v>41</v>
      </c>
      <c r="R16" s="4" t="s">
        <v>198</v>
      </c>
      <c r="S16" s="4" t="str">
        <f>IF(T16=1,"绿",VLOOKUP(T16,{1,"白";2,"绿";3,"蓝";4,"紫";5,"橙";6,"红"},2,0))</f>
        <v>绿</v>
      </c>
      <c r="T16" s="4">
        <v>2</v>
      </c>
      <c r="U16" s="35" t="str">
        <f t="shared" si="8"/>
        <v>1:100:10:30,</v>
      </c>
      <c r="V16" s="35" t="str">
        <f t="shared" si="8"/>
        <v>2:100:4:8,</v>
      </c>
      <c r="W16" s="35" t="str">
        <f t="shared" si="8"/>
        <v>3:100:3:9,</v>
      </c>
      <c r="X16" s="35" t="str">
        <f t="shared" si="8"/>
        <v>4:100:3:9,</v>
      </c>
      <c r="Y16" s="35" t="str">
        <f t="shared" si="8"/>
        <v>5:100:3:9,</v>
      </c>
      <c r="Z16" s="35" t="str">
        <f t="shared" si="8"/>
        <v>6:100:3:9,</v>
      </c>
      <c r="AA16" s="35" t="str">
        <f t="shared" si="8"/>
        <v>7:20:1:1,</v>
      </c>
      <c r="AB16" s="35" t="str">
        <f t="shared" si="8"/>
        <v>8:20:1:1,</v>
      </c>
      <c r="AC16" s="35" t="str">
        <f t="shared" si="8"/>
        <v>9:50:3:9,</v>
      </c>
      <c r="AD16" s="35" t="str">
        <f t="shared" si="8"/>
        <v>10:50:3:9,</v>
      </c>
      <c r="AE16" s="35" t="str">
        <f t="shared" si="9"/>
        <v>11:50:2:6,</v>
      </c>
      <c r="AF16" s="35" t="str">
        <f t="shared" si="9"/>
        <v>12:50:2:6,</v>
      </c>
      <c r="AG16" s="35" t="str">
        <f t="shared" si="9"/>
        <v>13:20:10:30,</v>
      </c>
      <c r="AH16" s="35" t="str">
        <f t="shared" si="9"/>
        <v>14:20:1:3,</v>
      </c>
      <c r="AI16" s="35" t="str">
        <f t="shared" si="9"/>
        <v>15:10:50:100,</v>
      </c>
      <c r="AJ16" s="35" t="str">
        <f t="shared" si="9"/>
        <v>16:10:50:100,</v>
      </c>
      <c r="AK16" s="35" t="str">
        <f t="shared" si="9"/>
        <v>17:60:1:3,</v>
      </c>
      <c r="AL16" s="35" t="str">
        <f t="shared" si="9"/>
        <v>18:60:1:3,</v>
      </c>
      <c r="AM16" s="35" t="str">
        <f t="shared" si="9"/>
        <v/>
      </c>
      <c r="AN16" s="35" t="str">
        <f t="shared" si="9"/>
        <v/>
      </c>
    </row>
    <row r="17" spans="1:40">
      <c r="A17" s="4" t="str">
        <f t="shared" si="1"/>
        <v>1级绿护甲法力值</v>
      </c>
      <c r="B17" s="4" t="s">
        <v>203</v>
      </c>
      <c r="C17" s="4" t="s">
        <v>117</v>
      </c>
      <c r="D17" s="4">
        <v>1</v>
      </c>
      <c r="E17" s="4" t="s">
        <v>75</v>
      </c>
      <c r="F17" s="4">
        <f>VLOOKUP(E17,基础属性ID!A:B,2,0)</f>
        <v>2</v>
      </c>
      <c r="G17" s="4">
        <f>VLOOKUP(E17,基础属性ID!$A:$E,5,0)</f>
        <v>100</v>
      </c>
      <c r="H17" s="4">
        <v>2</v>
      </c>
      <c r="I17" s="4">
        <v>5</v>
      </c>
      <c r="J17" s="4" t="str">
        <f t="shared" si="0"/>
        <v>2:100:2:5,</v>
      </c>
      <c r="M17" s="4" t="str">
        <f t="shared" si="4"/>
        <v>41级品质3武器</v>
      </c>
      <c r="N17" s="4" t="str">
        <f t="shared" si="5"/>
        <v>41级蓝武器</v>
      </c>
      <c r="O17" s="33">
        <v>12003</v>
      </c>
      <c r="P17" s="34" t="str">
        <f t="shared" si="6"/>
        <v>1:100:15:45,2:100:8:15,3:100:4:12,4:100:4:12,5:100:4:12,6:100:4:12,7:20:1:1,8:20:1:2,9:50:4:12,10:50:4:12,11:50:2:6,12:50:2:6,13:20:20:50,14:20:2:5,15:10:80:150,16:10:80:150,17:60:2:6,18:60:2:6</v>
      </c>
      <c r="Q17" s="4">
        <v>41</v>
      </c>
      <c r="R17" s="4" t="s">
        <v>198</v>
      </c>
      <c r="S17" s="4" t="str">
        <f>IF(T17=1,"绿",VLOOKUP(T17,{1,"白";2,"绿";3,"蓝";4,"紫";5,"橙";6,"红"},2,0))</f>
        <v>蓝</v>
      </c>
      <c r="T17" s="4">
        <v>3</v>
      </c>
      <c r="U17" s="35" t="str">
        <f t="shared" si="8"/>
        <v>1:100:15:45,</v>
      </c>
      <c r="V17" s="35" t="str">
        <f t="shared" si="8"/>
        <v>2:100:8:15,</v>
      </c>
      <c r="W17" s="35" t="str">
        <f t="shared" si="8"/>
        <v>3:100:4:12,</v>
      </c>
      <c r="X17" s="35" t="str">
        <f t="shared" si="8"/>
        <v>4:100:4:12,</v>
      </c>
      <c r="Y17" s="35" t="str">
        <f t="shared" si="8"/>
        <v>5:100:4:12,</v>
      </c>
      <c r="Z17" s="35" t="str">
        <f t="shared" si="8"/>
        <v>6:100:4:12,</v>
      </c>
      <c r="AA17" s="35" t="str">
        <f t="shared" si="8"/>
        <v>7:20:1:1,</v>
      </c>
      <c r="AB17" s="35" t="str">
        <f t="shared" si="8"/>
        <v>8:20:1:2,</v>
      </c>
      <c r="AC17" s="35" t="str">
        <f t="shared" si="8"/>
        <v>9:50:4:12,</v>
      </c>
      <c r="AD17" s="35" t="str">
        <f t="shared" si="8"/>
        <v>10:50:4:12,</v>
      </c>
      <c r="AE17" s="35" t="str">
        <f t="shared" si="9"/>
        <v>11:50:2:6,</v>
      </c>
      <c r="AF17" s="35" t="str">
        <f t="shared" si="9"/>
        <v>12:50:2:6,</v>
      </c>
      <c r="AG17" s="35" t="str">
        <f t="shared" si="9"/>
        <v>13:20:20:50,</v>
      </c>
      <c r="AH17" s="35" t="str">
        <f t="shared" si="9"/>
        <v>14:20:2:5,</v>
      </c>
      <c r="AI17" s="35" t="str">
        <f t="shared" si="9"/>
        <v>15:10:80:150,</v>
      </c>
      <c r="AJ17" s="35" t="str">
        <f t="shared" si="9"/>
        <v>16:10:80:150,</v>
      </c>
      <c r="AK17" s="35" t="str">
        <f t="shared" si="9"/>
        <v>17:60:2:6,</v>
      </c>
      <c r="AL17" s="35" t="str">
        <f t="shared" si="9"/>
        <v>18:60:2:6,</v>
      </c>
      <c r="AM17" s="35" t="str">
        <f t="shared" si="9"/>
        <v/>
      </c>
      <c r="AN17" s="35" t="str">
        <f t="shared" si="9"/>
        <v/>
      </c>
    </row>
    <row r="18" spans="1:40">
      <c r="A18" s="4" t="str">
        <f t="shared" si="1"/>
        <v>1级绿护甲物理攻击</v>
      </c>
      <c r="B18" s="4" t="s">
        <v>203</v>
      </c>
      <c r="C18" s="4" t="s">
        <v>117</v>
      </c>
      <c r="D18" s="4">
        <v>1</v>
      </c>
      <c r="E18" s="4" t="s">
        <v>13</v>
      </c>
      <c r="F18" s="4">
        <f>VLOOKUP(E18,基础属性ID!A:B,2,0)</f>
        <v>3</v>
      </c>
      <c r="G18" s="4">
        <f>VLOOKUP(E18,基础属性ID!$A:$E,5,0)</f>
        <v>100</v>
      </c>
      <c r="H18" s="4">
        <v>1</v>
      </c>
      <c r="I18" s="4">
        <f t="shared" ref="I18:I23" si="10">H18*3</f>
        <v>3</v>
      </c>
      <c r="J18" s="4" t="str">
        <f t="shared" si="0"/>
        <v>3:100:1:3,</v>
      </c>
      <c r="M18" s="4" t="str">
        <f t="shared" si="4"/>
        <v>41级品质4武器</v>
      </c>
      <c r="N18" s="4" t="str">
        <f t="shared" si="5"/>
        <v>41级紫武器</v>
      </c>
      <c r="O18" s="33">
        <v>12004</v>
      </c>
      <c r="P18" s="34" t="str">
        <f t="shared" si="6"/>
        <v>1:100:20:60,2:100:10:20,3:100:7:21,4:100:7:21,5:100:7:21,6:100:7:21,7:20:1:2,8:20:1:3,9:50:5:15,10:50:5:15,11:50:4:12,12:50:4:12,13:20:50:150,14:20:3:8,15:10:1:2,16:10:1:2,17:60:3:9,18:60:3:9</v>
      </c>
      <c r="Q18" s="4">
        <v>41</v>
      </c>
      <c r="R18" s="4" t="s">
        <v>198</v>
      </c>
      <c r="S18" s="4" t="str">
        <f>IF(T18=1,"绿",VLOOKUP(T18,{1,"白";2,"绿";3,"蓝";4,"紫";5,"橙";6,"红"},2,0))</f>
        <v>紫</v>
      </c>
      <c r="T18" s="4">
        <v>4</v>
      </c>
      <c r="U18" s="35" t="str">
        <f t="shared" si="8"/>
        <v>1:100:20:60,</v>
      </c>
      <c r="V18" s="35" t="str">
        <f t="shared" si="8"/>
        <v>2:100:10:20,</v>
      </c>
      <c r="W18" s="35" t="str">
        <f t="shared" si="8"/>
        <v>3:100:7:21,</v>
      </c>
      <c r="X18" s="35" t="str">
        <f t="shared" si="8"/>
        <v>4:100:7:21,</v>
      </c>
      <c r="Y18" s="35" t="str">
        <f t="shared" si="8"/>
        <v>5:100:7:21,</v>
      </c>
      <c r="Z18" s="35" t="str">
        <f t="shared" si="8"/>
        <v>6:100:7:21,</v>
      </c>
      <c r="AA18" s="35" t="str">
        <f t="shared" si="8"/>
        <v>7:20:1:2,</v>
      </c>
      <c r="AB18" s="35" t="str">
        <f t="shared" si="8"/>
        <v>8:20:1:3,</v>
      </c>
      <c r="AC18" s="35" t="str">
        <f t="shared" si="8"/>
        <v>9:50:5:15,</v>
      </c>
      <c r="AD18" s="35" t="str">
        <f t="shared" si="8"/>
        <v>10:50:5:15,</v>
      </c>
      <c r="AE18" s="35" t="str">
        <f t="shared" si="9"/>
        <v>11:50:4:12,</v>
      </c>
      <c r="AF18" s="35" t="str">
        <f t="shared" si="9"/>
        <v>12:50:4:12,</v>
      </c>
      <c r="AG18" s="35" t="str">
        <f t="shared" si="9"/>
        <v>13:20:50:150,</v>
      </c>
      <c r="AH18" s="35" t="str">
        <f t="shared" si="9"/>
        <v>14:20:3:8,</v>
      </c>
      <c r="AI18" s="35" t="str">
        <f t="shared" si="9"/>
        <v>15:10:1:2,</v>
      </c>
      <c r="AJ18" s="35" t="str">
        <f t="shared" si="9"/>
        <v>16:10:1:2,</v>
      </c>
      <c r="AK18" s="35" t="str">
        <f t="shared" si="9"/>
        <v>17:60:3:9,</v>
      </c>
      <c r="AL18" s="35" t="str">
        <f t="shared" si="9"/>
        <v>18:60:3:9,</v>
      </c>
      <c r="AM18" s="35" t="str">
        <f t="shared" si="9"/>
        <v/>
      </c>
      <c r="AN18" s="35" t="str">
        <f t="shared" si="9"/>
        <v/>
      </c>
    </row>
    <row r="19" spans="1:40">
      <c r="A19" s="4" t="str">
        <f t="shared" si="1"/>
        <v>1级绿护甲魔法攻击</v>
      </c>
      <c r="B19" s="4" t="s">
        <v>203</v>
      </c>
      <c r="C19" s="4" t="s">
        <v>117</v>
      </c>
      <c r="D19" s="4">
        <v>1</v>
      </c>
      <c r="E19" s="4" t="s">
        <v>14</v>
      </c>
      <c r="F19" s="4">
        <f>VLOOKUP(E19,基础属性ID!A:B,2,0)</f>
        <v>4</v>
      </c>
      <c r="G19" s="4">
        <f>VLOOKUP(E19,基础属性ID!$A:$E,5,0)</f>
        <v>100</v>
      </c>
      <c r="H19" s="4">
        <v>1</v>
      </c>
      <c r="I19" s="4">
        <f t="shared" si="10"/>
        <v>3</v>
      </c>
      <c r="J19" s="4" t="str">
        <f t="shared" si="0"/>
        <v>4:100:1:3,</v>
      </c>
      <c r="M19" s="4" t="str">
        <f t="shared" si="4"/>
        <v>41级品质5武器</v>
      </c>
      <c r="N19" s="4" t="str">
        <f t="shared" si="5"/>
        <v>41级橙武器</v>
      </c>
      <c r="O19" s="33">
        <v>12005</v>
      </c>
      <c r="P19" s="34" t="str">
        <f t="shared" si="6"/>
        <v>1:100:25:75,2:100:14:28,3:100:8:24,4:100:8:24,5:100:8:24,6:100:8:24,7:20:1:3,8:20:1:4,9:50:6:18,10:50:6:18,11:50:6:18,12:50:6:18,13:20:150:300,14:20:5:10,15:10:150:300,16:10:150:300,17:60:4:12,18:60:4:12</v>
      </c>
      <c r="Q19" s="4">
        <v>41</v>
      </c>
      <c r="R19" s="4" t="s">
        <v>198</v>
      </c>
      <c r="S19" s="4" t="str">
        <f>IF(T19=1,"绿",VLOOKUP(T19,{1,"白";2,"绿";3,"蓝";4,"紫";5,"橙";6,"红"},2,0))</f>
        <v>橙</v>
      </c>
      <c r="T19" s="4">
        <v>5</v>
      </c>
      <c r="U19" s="35" t="str">
        <f t="shared" si="8"/>
        <v>1:100:25:75,</v>
      </c>
      <c r="V19" s="35" t="str">
        <f t="shared" si="8"/>
        <v>2:100:14:28,</v>
      </c>
      <c r="W19" s="35" t="str">
        <f t="shared" si="8"/>
        <v>3:100:8:24,</v>
      </c>
      <c r="X19" s="35" t="str">
        <f t="shared" si="8"/>
        <v>4:100:8:24,</v>
      </c>
      <c r="Y19" s="35" t="str">
        <f t="shared" si="8"/>
        <v>5:100:8:24,</v>
      </c>
      <c r="Z19" s="35" t="str">
        <f t="shared" si="8"/>
        <v>6:100:8:24,</v>
      </c>
      <c r="AA19" s="35" t="str">
        <f t="shared" si="8"/>
        <v>7:20:1:3,</v>
      </c>
      <c r="AB19" s="35" t="str">
        <f t="shared" si="8"/>
        <v>8:20:1:4,</v>
      </c>
      <c r="AC19" s="35" t="str">
        <f t="shared" si="8"/>
        <v>9:50:6:18,</v>
      </c>
      <c r="AD19" s="35" t="str">
        <f t="shared" si="8"/>
        <v>10:50:6:18,</v>
      </c>
      <c r="AE19" s="35" t="str">
        <f t="shared" si="9"/>
        <v>11:50:6:18,</v>
      </c>
      <c r="AF19" s="35" t="str">
        <f t="shared" si="9"/>
        <v>12:50:6:18,</v>
      </c>
      <c r="AG19" s="35" t="str">
        <f t="shared" si="9"/>
        <v>13:20:150:300,</v>
      </c>
      <c r="AH19" s="35" t="str">
        <f t="shared" si="9"/>
        <v>14:20:5:10,</v>
      </c>
      <c r="AI19" s="35" t="str">
        <f t="shared" si="9"/>
        <v>15:10:150:300,</v>
      </c>
      <c r="AJ19" s="35" t="str">
        <f t="shared" si="9"/>
        <v>16:10:150:300,</v>
      </c>
      <c r="AK19" s="35" t="str">
        <f t="shared" si="9"/>
        <v>17:60:4:12,</v>
      </c>
      <c r="AL19" s="35" t="str">
        <f t="shared" si="9"/>
        <v>18:60:4:12,</v>
      </c>
      <c r="AM19" s="35" t="str">
        <f t="shared" si="9"/>
        <v/>
      </c>
      <c r="AN19" s="35" t="str">
        <f t="shared" si="9"/>
        <v/>
      </c>
    </row>
    <row r="20" spans="1:40">
      <c r="A20" s="4" t="str">
        <f t="shared" si="1"/>
        <v>1级绿护甲道术攻击</v>
      </c>
      <c r="B20" s="4" t="s">
        <v>203</v>
      </c>
      <c r="C20" s="4" t="s">
        <v>117</v>
      </c>
      <c r="D20" s="4">
        <v>1</v>
      </c>
      <c r="E20" s="4" t="s">
        <v>15</v>
      </c>
      <c r="F20" s="4">
        <f>VLOOKUP(E20,基础属性ID!A:B,2,0)</f>
        <v>5</v>
      </c>
      <c r="G20" s="4">
        <f>VLOOKUP(E20,基础属性ID!$A:$E,5,0)</f>
        <v>100</v>
      </c>
      <c r="H20" s="4">
        <v>1</v>
      </c>
      <c r="I20" s="4">
        <f t="shared" si="10"/>
        <v>3</v>
      </c>
      <c r="J20" s="4" t="str">
        <f t="shared" si="0"/>
        <v>5:100:1:3,</v>
      </c>
      <c r="M20" s="4" t="str">
        <f t="shared" si="4"/>
        <v>41级品质6武器</v>
      </c>
      <c r="N20" s="4" t="str">
        <f t="shared" si="5"/>
        <v>41级红武器</v>
      </c>
      <c r="O20" s="33">
        <v>12006</v>
      </c>
      <c r="P20" s="34" t="str">
        <f t="shared" si="6"/>
        <v>1:100:40:120,2:100:21:42,3:100:11:33,4:100:11:33,5:100:11:33,6:100:11:33,7:20:1:5,8:20:1:5,9:50:8:24,10:50:8:24,11:50:8:24,12:50:8:24,13:20:300:500,14:20:10:20,15:10:2:5,16:10:2:5,17:60:5:15,18:60:5:15</v>
      </c>
      <c r="Q20" s="4">
        <v>41</v>
      </c>
      <c r="R20" s="4" t="s">
        <v>198</v>
      </c>
      <c r="S20" s="4" t="str">
        <f>IF(T20=1,"绿",VLOOKUP(T20,{1,"白";2,"绿";3,"蓝";4,"紫";5,"橙";6,"红"},2,0))</f>
        <v>红</v>
      </c>
      <c r="T20" s="4">
        <v>6</v>
      </c>
      <c r="U20" s="35" t="str">
        <f t="shared" si="8"/>
        <v>1:100:40:120,</v>
      </c>
      <c r="V20" s="35" t="str">
        <f t="shared" si="8"/>
        <v>2:100:21:42,</v>
      </c>
      <c r="W20" s="35" t="str">
        <f t="shared" si="8"/>
        <v>3:100:11:33,</v>
      </c>
      <c r="X20" s="35" t="str">
        <f t="shared" si="8"/>
        <v>4:100:11:33,</v>
      </c>
      <c r="Y20" s="35" t="str">
        <f t="shared" si="8"/>
        <v>5:100:11:33,</v>
      </c>
      <c r="Z20" s="35" t="str">
        <f t="shared" si="8"/>
        <v>6:100:11:33,</v>
      </c>
      <c r="AA20" s="35" t="str">
        <f t="shared" si="8"/>
        <v>7:20:1:5,</v>
      </c>
      <c r="AB20" s="35" t="str">
        <f t="shared" si="8"/>
        <v>8:20:1:5,</v>
      </c>
      <c r="AC20" s="35" t="str">
        <f t="shared" si="8"/>
        <v>9:50:8:24,</v>
      </c>
      <c r="AD20" s="35" t="str">
        <f t="shared" si="8"/>
        <v>10:50:8:24,</v>
      </c>
      <c r="AE20" s="35" t="str">
        <f t="shared" si="9"/>
        <v>11:50:8:24,</v>
      </c>
      <c r="AF20" s="35" t="str">
        <f t="shared" si="9"/>
        <v>12:50:8:24,</v>
      </c>
      <c r="AG20" s="35" t="str">
        <f t="shared" si="9"/>
        <v>13:20:300:500,</v>
      </c>
      <c r="AH20" s="35" t="str">
        <f t="shared" si="9"/>
        <v>14:20:10:20,</v>
      </c>
      <c r="AI20" s="35" t="str">
        <f t="shared" si="9"/>
        <v>15:10:2:5,</v>
      </c>
      <c r="AJ20" s="35" t="str">
        <f t="shared" si="9"/>
        <v>16:10:2:5,</v>
      </c>
      <c r="AK20" s="35" t="str">
        <f t="shared" si="9"/>
        <v>17:60:5:15,</v>
      </c>
      <c r="AL20" s="35" t="str">
        <f t="shared" si="9"/>
        <v>18:60:5:15,</v>
      </c>
      <c r="AM20" s="35" t="str">
        <f t="shared" si="9"/>
        <v/>
      </c>
      <c r="AN20" s="35" t="str">
        <f t="shared" si="9"/>
        <v/>
      </c>
    </row>
    <row r="21" spans="1:40">
      <c r="A21" s="4" t="str">
        <f t="shared" si="1"/>
        <v>1级绿护甲防御</v>
      </c>
      <c r="B21" s="4" t="s">
        <v>203</v>
      </c>
      <c r="C21" s="4" t="s">
        <v>117</v>
      </c>
      <c r="D21" s="4">
        <v>1</v>
      </c>
      <c r="E21" s="4" t="s">
        <v>17</v>
      </c>
      <c r="F21" s="4">
        <f>VLOOKUP(E21,基础属性ID!A:B,2,0)</f>
        <v>6</v>
      </c>
      <c r="G21" s="4">
        <f>VLOOKUP(E21,基础属性ID!$A:$E,5,0)</f>
        <v>100</v>
      </c>
      <c r="H21" s="4">
        <v>1</v>
      </c>
      <c r="I21" s="4">
        <f t="shared" si="10"/>
        <v>3</v>
      </c>
      <c r="J21" s="4" t="str">
        <f t="shared" si="0"/>
        <v>6:100:1:3,</v>
      </c>
      <c r="M21" s="4" t="str">
        <f t="shared" si="4"/>
        <v>61级品质1武器</v>
      </c>
      <c r="N21" s="4" t="str">
        <f t="shared" si="5"/>
        <v>61级绿武器</v>
      </c>
      <c r="O21" s="33">
        <v>13001</v>
      </c>
      <c r="P21" s="34" t="str">
        <f t="shared" si="6"/>
        <v>1:100:15:45,2:100:5:10,3:100:5:15,4:100:5:15,5:100:5:15,6:100:5:15,7:20:1:1,8:20:1:1,9:50:4:12,10:50:4:12,11:50:3:9,12:50:3:9,13:20:10:30,14:20:1:3,15:10:50:100,16:10:50:100,17:60:1:3,18:60:1:3</v>
      </c>
      <c r="Q21" s="4">
        <v>61</v>
      </c>
      <c r="R21" s="4" t="s">
        <v>198</v>
      </c>
      <c r="S21" s="4" t="str">
        <f>IF(T21=1,"绿",VLOOKUP(T21,{1,"白";2,"绿";3,"蓝";4,"紫";5,"橙";6,"红"},2,0))</f>
        <v>绿</v>
      </c>
      <c r="T21" s="4">
        <v>1</v>
      </c>
      <c r="U21" s="35" t="str">
        <f t="shared" si="8"/>
        <v>1:100:15:45,</v>
      </c>
      <c r="V21" s="35" t="str">
        <f t="shared" si="8"/>
        <v>2:100:5:10,</v>
      </c>
      <c r="W21" s="35" t="str">
        <f t="shared" si="8"/>
        <v>3:100:5:15,</v>
      </c>
      <c r="X21" s="35" t="str">
        <f t="shared" si="8"/>
        <v>4:100:5:15,</v>
      </c>
      <c r="Y21" s="35" t="str">
        <f t="shared" si="8"/>
        <v>5:100:5:15,</v>
      </c>
      <c r="Z21" s="35" t="str">
        <f t="shared" si="8"/>
        <v>6:100:5:15,</v>
      </c>
      <c r="AA21" s="35" t="str">
        <f t="shared" si="8"/>
        <v>7:20:1:1,</v>
      </c>
      <c r="AB21" s="35" t="str">
        <f t="shared" si="8"/>
        <v>8:20:1:1,</v>
      </c>
      <c r="AC21" s="35" t="str">
        <f t="shared" si="8"/>
        <v>9:50:4:12,</v>
      </c>
      <c r="AD21" s="35" t="str">
        <f t="shared" si="8"/>
        <v>10:50:4:12,</v>
      </c>
      <c r="AE21" s="35" t="str">
        <f t="shared" si="9"/>
        <v>11:50:3:9,</v>
      </c>
      <c r="AF21" s="35" t="str">
        <f t="shared" si="9"/>
        <v>12:50:3:9,</v>
      </c>
      <c r="AG21" s="35" t="str">
        <f t="shared" si="9"/>
        <v>13:20:10:30,</v>
      </c>
      <c r="AH21" s="35" t="str">
        <f t="shared" si="9"/>
        <v>14:20:1:3,</v>
      </c>
      <c r="AI21" s="35" t="str">
        <f t="shared" si="9"/>
        <v>15:10:50:100,</v>
      </c>
      <c r="AJ21" s="35" t="str">
        <f t="shared" si="9"/>
        <v>16:10:50:100,</v>
      </c>
      <c r="AK21" s="35" t="str">
        <f t="shared" si="9"/>
        <v>17:60:1:3,</v>
      </c>
      <c r="AL21" s="35" t="str">
        <f t="shared" si="9"/>
        <v>18:60:1:3,</v>
      </c>
      <c r="AM21" s="35" t="str">
        <f t="shared" si="9"/>
        <v/>
      </c>
      <c r="AN21" s="35" t="str">
        <f t="shared" si="9"/>
        <v/>
      </c>
    </row>
    <row r="22" spans="1:40">
      <c r="A22" s="4" t="str">
        <f t="shared" si="1"/>
        <v>1级绿护甲固定伤害</v>
      </c>
      <c r="B22" s="4" t="s">
        <v>203</v>
      </c>
      <c r="C22" s="4" t="s">
        <v>117</v>
      </c>
      <c r="D22" s="4">
        <v>1</v>
      </c>
      <c r="E22" s="4" t="s">
        <v>24</v>
      </c>
      <c r="F22" s="4">
        <f>VLOOKUP(E22,基础属性ID!A:B,2,0)</f>
        <v>9</v>
      </c>
      <c r="G22" s="4">
        <f>VLOOKUP(E22,基础属性ID!$A:$E,5,0)</f>
        <v>50</v>
      </c>
      <c r="H22" s="4">
        <v>1</v>
      </c>
      <c r="I22" s="4">
        <f t="shared" si="10"/>
        <v>3</v>
      </c>
      <c r="J22" s="4" t="str">
        <f t="shared" si="0"/>
        <v>9:50:1:3,</v>
      </c>
      <c r="M22" s="4" t="str">
        <f t="shared" si="4"/>
        <v>61级品质2武器</v>
      </c>
      <c r="N22" s="4" t="str">
        <f t="shared" si="5"/>
        <v>61级绿武器</v>
      </c>
      <c r="O22" s="33">
        <v>13002</v>
      </c>
      <c r="P22" s="34" t="str">
        <f t="shared" si="6"/>
        <v>1:100:15:45,2:100:5:10,3:100:5:15,4:100:5:15,5:100:5:15,6:100:5:15,7:20:1:1,8:20:1:1,9:50:4:12,10:50:4:12,11:50:3:9,12:50:3:9,13:20:10:30,14:20:1:3,15:10:50:100,16:10:50:100,17:60:1:3,18:60:1:3</v>
      </c>
      <c r="Q22" s="4">
        <v>61</v>
      </c>
      <c r="R22" s="4" t="s">
        <v>198</v>
      </c>
      <c r="S22" s="4" t="str">
        <f>IF(T22=1,"绿",VLOOKUP(T22,{1,"白";2,"绿";3,"蓝";4,"紫";5,"橙";6,"红"},2,0))</f>
        <v>绿</v>
      </c>
      <c r="T22" s="4">
        <v>2</v>
      </c>
      <c r="U22" s="35" t="str">
        <f t="shared" si="8"/>
        <v>1:100:15:45,</v>
      </c>
      <c r="V22" s="35" t="str">
        <f t="shared" si="8"/>
        <v>2:100:5:10,</v>
      </c>
      <c r="W22" s="35" t="str">
        <f t="shared" si="8"/>
        <v>3:100:5:15,</v>
      </c>
      <c r="X22" s="35" t="str">
        <f t="shared" si="8"/>
        <v>4:100:5:15,</v>
      </c>
      <c r="Y22" s="35" t="str">
        <f t="shared" si="8"/>
        <v>5:100:5:15,</v>
      </c>
      <c r="Z22" s="35" t="str">
        <f t="shared" si="8"/>
        <v>6:100:5:15,</v>
      </c>
      <c r="AA22" s="35" t="str">
        <f t="shared" si="8"/>
        <v>7:20:1:1,</v>
      </c>
      <c r="AB22" s="35" t="str">
        <f t="shared" si="8"/>
        <v>8:20:1:1,</v>
      </c>
      <c r="AC22" s="35" t="str">
        <f t="shared" si="8"/>
        <v>9:50:4:12,</v>
      </c>
      <c r="AD22" s="35" t="str">
        <f t="shared" si="8"/>
        <v>10:50:4:12,</v>
      </c>
      <c r="AE22" s="35" t="str">
        <f t="shared" si="9"/>
        <v>11:50:3:9,</v>
      </c>
      <c r="AF22" s="35" t="str">
        <f t="shared" si="9"/>
        <v>12:50:3:9,</v>
      </c>
      <c r="AG22" s="35" t="str">
        <f t="shared" si="9"/>
        <v>13:20:10:30,</v>
      </c>
      <c r="AH22" s="35" t="str">
        <f t="shared" si="9"/>
        <v>14:20:1:3,</v>
      </c>
      <c r="AI22" s="35" t="str">
        <f t="shared" si="9"/>
        <v>15:10:50:100,</v>
      </c>
      <c r="AJ22" s="35" t="str">
        <f t="shared" si="9"/>
        <v>16:10:50:100,</v>
      </c>
      <c r="AK22" s="35" t="str">
        <f t="shared" si="9"/>
        <v>17:60:1:3,</v>
      </c>
      <c r="AL22" s="35" t="str">
        <f t="shared" si="9"/>
        <v>18:60:1:3,</v>
      </c>
      <c r="AM22" s="35" t="str">
        <f t="shared" si="9"/>
        <v/>
      </c>
      <c r="AN22" s="35" t="str">
        <f t="shared" si="9"/>
        <v/>
      </c>
    </row>
    <row r="23" spans="1:40">
      <c r="A23" s="4" t="str">
        <f t="shared" si="1"/>
        <v>1级绿护甲固定减伤</v>
      </c>
      <c r="B23" s="4" t="s">
        <v>203</v>
      </c>
      <c r="C23" s="4" t="s">
        <v>117</v>
      </c>
      <c r="D23" s="4">
        <v>1</v>
      </c>
      <c r="E23" s="4" t="s">
        <v>25</v>
      </c>
      <c r="F23" s="4">
        <f>VLOOKUP(E23,基础属性ID!A:B,2,0)</f>
        <v>10</v>
      </c>
      <c r="G23" s="4">
        <f>VLOOKUP(E23,基础属性ID!$A:$E,5,0)</f>
        <v>50</v>
      </c>
      <c r="H23" s="4">
        <v>1</v>
      </c>
      <c r="I23" s="4">
        <f t="shared" si="10"/>
        <v>3</v>
      </c>
      <c r="J23" s="4" t="str">
        <f t="shared" si="0"/>
        <v>10:50:1:3,</v>
      </c>
      <c r="M23" s="4" t="str">
        <f t="shared" si="4"/>
        <v>61级品质3武器</v>
      </c>
      <c r="N23" s="4" t="str">
        <f t="shared" si="5"/>
        <v>61级蓝武器</v>
      </c>
      <c r="O23" s="33">
        <v>13003</v>
      </c>
      <c r="P23" s="34" t="str">
        <f t="shared" si="6"/>
        <v>1:100:20:60,2:100:10:20,3:100:6:18,4:100:6:18,5:100:6:18,6:100:6:18,7:20:1:1,8:20:1:2,9:50:5:15,10:50:5:15,11:50:4:12,12:50:4:12,13:20:20:50,14:20:2:5,15:10:80:150,16:10:80:150,17:60:2:6,18:60:2:6</v>
      </c>
      <c r="Q23" s="4">
        <v>61</v>
      </c>
      <c r="R23" s="4" t="s">
        <v>198</v>
      </c>
      <c r="S23" s="4" t="str">
        <f>IF(T23=1,"绿",VLOOKUP(T23,{1,"白";2,"绿";3,"蓝";4,"紫";5,"橙";6,"红"},2,0))</f>
        <v>蓝</v>
      </c>
      <c r="T23" s="4">
        <v>3</v>
      </c>
      <c r="U23" s="35" t="str">
        <f t="shared" ref="U23:AD32" si="11">IFERROR(VLOOKUP($N23&amp;U$2,$A:$J,10,0),"")</f>
        <v>1:100:20:60,</v>
      </c>
      <c r="V23" s="35" t="str">
        <f t="shared" si="11"/>
        <v>2:100:10:20,</v>
      </c>
      <c r="W23" s="35" t="str">
        <f t="shared" si="11"/>
        <v>3:100:6:18,</v>
      </c>
      <c r="X23" s="35" t="str">
        <f t="shared" si="11"/>
        <v>4:100:6:18,</v>
      </c>
      <c r="Y23" s="35" t="str">
        <f t="shared" si="11"/>
        <v>5:100:6:18,</v>
      </c>
      <c r="Z23" s="35" t="str">
        <f t="shared" si="11"/>
        <v>6:100:6:18,</v>
      </c>
      <c r="AA23" s="35" t="str">
        <f t="shared" si="11"/>
        <v>7:20:1:1,</v>
      </c>
      <c r="AB23" s="35" t="str">
        <f t="shared" si="11"/>
        <v>8:20:1:2,</v>
      </c>
      <c r="AC23" s="35" t="str">
        <f t="shared" si="11"/>
        <v>9:50:5:15,</v>
      </c>
      <c r="AD23" s="35" t="str">
        <f t="shared" si="11"/>
        <v>10:50:5:15,</v>
      </c>
      <c r="AE23" s="35" t="str">
        <f t="shared" ref="AE23:AN32" si="12">IFERROR(VLOOKUP($N23&amp;AE$2,$A:$J,10,0),"")</f>
        <v>11:50:4:12,</v>
      </c>
      <c r="AF23" s="35" t="str">
        <f t="shared" si="12"/>
        <v>12:50:4:12,</v>
      </c>
      <c r="AG23" s="35" t="str">
        <f t="shared" si="12"/>
        <v>13:20:20:50,</v>
      </c>
      <c r="AH23" s="35" t="str">
        <f t="shared" si="12"/>
        <v>14:20:2:5,</v>
      </c>
      <c r="AI23" s="35" t="str">
        <f t="shared" si="12"/>
        <v>15:10:80:150,</v>
      </c>
      <c r="AJ23" s="35" t="str">
        <f t="shared" si="12"/>
        <v>16:10:80:150,</v>
      </c>
      <c r="AK23" s="35" t="str">
        <f t="shared" si="12"/>
        <v>17:60:2:6,</v>
      </c>
      <c r="AL23" s="35" t="str">
        <f t="shared" si="12"/>
        <v>18:60:2:6,</v>
      </c>
      <c r="AM23" s="35" t="str">
        <f t="shared" si="12"/>
        <v/>
      </c>
      <c r="AN23" s="35" t="str">
        <f t="shared" si="12"/>
        <v/>
      </c>
    </row>
    <row r="24" spans="1:40">
      <c r="A24" s="4" t="str">
        <f t="shared" si="1"/>
        <v>1级绿护甲生命吸取</v>
      </c>
      <c r="B24" s="4" t="s">
        <v>203</v>
      </c>
      <c r="C24" s="4" t="s">
        <v>117</v>
      </c>
      <c r="D24" s="4">
        <v>1</v>
      </c>
      <c r="E24" s="4" t="s">
        <v>28</v>
      </c>
      <c r="F24" s="4">
        <f>VLOOKUP(E24,基础属性ID!A:B,2,0)</f>
        <v>11</v>
      </c>
      <c r="G24" s="4">
        <f>VLOOKUP(E24,基础属性ID!$A:$E,5,0)</f>
        <v>50</v>
      </c>
      <c r="H24" s="4">
        <v>1</v>
      </c>
      <c r="I24" s="4">
        <f t="shared" ref="I24:I25" si="13">H24*3</f>
        <v>3</v>
      </c>
      <c r="J24" s="4" t="str">
        <f t="shared" si="0"/>
        <v>11:50:1:3,</v>
      </c>
      <c r="M24" s="4" t="str">
        <f t="shared" si="4"/>
        <v>61级品质4武器</v>
      </c>
      <c r="N24" s="4" t="str">
        <f t="shared" si="5"/>
        <v>61级紫武器</v>
      </c>
      <c r="O24" s="33">
        <v>13004</v>
      </c>
      <c r="P24" s="34" t="str">
        <f t="shared" si="6"/>
        <v>1:100:30:90,2:100:12:25,3:100:10:30,4:100:10:30,5:100:10:30,6:100:10:30,7:20:1:2,8:20:1:3,9:50:6:18,10:50:6:18,11:50:5:15,12:50:5:15,13:20:50:150,14:20:3:8,15:10:1:2,16:10:1:2,17:60:3:9,18:60:3:9</v>
      </c>
      <c r="Q24" s="4">
        <v>61</v>
      </c>
      <c r="R24" s="4" t="s">
        <v>198</v>
      </c>
      <c r="S24" s="4" t="str">
        <f>IF(T24=1,"绿",VLOOKUP(T24,{1,"白";2,"绿";3,"蓝";4,"紫";5,"橙";6,"红"},2,0))</f>
        <v>紫</v>
      </c>
      <c r="T24" s="4">
        <v>4</v>
      </c>
      <c r="U24" s="35" t="str">
        <f t="shared" si="11"/>
        <v>1:100:30:90,</v>
      </c>
      <c r="V24" s="35" t="str">
        <f t="shared" si="11"/>
        <v>2:100:12:25,</v>
      </c>
      <c r="W24" s="35" t="str">
        <f t="shared" si="11"/>
        <v>3:100:10:30,</v>
      </c>
      <c r="X24" s="35" t="str">
        <f t="shared" si="11"/>
        <v>4:100:10:30,</v>
      </c>
      <c r="Y24" s="35" t="str">
        <f t="shared" si="11"/>
        <v>5:100:10:30,</v>
      </c>
      <c r="Z24" s="35" t="str">
        <f t="shared" si="11"/>
        <v>6:100:10:30,</v>
      </c>
      <c r="AA24" s="35" t="str">
        <f t="shared" si="11"/>
        <v>7:20:1:2,</v>
      </c>
      <c r="AB24" s="35" t="str">
        <f t="shared" si="11"/>
        <v>8:20:1:3,</v>
      </c>
      <c r="AC24" s="35" t="str">
        <f t="shared" si="11"/>
        <v>9:50:6:18,</v>
      </c>
      <c r="AD24" s="35" t="str">
        <f t="shared" si="11"/>
        <v>10:50:6:18,</v>
      </c>
      <c r="AE24" s="35" t="str">
        <f t="shared" si="12"/>
        <v>11:50:5:15,</v>
      </c>
      <c r="AF24" s="35" t="str">
        <f t="shared" si="12"/>
        <v>12:50:5:15,</v>
      </c>
      <c r="AG24" s="35" t="str">
        <f t="shared" si="12"/>
        <v>13:20:50:150,</v>
      </c>
      <c r="AH24" s="35" t="str">
        <f t="shared" si="12"/>
        <v>14:20:3:8,</v>
      </c>
      <c r="AI24" s="35" t="str">
        <f t="shared" si="12"/>
        <v>15:10:1:2,</v>
      </c>
      <c r="AJ24" s="35" t="str">
        <f t="shared" si="12"/>
        <v>16:10:1:2,</v>
      </c>
      <c r="AK24" s="35" t="str">
        <f t="shared" si="12"/>
        <v>17:60:3:9,</v>
      </c>
      <c r="AL24" s="35" t="str">
        <f t="shared" si="12"/>
        <v>18:60:3:9,</v>
      </c>
      <c r="AM24" s="35" t="str">
        <f t="shared" si="12"/>
        <v/>
      </c>
      <c r="AN24" s="35" t="str">
        <f t="shared" si="12"/>
        <v/>
      </c>
    </row>
    <row r="25" spans="1:40">
      <c r="A25" s="4" t="str">
        <f t="shared" si="1"/>
        <v>1级绿护甲法力吸取</v>
      </c>
      <c r="B25" s="4" t="s">
        <v>203</v>
      </c>
      <c r="C25" s="4" t="s">
        <v>117</v>
      </c>
      <c r="D25" s="4">
        <v>1</v>
      </c>
      <c r="E25" s="4" t="s">
        <v>29</v>
      </c>
      <c r="F25" s="4">
        <f>VLOOKUP(E25,基础属性ID!A:B,2,0)</f>
        <v>12</v>
      </c>
      <c r="G25" s="4">
        <f>VLOOKUP(E25,基础属性ID!$A:$E,5,0)</f>
        <v>50</v>
      </c>
      <c r="H25" s="4">
        <v>1</v>
      </c>
      <c r="I25" s="4">
        <f t="shared" si="13"/>
        <v>3</v>
      </c>
      <c r="J25" s="4" t="str">
        <f t="shared" si="0"/>
        <v>12:50:1:3,</v>
      </c>
      <c r="M25" s="4" t="str">
        <f t="shared" si="4"/>
        <v>61级品质5武器</v>
      </c>
      <c r="N25" s="4" t="str">
        <f t="shared" si="5"/>
        <v>61级橙武器</v>
      </c>
      <c r="O25" s="33">
        <v>13005</v>
      </c>
      <c r="P25" s="34" t="str">
        <f t="shared" si="6"/>
        <v>1:100:40:120,2:100:16:32,3:100:12:36,4:100:12:36,5:100:12:36,6:100:12:36,7:20:1:3,8:20:1:4,9:50:7:21,10:50:7:21,11:50:8:24,12:50:8:24,13:20:150:300,14:20:5:10,15:10:150:300,16:10:150:300,17:60:4:12,18:60:4:12</v>
      </c>
      <c r="Q25" s="4">
        <v>61</v>
      </c>
      <c r="R25" s="4" t="s">
        <v>198</v>
      </c>
      <c r="S25" s="4" t="str">
        <f>IF(T25=1,"绿",VLOOKUP(T25,{1,"白";2,"绿";3,"蓝";4,"紫";5,"橙";6,"红"},2,0))</f>
        <v>橙</v>
      </c>
      <c r="T25" s="4">
        <v>5</v>
      </c>
      <c r="U25" s="35" t="str">
        <f t="shared" si="11"/>
        <v>1:100:40:120,</v>
      </c>
      <c r="V25" s="35" t="str">
        <f t="shared" si="11"/>
        <v>2:100:16:32,</v>
      </c>
      <c r="W25" s="35" t="str">
        <f t="shared" si="11"/>
        <v>3:100:12:36,</v>
      </c>
      <c r="X25" s="35" t="str">
        <f t="shared" si="11"/>
        <v>4:100:12:36,</v>
      </c>
      <c r="Y25" s="35" t="str">
        <f t="shared" si="11"/>
        <v>5:100:12:36,</v>
      </c>
      <c r="Z25" s="35" t="str">
        <f t="shared" si="11"/>
        <v>6:100:12:36,</v>
      </c>
      <c r="AA25" s="35" t="str">
        <f t="shared" si="11"/>
        <v>7:20:1:3,</v>
      </c>
      <c r="AB25" s="35" t="str">
        <f t="shared" si="11"/>
        <v>8:20:1:4,</v>
      </c>
      <c r="AC25" s="35" t="str">
        <f t="shared" si="11"/>
        <v>9:50:7:21,</v>
      </c>
      <c r="AD25" s="35" t="str">
        <f t="shared" si="11"/>
        <v>10:50:7:21,</v>
      </c>
      <c r="AE25" s="35" t="str">
        <f t="shared" si="12"/>
        <v>11:50:8:24,</v>
      </c>
      <c r="AF25" s="35" t="str">
        <f t="shared" si="12"/>
        <v>12:50:8:24,</v>
      </c>
      <c r="AG25" s="35" t="str">
        <f t="shared" si="12"/>
        <v>13:20:150:300,</v>
      </c>
      <c r="AH25" s="35" t="str">
        <f t="shared" si="12"/>
        <v>14:20:5:10,</v>
      </c>
      <c r="AI25" s="35" t="str">
        <f t="shared" si="12"/>
        <v>15:10:150:300,</v>
      </c>
      <c r="AJ25" s="35" t="str">
        <f t="shared" si="12"/>
        <v>16:10:150:300,</v>
      </c>
      <c r="AK25" s="35" t="str">
        <f t="shared" si="12"/>
        <v>17:60:4:12,</v>
      </c>
      <c r="AL25" s="35" t="str">
        <f t="shared" si="12"/>
        <v>18:60:4:12,</v>
      </c>
      <c r="AM25" s="35" t="str">
        <f t="shared" si="12"/>
        <v/>
      </c>
      <c r="AN25" s="35" t="str">
        <f t="shared" si="12"/>
        <v/>
      </c>
    </row>
    <row r="26" spans="1:40">
      <c r="A26" s="4" t="str">
        <f t="shared" si="1"/>
        <v>1级绿护甲暴击几率</v>
      </c>
      <c r="B26" s="4" t="s">
        <v>203</v>
      </c>
      <c r="C26" s="4" t="s">
        <v>117</v>
      </c>
      <c r="D26" s="4">
        <v>1</v>
      </c>
      <c r="E26" s="4" t="s">
        <v>21</v>
      </c>
      <c r="F26" s="4">
        <f>VLOOKUP(E26,基础属性ID!A:B,2,0)</f>
        <v>13</v>
      </c>
      <c r="G26" s="4">
        <f>VLOOKUP(E26,基础属性ID!$A:$E,5,0)</f>
        <v>20</v>
      </c>
      <c r="H26" s="4">
        <v>10</v>
      </c>
      <c r="I26" s="4">
        <v>30</v>
      </c>
      <c r="J26" s="4" t="str">
        <f t="shared" si="0"/>
        <v>13:20:10:30,</v>
      </c>
      <c r="M26" s="4" t="str">
        <f t="shared" si="4"/>
        <v>61级品质6武器</v>
      </c>
      <c r="N26" s="4" t="str">
        <f t="shared" si="5"/>
        <v>61级红武器</v>
      </c>
      <c r="O26" s="33">
        <v>13006</v>
      </c>
      <c r="P26" s="34" t="str">
        <f t="shared" si="6"/>
        <v>1:100:60:180,2:100:24:48,3:100:15:45,4:100:15:45,5:100:15:45,6:100:15:45,7:20:1:5,8:20:1:5,9:50:10:30,10:50:10:30,11:50:10:30,12:50:10:30,13:20:300:500,14:20:10:20,15:10:2:5,16:10:2:5,17:60:5:15,18:60:5:15</v>
      </c>
      <c r="Q26" s="4">
        <v>61</v>
      </c>
      <c r="R26" s="4" t="s">
        <v>198</v>
      </c>
      <c r="S26" s="4" t="str">
        <f>IF(T26=1,"绿",VLOOKUP(T26,{1,"白";2,"绿";3,"蓝";4,"紫";5,"橙";6,"红"},2,0))</f>
        <v>红</v>
      </c>
      <c r="T26" s="4">
        <v>6</v>
      </c>
      <c r="U26" s="35" t="str">
        <f t="shared" si="11"/>
        <v>1:100:60:180,</v>
      </c>
      <c r="V26" s="35" t="str">
        <f t="shared" si="11"/>
        <v>2:100:24:48,</v>
      </c>
      <c r="W26" s="35" t="str">
        <f t="shared" si="11"/>
        <v>3:100:15:45,</v>
      </c>
      <c r="X26" s="35" t="str">
        <f t="shared" si="11"/>
        <v>4:100:15:45,</v>
      </c>
      <c r="Y26" s="35" t="str">
        <f t="shared" si="11"/>
        <v>5:100:15:45,</v>
      </c>
      <c r="Z26" s="35" t="str">
        <f t="shared" si="11"/>
        <v>6:100:15:45,</v>
      </c>
      <c r="AA26" s="35" t="str">
        <f t="shared" si="11"/>
        <v>7:20:1:5,</v>
      </c>
      <c r="AB26" s="35" t="str">
        <f t="shared" si="11"/>
        <v>8:20:1:5,</v>
      </c>
      <c r="AC26" s="35" t="str">
        <f t="shared" si="11"/>
        <v>9:50:10:30,</v>
      </c>
      <c r="AD26" s="35" t="str">
        <f t="shared" si="11"/>
        <v>10:50:10:30,</v>
      </c>
      <c r="AE26" s="35" t="str">
        <f t="shared" si="12"/>
        <v>11:50:10:30,</v>
      </c>
      <c r="AF26" s="35" t="str">
        <f t="shared" si="12"/>
        <v>12:50:10:30,</v>
      </c>
      <c r="AG26" s="35" t="str">
        <f t="shared" si="12"/>
        <v>13:20:300:500,</v>
      </c>
      <c r="AH26" s="35" t="str">
        <f t="shared" si="12"/>
        <v>14:20:10:20,</v>
      </c>
      <c r="AI26" s="35" t="str">
        <f t="shared" si="12"/>
        <v>15:10:2:5,</v>
      </c>
      <c r="AJ26" s="35" t="str">
        <f t="shared" si="12"/>
        <v>16:10:2:5,</v>
      </c>
      <c r="AK26" s="35" t="str">
        <f t="shared" si="12"/>
        <v>17:60:5:15,</v>
      </c>
      <c r="AL26" s="35" t="str">
        <f t="shared" si="12"/>
        <v>18:60:5:15,</v>
      </c>
      <c r="AM26" s="35" t="str">
        <f t="shared" si="12"/>
        <v/>
      </c>
      <c r="AN26" s="35" t="str">
        <f t="shared" si="12"/>
        <v/>
      </c>
    </row>
    <row r="27" spans="1:40">
      <c r="A27" s="4" t="str">
        <f t="shared" si="1"/>
        <v>1级绿护甲爆击伤害</v>
      </c>
      <c r="B27" s="4" t="s">
        <v>203</v>
      </c>
      <c r="C27" s="4" t="s">
        <v>117</v>
      </c>
      <c r="D27" s="4">
        <v>1</v>
      </c>
      <c r="E27" s="4" t="s">
        <v>76</v>
      </c>
      <c r="F27" s="4">
        <f>VLOOKUP(E27,基础属性ID!A:B,2,0)</f>
        <v>14</v>
      </c>
      <c r="G27" s="4">
        <f>VLOOKUP(E27,基础属性ID!$A:$E,5,0)</f>
        <v>20</v>
      </c>
      <c r="H27" s="4">
        <v>1</v>
      </c>
      <c r="I27" s="4">
        <v>3</v>
      </c>
      <c r="J27" s="4" t="str">
        <f t="shared" si="0"/>
        <v>14:20:1:3,</v>
      </c>
      <c r="M27" s="4" t="str">
        <f t="shared" si="4"/>
        <v>1级品质1护甲</v>
      </c>
      <c r="N27" s="4" t="str">
        <f t="shared" si="5"/>
        <v>1级绿护甲</v>
      </c>
      <c r="O27" s="33">
        <f>O3+10000</f>
        <v>20001</v>
      </c>
      <c r="P27" s="34" t="str">
        <f t="shared" si="6"/>
        <v>1:100:1:5,2:100:2:5,3:100:1:3,4:100:1:3,5:100:1:3,6:100:1:3,9:50:1:3,10:50:1:3,11:50:1:3,12:50:1:3,13:20:10:30,14:20:1:3,17:60:1:3,18:60:1:3</v>
      </c>
      <c r="Q27" s="4">
        <v>1</v>
      </c>
      <c r="R27" s="4" t="s">
        <v>203</v>
      </c>
      <c r="S27" s="4" t="str">
        <f>IF(T27=1,"绿",VLOOKUP(T27,{1,"白";2,"绿";3,"蓝";4,"紫";5,"橙";6,"红"},2,0))</f>
        <v>绿</v>
      </c>
      <c r="T27" s="4">
        <v>1</v>
      </c>
      <c r="U27" s="35" t="str">
        <f t="shared" si="11"/>
        <v>1:100:1:5,</v>
      </c>
      <c r="V27" s="35" t="str">
        <f t="shared" si="11"/>
        <v>2:100:2:5,</v>
      </c>
      <c r="W27" s="35" t="str">
        <f t="shared" si="11"/>
        <v>3:100:1:3,</v>
      </c>
      <c r="X27" s="35" t="str">
        <f t="shared" si="11"/>
        <v>4:100:1:3,</v>
      </c>
      <c r="Y27" s="35" t="str">
        <f t="shared" si="11"/>
        <v>5:100:1:3,</v>
      </c>
      <c r="Z27" s="35" t="str">
        <f t="shared" si="11"/>
        <v>6:100:1:3,</v>
      </c>
      <c r="AA27" s="35" t="str">
        <f t="shared" si="11"/>
        <v/>
      </c>
      <c r="AB27" s="35" t="str">
        <f t="shared" si="11"/>
        <v/>
      </c>
      <c r="AC27" s="35" t="str">
        <f t="shared" si="11"/>
        <v>9:50:1:3,</v>
      </c>
      <c r="AD27" s="35" t="str">
        <f t="shared" si="11"/>
        <v>10:50:1:3,</v>
      </c>
      <c r="AE27" s="35" t="str">
        <f t="shared" si="12"/>
        <v>11:50:1:3,</v>
      </c>
      <c r="AF27" s="35" t="str">
        <f t="shared" si="12"/>
        <v>12:50:1:3,</v>
      </c>
      <c r="AG27" s="35" t="str">
        <f t="shared" si="12"/>
        <v>13:20:10:30,</v>
      </c>
      <c r="AH27" s="35" t="str">
        <f t="shared" si="12"/>
        <v>14:20:1:3,</v>
      </c>
      <c r="AI27" s="35" t="str">
        <f t="shared" si="12"/>
        <v/>
      </c>
      <c r="AJ27" s="35" t="str">
        <f t="shared" si="12"/>
        <v/>
      </c>
      <c r="AK27" s="35" t="str">
        <f t="shared" si="12"/>
        <v>17:60:1:3,</v>
      </c>
      <c r="AL27" s="35" t="str">
        <f t="shared" si="12"/>
        <v>18:60:1:3,</v>
      </c>
      <c r="AM27" s="35" t="str">
        <f t="shared" si="12"/>
        <v/>
      </c>
      <c r="AN27" s="35" t="str">
        <f t="shared" si="12"/>
        <v/>
      </c>
    </row>
    <row r="28" spans="1:40">
      <c r="A28" s="4" t="str">
        <f t="shared" si="1"/>
        <v>1级绿护甲装备掉率</v>
      </c>
      <c r="B28" s="4" t="s">
        <v>203</v>
      </c>
      <c r="C28" s="4" t="s">
        <v>117</v>
      </c>
      <c r="D28" s="4">
        <v>1</v>
      </c>
      <c r="E28" s="4" t="s">
        <v>30</v>
      </c>
      <c r="F28" s="4">
        <f>VLOOKUP(E28,基础属性ID!A:B,2,0)</f>
        <v>17</v>
      </c>
      <c r="G28" s="4">
        <f>VLOOKUP(E28,基础属性ID!$A:$E,5,0)</f>
        <v>60</v>
      </c>
      <c r="H28" s="4">
        <v>1</v>
      </c>
      <c r="I28" s="4">
        <f t="shared" ref="I28:I29" si="14">H28*3</f>
        <v>3</v>
      </c>
      <c r="J28" s="4" t="str">
        <f t="shared" si="0"/>
        <v>17:60:1:3,</v>
      </c>
      <c r="M28" s="4" t="str">
        <f t="shared" si="4"/>
        <v>1级品质2护甲</v>
      </c>
      <c r="N28" s="4" t="str">
        <f t="shared" si="5"/>
        <v>1级绿护甲</v>
      </c>
      <c r="O28" s="33">
        <f t="shared" ref="O28:O91" si="15">O4+10000</f>
        <v>20002</v>
      </c>
      <c r="P28" s="34" t="str">
        <f t="shared" si="6"/>
        <v>1:100:1:5,2:100:2:5,3:100:1:3,4:100:1:3,5:100:1:3,6:100:1:3,9:50:1:3,10:50:1:3,11:50:1:3,12:50:1:3,13:20:10:30,14:20:1:3,17:60:1:3,18:60:1:3</v>
      </c>
      <c r="Q28" s="4">
        <v>1</v>
      </c>
      <c r="R28" s="4" t="s">
        <v>203</v>
      </c>
      <c r="S28" s="4" t="str">
        <f>IF(T28=1,"绿",VLOOKUP(T28,{1,"白";2,"绿";3,"蓝";4,"紫";5,"橙";6,"红"},2,0))</f>
        <v>绿</v>
      </c>
      <c r="T28" s="4">
        <v>2</v>
      </c>
      <c r="U28" s="35" t="str">
        <f t="shared" si="11"/>
        <v>1:100:1:5,</v>
      </c>
      <c r="V28" s="35" t="str">
        <f t="shared" si="11"/>
        <v>2:100:2:5,</v>
      </c>
      <c r="W28" s="35" t="str">
        <f t="shared" si="11"/>
        <v>3:100:1:3,</v>
      </c>
      <c r="X28" s="35" t="str">
        <f t="shared" si="11"/>
        <v>4:100:1:3,</v>
      </c>
      <c r="Y28" s="35" t="str">
        <f t="shared" si="11"/>
        <v>5:100:1:3,</v>
      </c>
      <c r="Z28" s="35" t="str">
        <f t="shared" si="11"/>
        <v>6:100:1:3,</v>
      </c>
      <c r="AA28" s="35" t="str">
        <f t="shared" si="11"/>
        <v/>
      </c>
      <c r="AB28" s="35" t="str">
        <f t="shared" si="11"/>
        <v/>
      </c>
      <c r="AC28" s="35" t="str">
        <f t="shared" si="11"/>
        <v>9:50:1:3,</v>
      </c>
      <c r="AD28" s="35" t="str">
        <f t="shared" si="11"/>
        <v>10:50:1:3,</v>
      </c>
      <c r="AE28" s="35" t="str">
        <f t="shared" si="12"/>
        <v>11:50:1:3,</v>
      </c>
      <c r="AF28" s="35" t="str">
        <f t="shared" si="12"/>
        <v>12:50:1:3,</v>
      </c>
      <c r="AG28" s="35" t="str">
        <f t="shared" si="12"/>
        <v>13:20:10:30,</v>
      </c>
      <c r="AH28" s="35" t="str">
        <f t="shared" si="12"/>
        <v>14:20:1:3,</v>
      </c>
      <c r="AI28" s="35" t="str">
        <f t="shared" si="12"/>
        <v/>
      </c>
      <c r="AJ28" s="35" t="str">
        <f t="shared" si="12"/>
        <v/>
      </c>
      <c r="AK28" s="35" t="str">
        <f t="shared" si="12"/>
        <v>17:60:1:3,</v>
      </c>
      <c r="AL28" s="35" t="str">
        <f t="shared" si="12"/>
        <v>18:60:1:3,</v>
      </c>
      <c r="AM28" s="35" t="str">
        <f t="shared" si="12"/>
        <v/>
      </c>
      <c r="AN28" s="35" t="str">
        <f t="shared" si="12"/>
        <v/>
      </c>
    </row>
    <row r="29" spans="1:40">
      <c r="A29" s="4" t="str">
        <f t="shared" si="1"/>
        <v>1级绿护甲极品掉率</v>
      </c>
      <c r="B29" s="4" t="s">
        <v>203</v>
      </c>
      <c r="C29" s="4" t="s">
        <v>117</v>
      </c>
      <c r="D29" s="4">
        <v>1</v>
      </c>
      <c r="E29" s="4" t="s">
        <v>31</v>
      </c>
      <c r="F29" s="4">
        <f>VLOOKUP(E29,基础属性ID!A:B,2,0)</f>
        <v>18</v>
      </c>
      <c r="G29" s="4">
        <f>VLOOKUP(E29,基础属性ID!$A:$E,5,0)</f>
        <v>60</v>
      </c>
      <c r="H29" s="4">
        <v>1</v>
      </c>
      <c r="I29" s="4">
        <f t="shared" si="14"/>
        <v>3</v>
      </c>
      <c r="J29" s="4" t="str">
        <f t="shared" si="0"/>
        <v>18:60:1:3,</v>
      </c>
      <c r="M29" s="4" t="str">
        <f t="shared" si="4"/>
        <v>1级品质3护甲</v>
      </c>
      <c r="N29" s="4" t="str">
        <f t="shared" si="5"/>
        <v>1级蓝护甲</v>
      </c>
      <c r="O29" s="33">
        <f t="shared" si="15"/>
        <v>20003</v>
      </c>
      <c r="P29" s="34" t="str">
        <f t="shared" si="6"/>
        <v>1:100:4:12,2:100:4:10,3:100:2:6,4:100:2:6,5:100:2:6,6:100:2:6,9:50:2:6,10:50:2:6,11:50:1:3,12:50:1:3,13:20:20:50,14:20:2:5,17:60:2:6,18:60:2:6</v>
      </c>
      <c r="Q29" s="4">
        <v>1</v>
      </c>
      <c r="R29" s="4" t="s">
        <v>203</v>
      </c>
      <c r="S29" s="4" t="str">
        <f>IF(T29=1,"绿",VLOOKUP(T29,{1,"白";2,"绿";3,"蓝";4,"紫";5,"橙";6,"红"},2,0))</f>
        <v>蓝</v>
      </c>
      <c r="T29" s="4">
        <v>3</v>
      </c>
      <c r="U29" s="35" t="str">
        <f t="shared" si="11"/>
        <v>1:100:4:12,</v>
      </c>
      <c r="V29" s="35" t="str">
        <f t="shared" si="11"/>
        <v>2:100:4:10,</v>
      </c>
      <c r="W29" s="35" t="str">
        <f t="shared" si="11"/>
        <v>3:100:2:6,</v>
      </c>
      <c r="X29" s="35" t="str">
        <f t="shared" si="11"/>
        <v>4:100:2:6,</v>
      </c>
      <c r="Y29" s="35" t="str">
        <f t="shared" si="11"/>
        <v>5:100:2:6,</v>
      </c>
      <c r="Z29" s="35" t="str">
        <f t="shared" si="11"/>
        <v>6:100:2:6,</v>
      </c>
      <c r="AA29" s="35" t="str">
        <f t="shared" si="11"/>
        <v/>
      </c>
      <c r="AB29" s="35" t="str">
        <f t="shared" si="11"/>
        <v/>
      </c>
      <c r="AC29" s="35" t="str">
        <f t="shared" si="11"/>
        <v>9:50:2:6,</v>
      </c>
      <c r="AD29" s="35" t="str">
        <f t="shared" si="11"/>
        <v>10:50:2:6,</v>
      </c>
      <c r="AE29" s="35" t="str">
        <f t="shared" si="12"/>
        <v>11:50:1:3,</v>
      </c>
      <c r="AF29" s="35" t="str">
        <f t="shared" si="12"/>
        <v>12:50:1:3,</v>
      </c>
      <c r="AG29" s="35" t="str">
        <f t="shared" si="12"/>
        <v>13:20:20:50,</v>
      </c>
      <c r="AH29" s="35" t="str">
        <f t="shared" si="12"/>
        <v>14:20:2:5,</v>
      </c>
      <c r="AI29" s="35" t="str">
        <f t="shared" si="12"/>
        <v/>
      </c>
      <c r="AJ29" s="35" t="str">
        <f t="shared" si="12"/>
        <v/>
      </c>
      <c r="AK29" s="35" t="str">
        <f t="shared" si="12"/>
        <v>17:60:2:6,</v>
      </c>
      <c r="AL29" s="35" t="str">
        <f t="shared" si="12"/>
        <v>18:60:2:6,</v>
      </c>
      <c r="AM29" s="35" t="str">
        <f t="shared" si="12"/>
        <v/>
      </c>
      <c r="AN29" s="35" t="str">
        <f t="shared" si="12"/>
        <v/>
      </c>
    </row>
    <row r="30" spans="1:40">
      <c r="A30" s="4" t="str">
        <f t="shared" si="1"/>
        <v>1级绿项链生命值</v>
      </c>
      <c r="B30" s="4" t="s">
        <v>215</v>
      </c>
      <c r="C30" s="4" t="s">
        <v>117</v>
      </c>
      <c r="D30" s="4">
        <v>1</v>
      </c>
      <c r="E30" s="4" t="s">
        <v>74</v>
      </c>
      <c r="F30" s="4">
        <f>VLOOKUP(E30,基础属性ID!A:B,2,0)</f>
        <v>1</v>
      </c>
      <c r="G30" s="4">
        <f>VLOOKUP(E30,基础属性ID!$A:$E,5,0)</f>
        <v>100</v>
      </c>
      <c r="H30" s="4">
        <v>1</v>
      </c>
      <c r="I30" s="4">
        <v>5</v>
      </c>
      <c r="J30" s="4" t="str">
        <f t="shared" si="0"/>
        <v>1:100:1:5,</v>
      </c>
      <c r="M30" s="4" t="str">
        <f t="shared" si="4"/>
        <v>1级品质4护甲</v>
      </c>
      <c r="N30" s="4" t="str">
        <f t="shared" si="5"/>
        <v>1级紫护甲</v>
      </c>
      <c r="O30" s="33">
        <f t="shared" si="15"/>
        <v>20004</v>
      </c>
      <c r="P30" s="34" t="str">
        <f t="shared" si="6"/>
        <v>1:100:6:18,2:100:6:15,3:100:3:9,4:100:3:9,5:100:3:9,6:100:3:9,9:50:3:9,10:50:3:9,11:50:2:6,12:50:2:6,13:20:50:150,14:20:3:8,17:60:3:9,18:60:3:9</v>
      </c>
      <c r="Q30" s="4">
        <v>1</v>
      </c>
      <c r="R30" s="4" t="s">
        <v>203</v>
      </c>
      <c r="S30" s="4" t="str">
        <f>IF(T30=1,"绿",VLOOKUP(T30,{1,"白";2,"绿";3,"蓝";4,"紫";5,"橙";6,"红"},2,0))</f>
        <v>紫</v>
      </c>
      <c r="T30" s="4">
        <v>4</v>
      </c>
      <c r="U30" s="35" t="str">
        <f t="shared" si="11"/>
        <v>1:100:6:18,</v>
      </c>
      <c r="V30" s="35" t="str">
        <f t="shared" si="11"/>
        <v>2:100:6:15,</v>
      </c>
      <c r="W30" s="35" t="str">
        <f t="shared" si="11"/>
        <v>3:100:3:9,</v>
      </c>
      <c r="X30" s="35" t="str">
        <f t="shared" si="11"/>
        <v>4:100:3:9,</v>
      </c>
      <c r="Y30" s="35" t="str">
        <f t="shared" si="11"/>
        <v>5:100:3:9,</v>
      </c>
      <c r="Z30" s="35" t="str">
        <f t="shared" si="11"/>
        <v>6:100:3:9,</v>
      </c>
      <c r="AA30" s="35" t="str">
        <f t="shared" si="11"/>
        <v/>
      </c>
      <c r="AB30" s="35" t="str">
        <f t="shared" si="11"/>
        <v/>
      </c>
      <c r="AC30" s="35" t="str">
        <f t="shared" si="11"/>
        <v>9:50:3:9,</v>
      </c>
      <c r="AD30" s="35" t="str">
        <f t="shared" si="11"/>
        <v>10:50:3:9,</v>
      </c>
      <c r="AE30" s="35" t="str">
        <f t="shared" si="12"/>
        <v>11:50:2:6,</v>
      </c>
      <c r="AF30" s="35" t="str">
        <f t="shared" si="12"/>
        <v>12:50:2:6,</v>
      </c>
      <c r="AG30" s="35" t="str">
        <f t="shared" si="12"/>
        <v>13:20:50:150,</v>
      </c>
      <c r="AH30" s="35" t="str">
        <f t="shared" si="12"/>
        <v>14:20:3:8,</v>
      </c>
      <c r="AI30" s="35" t="str">
        <f t="shared" si="12"/>
        <v/>
      </c>
      <c r="AJ30" s="35" t="str">
        <f t="shared" si="12"/>
        <v/>
      </c>
      <c r="AK30" s="35" t="str">
        <f t="shared" si="12"/>
        <v>17:60:3:9,</v>
      </c>
      <c r="AL30" s="35" t="str">
        <f t="shared" si="12"/>
        <v>18:60:3:9,</v>
      </c>
      <c r="AM30" s="35" t="str">
        <f t="shared" si="12"/>
        <v/>
      </c>
      <c r="AN30" s="35" t="str">
        <f t="shared" si="12"/>
        <v/>
      </c>
    </row>
    <row r="31" spans="1:40">
      <c r="A31" s="4" t="str">
        <f t="shared" si="1"/>
        <v>1级绿项链法力值</v>
      </c>
      <c r="B31" s="4" t="s">
        <v>215</v>
      </c>
      <c r="C31" s="4" t="s">
        <v>117</v>
      </c>
      <c r="D31" s="4">
        <v>1</v>
      </c>
      <c r="E31" s="4" t="s">
        <v>75</v>
      </c>
      <c r="F31" s="4">
        <f>VLOOKUP(E31,基础属性ID!A:B,2,0)</f>
        <v>2</v>
      </c>
      <c r="G31" s="4">
        <f>VLOOKUP(E31,基础属性ID!$A:$E,5,0)</f>
        <v>100</v>
      </c>
      <c r="H31" s="4">
        <v>2</v>
      </c>
      <c r="I31" s="4">
        <v>5</v>
      </c>
      <c r="J31" s="4" t="str">
        <f t="shared" si="0"/>
        <v>2:100:2:5,</v>
      </c>
      <c r="M31" s="4" t="str">
        <f t="shared" si="4"/>
        <v>1级品质5护甲</v>
      </c>
      <c r="N31" s="4" t="str">
        <f t="shared" si="5"/>
        <v>1级橙护甲</v>
      </c>
      <c r="O31" s="33">
        <f t="shared" si="15"/>
        <v>20005</v>
      </c>
      <c r="P31" s="34" t="str">
        <f t="shared" si="6"/>
        <v>1:100:10:30,2:100:10:20,3:100:4:12,4:100:4:12,5:100:4:12,6:100:4:12,9:50:4:12,10:50:4:12,11:50:3:9,12:50:3:9,13:20:150:300,14:20:5:10,17:60:4:12,18:60:4:12</v>
      </c>
      <c r="Q31" s="4">
        <v>1</v>
      </c>
      <c r="R31" s="4" t="s">
        <v>203</v>
      </c>
      <c r="S31" s="4" t="str">
        <f>IF(T31=1,"绿",VLOOKUP(T31,{1,"白";2,"绿";3,"蓝";4,"紫";5,"橙";6,"红"},2,0))</f>
        <v>橙</v>
      </c>
      <c r="T31" s="4">
        <v>5</v>
      </c>
      <c r="U31" s="35" t="str">
        <f t="shared" si="11"/>
        <v>1:100:10:30,</v>
      </c>
      <c r="V31" s="35" t="str">
        <f t="shared" si="11"/>
        <v>2:100:10:20,</v>
      </c>
      <c r="W31" s="35" t="str">
        <f t="shared" si="11"/>
        <v>3:100:4:12,</v>
      </c>
      <c r="X31" s="35" t="str">
        <f t="shared" si="11"/>
        <v>4:100:4:12,</v>
      </c>
      <c r="Y31" s="35" t="str">
        <f t="shared" si="11"/>
        <v>5:100:4:12,</v>
      </c>
      <c r="Z31" s="35" t="str">
        <f t="shared" si="11"/>
        <v>6:100:4:12,</v>
      </c>
      <c r="AA31" s="35" t="str">
        <f t="shared" si="11"/>
        <v/>
      </c>
      <c r="AB31" s="35" t="str">
        <f t="shared" si="11"/>
        <v/>
      </c>
      <c r="AC31" s="35" t="str">
        <f t="shared" si="11"/>
        <v>9:50:4:12,</v>
      </c>
      <c r="AD31" s="35" t="str">
        <f t="shared" si="11"/>
        <v>10:50:4:12,</v>
      </c>
      <c r="AE31" s="35" t="str">
        <f t="shared" si="12"/>
        <v>11:50:3:9,</v>
      </c>
      <c r="AF31" s="35" t="str">
        <f t="shared" si="12"/>
        <v>12:50:3:9,</v>
      </c>
      <c r="AG31" s="35" t="str">
        <f t="shared" si="12"/>
        <v>13:20:150:300,</v>
      </c>
      <c r="AH31" s="35" t="str">
        <f t="shared" si="12"/>
        <v>14:20:5:10,</v>
      </c>
      <c r="AI31" s="35" t="str">
        <f t="shared" si="12"/>
        <v/>
      </c>
      <c r="AJ31" s="35" t="str">
        <f t="shared" si="12"/>
        <v/>
      </c>
      <c r="AK31" s="35" t="str">
        <f t="shared" si="12"/>
        <v>17:60:4:12,</v>
      </c>
      <c r="AL31" s="35" t="str">
        <f t="shared" si="12"/>
        <v>18:60:4:12,</v>
      </c>
      <c r="AM31" s="35" t="str">
        <f t="shared" si="12"/>
        <v/>
      </c>
      <c r="AN31" s="35" t="str">
        <f t="shared" si="12"/>
        <v/>
      </c>
    </row>
    <row r="32" spans="1:40">
      <c r="A32" s="4" t="str">
        <f t="shared" si="1"/>
        <v>1级绿项链物理攻击</v>
      </c>
      <c r="B32" s="4" t="s">
        <v>215</v>
      </c>
      <c r="C32" s="4" t="s">
        <v>117</v>
      </c>
      <c r="D32" s="4">
        <v>1</v>
      </c>
      <c r="E32" s="4" t="s">
        <v>13</v>
      </c>
      <c r="F32" s="4">
        <f>VLOOKUP(E32,基础属性ID!A:B,2,0)</f>
        <v>3</v>
      </c>
      <c r="G32" s="4">
        <f>VLOOKUP(E32,基础属性ID!$A:$E,5,0)</f>
        <v>100</v>
      </c>
      <c r="H32" s="4">
        <v>1</v>
      </c>
      <c r="I32" s="4">
        <f t="shared" ref="I32:I37" si="16">H32*3</f>
        <v>3</v>
      </c>
      <c r="J32" s="4" t="str">
        <f t="shared" si="0"/>
        <v>3:100:1:3,</v>
      </c>
      <c r="M32" s="4" t="str">
        <f t="shared" si="4"/>
        <v>1级品质6护甲</v>
      </c>
      <c r="N32" s="4" t="str">
        <f t="shared" si="5"/>
        <v>1级红护甲</v>
      </c>
      <c r="O32" s="33">
        <f t="shared" si="15"/>
        <v>20006</v>
      </c>
      <c r="P32" s="34" t="str">
        <f t="shared" si="6"/>
        <v>1:100:15:45,2:100:15:30,3:100:5:15,4:100:5:15,5:100:5:15,6:100:5:15,9:50:5:15,10:50:5:15,11:50:4:12,12:50:4:12,13:20:300:500,14:20:10:20,17:60:5:15,18:60:5:15</v>
      </c>
      <c r="Q32" s="4">
        <v>1</v>
      </c>
      <c r="R32" s="4" t="s">
        <v>203</v>
      </c>
      <c r="S32" s="4" t="str">
        <f>IF(T32=1,"绿",VLOOKUP(T32,{1,"白";2,"绿";3,"蓝";4,"紫";5,"橙";6,"红"},2,0))</f>
        <v>红</v>
      </c>
      <c r="T32" s="4">
        <v>6</v>
      </c>
      <c r="U32" s="35" t="str">
        <f t="shared" si="11"/>
        <v>1:100:15:45,</v>
      </c>
      <c r="V32" s="35" t="str">
        <f t="shared" si="11"/>
        <v>2:100:15:30,</v>
      </c>
      <c r="W32" s="35" t="str">
        <f t="shared" si="11"/>
        <v>3:100:5:15,</v>
      </c>
      <c r="X32" s="35" t="str">
        <f t="shared" si="11"/>
        <v>4:100:5:15,</v>
      </c>
      <c r="Y32" s="35" t="str">
        <f t="shared" si="11"/>
        <v>5:100:5:15,</v>
      </c>
      <c r="Z32" s="35" t="str">
        <f t="shared" si="11"/>
        <v>6:100:5:15,</v>
      </c>
      <c r="AA32" s="35" t="str">
        <f t="shared" si="11"/>
        <v/>
      </c>
      <c r="AB32" s="35" t="str">
        <f t="shared" si="11"/>
        <v/>
      </c>
      <c r="AC32" s="35" t="str">
        <f t="shared" si="11"/>
        <v>9:50:5:15,</v>
      </c>
      <c r="AD32" s="35" t="str">
        <f t="shared" si="11"/>
        <v>10:50:5:15,</v>
      </c>
      <c r="AE32" s="35" t="str">
        <f t="shared" si="12"/>
        <v>11:50:4:12,</v>
      </c>
      <c r="AF32" s="35" t="str">
        <f t="shared" si="12"/>
        <v>12:50:4:12,</v>
      </c>
      <c r="AG32" s="35" t="str">
        <f t="shared" si="12"/>
        <v>13:20:300:500,</v>
      </c>
      <c r="AH32" s="35" t="str">
        <f t="shared" si="12"/>
        <v>14:20:10:20,</v>
      </c>
      <c r="AI32" s="35" t="str">
        <f t="shared" si="12"/>
        <v/>
      </c>
      <c r="AJ32" s="35" t="str">
        <f t="shared" si="12"/>
        <v/>
      </c>
      <c r="AK32" s="35" t="str">
        <f t="shared" si="12"/>
        <v>17:60:5:15,</v>
      </c>
      <c r="AL32" s="35" t="str">
        <f t="shared" si="12"/>
        <v>18:60:5:15,</v>
      </c>
      <c r="AM32" s="35" t="str">
        <f t="shared" si="12"/>
        <v/>
      </c>
      <c r="AN32" s="35" t="str">
        <f t="shared" si="12"/>
        <v/>
      </c>
    </row>
    <row r="33" spans="1:40">
      <c r="A33" s="4" t="str">
        <f t="shared" si="1"/>
        <v>1级绿项链魔法攻击</v>
      </c>
      <c r="B33" s="4" t="s">
        <v>215</v>
      </c>
      <c r="C33" s="4" t="s">
        <v>117</v>
      </c>
      <c r="D33" s="4">
        <v>1</v>
      </c>
      <c r="E33" s="4" t="s">
        <v>14</v>
      </c>
      <c r="F33" s="4">
        <f>VLOOKUP(E33,基础属性ID!A:B,2,0)</f>
        <v>4</v>
      </c>
      <c r="G33" s="4">
        <f>VLOOKUP(E33,基础属性ID!$A:$E,5,0)</f>
        <v>100</v>
      </c>
      <c r="H33" s="4">
        <v>1</v>
      </c>
      <c r="I33" s="4">
        <f t="shared" si="16"/>
        <v>3</v>
      </c>
      <c r="J33" s="4" t="str">
        <f t="shared" si="0"/>
        <v>4:100:1:3,</v>
      </c>
      <c r="M33" s="4" t="str">
        <f t="shared" si="4"/>
        <v>21级品质1护甲</v>
      </c>
      <c r="N33" s="4" t="str">
        <f t="shared" si="5"/>
        <v>21级绿护甲</v>
      </c>
      <c r="O33" s="33">
        <f t="shared" si="15"/>
        <v>21001</v>
      </c>
      <c r="P33" s="34" t="str">
        <f t="shared" si="6"/>
        <v>1:100:5:15,2:100:3:6,3:100:2:6,4:100:2:6,5:100:2:6,6:100:2:6,7:20:1:1,9:50:2:6,10:50:2:6,11:50:1:3,12:50:1:3,13:20:10:30,14:20:1:3,15:10:50:100,16:10:50:100,17:60:1:3,18:60:1:3</v>
      </c>
      <c r="Q33" s="4">
        <v>21</v>
      </c>
      <c r="R33" s="4" t="s">
        <v>203</v>
      </c>
      <c r="S33" s="4" t="str">
        <f>IF(T33=1,"绿",VLOOKUP(T33,{1,"白";2,"绿";3,"蓝";4,"紫";5,"橙";6,"红"},2,0))</f>
        <v>绿</v>
      </c>
      <c r="T33" s="4">
        <v>1</v>
      </c>
      <c r="U33" s="35" t="str">
        <f t="shared" ref="U33:AD42" si="17">IFERROR(VLOOKUP($N33&amp;U$2,$A:$J,10,0),"")</f>
        <v>1:100:5:15,</v>
      </c>
      <c r="V33" s="35" t="str">
        <f t="shared" si="17"/>
        <v>2:100:3:6,</v>
      </c>
      <c r="W33" s="35" t="str">
        <f t="shared" si="17"/>
        <v>3:100:2:6,</v>
      </c>
      <c r="X33" s="35" t="str">
        <f t="shared" si="17"/>
        <v>4:100:2:6,</v>
      </c>
      <c r="Y33" s="35" t="str">
        <f t="shared" si="17"/>
        <v>5:100:2:6,</v>
      </c>
      <c r="Z33" s="35" t="str">
        <f t="shared" si="17"/>
        <v>6:100:2:6,</v>
      </c>
      <c r="AA33" s="35" t="str">
        <f t="shared" si="17"/>
        <v>7:20:1:1,</v>
      </c>
      <c r="AB33" s="35" t="str">
        <f t="shared" si="17"/>
        <v/>
      </c>
      <c r="AC33" s="35" t="str">
        <f t="shared" si="17"/>
        <v>9:50:2:6,</v>
      </c>
      <c r="AD33" s="35" t="str">
        <f t="shared" si="17"/>
        <v>10:50:2:6,</v>
      </c>
      <c r="AE33" s="35" t="str">
        <f t="shared" ref="AE33:AN42" si="18">IFERROR(VLOOKUP($N33&amp;AE$2,$A:$J,10,0),"")</f>
        <v>11:50:1:3,</v>
      </c>
      <c r="AF33" s="35" t="str">
        <f t="shared" si="18"/>
        <v>12:50:1:3,</v>
      </c>
      <c r="AG33" s="35" t="str">
        <f t="shared" si="18"/>
        <v>13:20:10:30,</v>
      </c>
      <c r="AH33" s="35" t="str">
        <f t="shared" si="18"/>
        <v>14:20:1:3,</v>
      </c>
      <c r="AI33" s="35" t="str">
        <f t="shared" si="18"/>
        <v>15:10:50:100,</v>
      </c>
      <c r="AJ33" s="35" t="str">
        <f t="shared" si="18"/>
        <v>16:10:50:100,</v>
      </c>
      <c r="AK33" s="35" t="str">
        <f t="shared" si="18"/>
        <v>17:60:1:3,</v>
      </c>
      <c r="AL33" s="35" t="str">
        <f t="shared" si="18"/>
        <v>18:60:1:3,</v>
      </c>
      <c r="AM33" s="35" t="str">
        <f t="shared" si="18"/>
        <v/>
      </c>
      <c r="AN33" s="35" t="str">
        <f t="shared" si="18"/>
        <v/>
      </c>
    </row>
    <row r="34" spans="1:40">
      <c r="A34" s="4" t="str">
        <f t="shared" si="1"/>
        <v>1级绿项链道术攻击</v>
      </c>
      <c r="B34" s="4" t="s">
        <v>215</v>
      </c>
      <c r="C34" s="4" t="s">
        <v>117</v>
      </c>
      <c r="D34" s="4">
        <v>1</v>
      </c>
      <c r="E34" s="4" t="s">
        <v>15</v>
      </c>
      <c r="F34" s="4">
        <f>VLOOKUP(E34,基础属性ID!A:B,2,0)</f>
        <v>5</v>
      </c>
      <c r="G34" s="4">
        <f>VLOOKUP(E34,基础属性ID!$A:$E,5,0)</f>
        <v>100</v>
      </c>
      <c r="H34" s="4">
        <v>1</v>
      </c>
      <c r="I34" s="4">
        <f t="shared" si="16"/>
        <v>3</v>
      </c>
      <c r="J34" s="4" t="str">
        <f t="shared" si="0"/>
        <v>5:100:1:3,</v>
      </c>
      <c r="M34" s="4" t="str">
        <f t="shared" si="4"/>
        <v>21级品质2护甲</v>
      </c>
      <c r="N34" s="4" t="str">
        <f t="shared" si="5"/>
        <v>21级绿护甲</v>
      </c>
      <c r="O34" s="33">
        <f t="shared" si="15"/>
        <v>21002</v>
      </c>
      <c r="P34" s="34" t="str">
        <f t="shared" si="6"/>
        <v>1:100:5:15,2:100:3:6,3:100:2:6,4:100:2:6,5:100:2:6,6:100:2:6,7:20:1:1,9:50:2:6,10:50:2:6,11:50:1:3,12:50:1:3,13:20:10:30,14:20:1:3,15:10:50:100,16:10:50:100,17:60:1:3,18:60:1:3</v>
      </c>
      <c r="Q34" s="4">
        <v>21</v>
      </c>
      <c r="R34" s="4" t="s">
        <v>203</v>
      </c>
      <c r="S34" s="4" t="str">
        <f>IF(T34=1,"绿",VLOOKUP(T34,{1,"白";2,"绿";3,"蓝";4,"紫";5,"橙";6,"红"},2,0))</f>
        <v>绿</v>
      </c>
      <c r="T34" s="4">
        <v>2</v>
      </c>
      <c r="U34" s="35" t="str">
        <f t="shared" si="17"/>
        <v>1:100:5:15,</v>
      </c>
      <c r="V34" s="35" t="str">
        <f t="shared" si="17"/>
        <v>2:100:3:6,</v>
      </c>
      <c r="W34" s="35" t="str">
        <f t="shared" si="17"/>
        <v>3:100:2:6,</v>
      </c>
      <c r="X34" s="35" t="str">
        <f t="shared" si="17"/>
        <v>4:100:2:6,</v>
      </c>
      <c r="Y34" s="35" t="str">
        <f t="shared" si="17"/>
        <v>5:100:2:6,</v>
      </c>
      <c r="Z34" s="35" t="str">
        <f t="shared" si="17"/>
        <v>6:100:2:6,</v>
      </c>
      <c r="AA34" s="35" t="str">
        <f t="shared" si="17"/>
        <v>7:20:1:1,</v>
      </c>
      <c r="AB34" s="35" t="str">
        <f t="shared" si="17"/>
        <v/>
      </c>
      <c r="AC34" s="35" t="str">
        <f t="shared" si="17"/>
        <v>9:50:2:6,</v>
      </c>
      <c r="AD34" s="35" t="str">
        <f t="shared" si="17"/>
        <v>10:50:2:6,</v>
      </c>
      <c r="AE34" s="35" t="str">
        <f t="shared" si="18"/>
        <v>11:50:1:3,</v>
      </c>
      <c r="AF34" s="35" t="str">
        <f t="shared" si="18"/>
        <v>12:50:1:3,</v>
      </c>
      <c r="AG34" s="35" t="str">
        <f t="shared" si="18"/>
        <v>13:20:10:30,</v>
      </c>
      <c r="AH34" s="35" t="str">
        <f t="shared" si="18"/>
        <v>14:20:1:3,</v>
      </c>
      <c r="AI34" s="35" t="str">
        <f t="shared" si="18"/>
        <v>15:10:50:100,</v>
      </c>
      <c r="AJ34" s="35" t="str">
        <f t="shared" si="18"/>
        <v>16:10:50:100,</v>
      </c>
      <c r="AK34" s="35" t="str">
        <f t="shared" si="18"/>
        <v>17:60:1:3,</v>
      </c>
      <c r="AL34" s="35" t="str">
        <f t="shared" si="18"/>
        <v>18:60:1:3,</v>
      </c>
      <c r="AM34" s="35" t="str">
        <f t="shared" si="18"/>
        <v/>
      </c>
      <c r="AN34" s="35" t="str">
        <f t="shared" si="18"/>
        <v/>
      </c>
    </row>
    <row r="35" spans="1:40">
      <c r="A35" s="4" t="str">
        <f t="shared" si="1"/>
        <v>1级绿项链防御</v>
      </c>
      <c r="B35" s="4" t="s">
        <v>215</v>
      </c>
      <c r="C35" s="4" t="s">
        <v>117</v>
      </c>
      <c r="D35" s="4">
        <v>1</v>
      </c>
      <c r="E35" s="4" t="s">
        <v>17</v>
      </c>
      <c r="F35" s="4">
        <f>VLOOKUP(E35,基础属性ID!A:B,2,0)</f>
        <v>6</v>
      </c>
      <c r="G35" s="4">
        <f>VLOOKUP(E35,基础属性ID!$A:$E,5,0)</f>
        <v>100</v>
      </c>
      <c r="H35" s="4">
        <v>1</v>
      </c>
      <c r="I35" s="4">
        <f t="shared" si="16"/>
        <v>3</v>
      </c>
      <c r="J35" s="4" t="str">
        <f t="shared" si="0"/>
        <v>6:100:1:3,</v>
      </c>
      <c r="M35" s="4" t="str">
        <f t="shared" si="4"/>
        <v>21级品质3护甲</v>
      </c>
      <c r="N35" s="4" t="str">
        <f t="shared" si="5"/>
        <v>21级蓝护甲</v>
      </c>
      <c r="O35" s="33">
        <f t="shared" si="15"/>
        <v>21003</v>
      </c>
      <c r="P35" s="34" t="str">
        <f t="shared" si="6"/>
        <v>1:100:8:24,2:100:4:10,3:100:3:9,4:100:3:9,5:100:3:9,6:100:3:9,7:20:1:1,9:50:3:9,10:50:3:9,11:50:1:3,12:50:1:3,13:20:20:50,14:20:2:5,15:10:80:150,16:10:80:150,17:60:2:6,18:60:2:6</v>
      </c>
      <c r="Q35" s="4">
        <v>21</v>
      </c>
      <c r="R35" s="4" t="s">
        <v>203</v>
      </c>
      <c r="S35" s="4" t="str">
        <f>IF(T35=1,"绿",VLOOKUP(T35,{1,"白";2,"绿";3,"蓝";4,"紫";5,"橙";6,"红"},2,0))</f>
        <v>蓝</v>
      </c>
      <c r="T35" s="4">
        <v>3</v>
      </c>
      <c r="U35" s="35" t="str">
        <f t="shared" si="17"/>
        <v>1:100:8:24,</v>
      </c>
      <c r="V35" s="35" t="str">
        <f t="shared" si="17"/>
        <v>2:100:4:10,</v>
      </c>
      <c r="W35" s="35" t="str">
        <f t="shared" si="17"/>
        <v>3:100:3:9,</v>
      </c>
      <c r="X35" s="35" t="str">
        <f t="shared" si="17"/>
        <v>4:100:3:9,</v>
      </c>
      <c r="Y35" s="35" t="str">
        <f t="shared" si="17"/>
        <v>5:100:3:9,</v>
      </c>
      <c r="Z35" s="35" t="str">
        <f t="shared" si="17"/>
        <v>6:100:3:9,</v>
      </c>
      <c r="AA35" s="35" t="str">
        <f t="shared" si="17"/>
        <v>7:20:1:1,</v>
      </c>
      <c r="AB35" s="35" t="str">
        <f t="shared" si="17"/>
        <v/>
      </c>
      <c r="AC35" s="35" t="str">
        <f t="shared" si="17"/>
        <v>9:50:3:9,</v>
      </c>
      <c r="AD35" s="35" t="str">
        <f t="shared" si="17"/>
        <v>10:50:3:9,</v>
      </c>
      <c r="AE35" s="35" t="str">
        <f t="shared" si="18"/>
        <v>11:50:1:3,</v>
      </c>
      <c r="AF35" s="35" t="str">
        <f t="shared" si="18"/>
        <v>12:50:1:3,</v>
      </c>
      <c r="AG35" s="35" t="str">
        <f t="shared" si="18"/>
        <v>13:20:20:50,</v>
      </c>
      <c r="AH35" s="35" t="str">
        <f t="shared" si="18"/>
        <v>14:20:2:5,</v>
      </c>
      <c r="AI35" s="35" t="str">
        <f t="shared" si="18"/>
        <v>15:10:80:150,</v>
      </c>
      <c r="AJ35" s="35" t="str">
        <f t="shared" si="18"/>
        <v>16:10:80:150,</v>
      </c>
      <c r="AK35" s="35" t="str">
        <f t="shared" si="18"/>
        <v>17:60:2:6,</v>
      </c>
      <c r="AL35" s="35" t="str">
        <f t="shared" si="18"/>
        <v>18:60:2:6,</v>
      </c>
      <c r="AM35" s="35" t="str">
        <f t="shared" si="18"/>
        <v/>
      </c>
      <c r="AN35" s="35" t="str">
        <f t="shared" si="18"/>
        <v/>
      </c>
    </row>
    <row r="36" spans="1:40">
      <c r="A36" s="4" t="str">
        <f t="shared" si="1"/>
        <v>1级绿项链固定伤害</v>
      </c>
      <c r="B36" s="4" t="s">
        <v>215</v>
      </c>
      <c r="C36" s="4" t="s">
        <v>117</v>
      </c>
      <c r="D36" s="4">
        <v>1</v>
      </c>
      <c r="E36" s="4" t="s">
        <v>24</v>
      </c>
      <c r="F36" s="4">
        <f>VLOOKUP(E36,基础属性ID!A:B,2,0)</f>
        <v>9</v>
      </c>
      <c r="G36" s="4">
        <f>VLOOKUP(E36,基础属性ID!$A:$E,5,0)</f>
        <v>50</v>
      </c>
      <c r="H36" s="4">
        <v>1</v>
      </c>
      <c r="I36" s="4">
        <f t="shared" si="16"/>
        <v>3</v>
      </c>
      <c r="J36" s="4" t="str">
        <f t="shared" si="0"/>
        <v>9:50:1:3,</v>
      </c>
      <c r="M36" s="4" t="str">
        <f t="shared" si="4"/>
        <v>21级品质4护甲</v>
      </c>
      <c r="N36" s="4" t="str">
        <f t="shared" si="5"/>
        <v>21级紫护甲</v>
      </c>
      <c r="O36" s="33">
        <f t="shared" si="15"/>
        <v>21004</v>
      </c>
      <c r="P36" s="34" t="str">
        <f t="shared" si="6"/>
        <v>1:100:12:36,2:100:8:16,3:100:5:15,4:100:5:15,5:100:5:15,6:100:5:15,7:20:1:2,9:50:4:12,10:50:4:12,11:50:3:9,12:50:3:9,13:20:50:150,14:20:3:8,15:10:1:2,16:10:1:2,17:60:3:9,18:60:3:9</v>
      </c>
      <c r="Q36" s="4">
        <v>21</v>
      </c>
      <c r="R36" s="4" t="s">
        <v>203</v>
      </c>
      <c r="S36" s="4" t="str">
        <f>IF(T36=1,"绿",VLOOKUP(T36,{1,"白";2,"绿";3,"蓝";4,"紫";5,"橙";6,"红"},2,0))</f>
        <v>紫</v>
      </c>
      <c r="T36" s="4">
        <v>4</v>
      </c>
      <c r="U36" s="35" t="str">
        <f t="shared" si="17"/>
        <v>1:100:12:36,</v>
      </c>
      <c r="V36" s="35" t="str">
        <f t="shared" si="17"/>
        <v>2:100:8:16,</v>
      </c>
      <c r="W36" s="35" t="str">
        <f t="shared" si="17"/>
        <v>3:100:5:15,</v>
      </c>
      <c r="X36" s="35" t="str">
        <f t="shared" si="17"/>
        <v>4:100:5:15,</v>
      </c>
      <c r="Y36" s="35" t="str">
        <f t="shared" si="17"/>
        <v>5:100:5:15,</v>
      </c>
      <c r="Z36" s="35" t="str">
        <f t="shared" si="17"/>
        <v>6:100:5:15,</v>
      </c>
      <c r="AA36" s="35" t="str">
        <f t="shared" si="17"/>
        <v>7:20:1:2,</v>
      </c>
      <c r="AB36" s="35" t="str">
        <f t="shared" si="17"/>
        <v/>
      </c>
      <c r="AC36" s="35" t="str">
        <f t="shared" si="17"/>
        <v>9:50:4:12,</v>
      </c>
      <c r="AD36" s="35" t="str">
        <f t="shared" si="17"/>
        <v>10:50:4:12,</v>
      </c>
      <c r="AE36" s="35" t="str">
        <f t="shared" si="18"/>
        <v>11:50:3:9,</v>
      </c>
      <c r="AF36" s="35" t="str">
        <f t="shared" si="18"/>
        <v>12:50:3:9,</v>
      </c>
      <c r="AG36" s="35" t="str">
        <f t="shared" si="18"/>
        <v>13:20:50:150,</v>
      </c>
      <c r="AH36" s="35" t="str">
        <f t="shared" si="18"/>
        <v>14:20:3:8,</v>
      </c>
      <c r="AI36" s="35" t="str">
        <f t="shared" si="18"/>
        <v>15:10:1:2,</v>
      </c>
      <c r="AJ36" s="35" t="str">
        <f t="shared" si="18"/>
        <v>16:10:1:2,</v>
      </c>
      <c r="AK36" s="35" t="str">
        <f t="shared" si="18"/>
        <v>17:60:3:9,</v>
      </c>
      <c r="AL36" s="35" t="str">
        <f t="shared" si="18"/>
        <v>18:60:3:9,</v>
      </c>
      <c r="AM36" s="35" t="str">
        <f t="shared" si="18"/>
        <v/>
      </c>
      <c r="AN36" s="35" t="str">
        <f t="shared" si="18"/>
        <v/>
      </c>
    </row>
    <row r="37" spans="1:40">
      <c r="A37" s="4" t="str">
        <f t="shared" si="1"/>
        <v>1级绿项链固定减伤</v>
      </c>
      <c r="B37" s="4" t="s">
        <v>215</v>
      </c>
      <c r="C37" s="4" t="s">
        <v>117</v>
      </c>
      <c r="D37" s="4">
        <v>1</v>
      </c>
      <c r="E37" s="4" t="s">
        <v>25</v>
      </c>
      <c r="F37" s="4">
        <f>VLOOKUP(E37,基础属性ID!A:B,2,0)</f>
        <v>10</v>
      </c>
      <c r="G37" s="4">
        <f>VLOOKUP(E37,基础属性ID!$A:$E,5,0)</f>
        <v>50</v>
      </c>
      <c r="H37" s="4">
        <v>1</v>
      </c>
      <c r="I37" s="4">
        <f t="shared" si="16"/>
        <v>3</v>
      </c>
      <c r="J37" s="4" t="str">
        <f t="shared" si="0"/>
        <v>10:50:1:3,</v>
      </c>
      <c r="M37" s="4" t="str">
        <f t="shared" si="4"/>
        <v>21级品质5护甲</v>
      </c>
      <c r="N37" s="4" t="str">
        <f t="shared" si="5"/>
        <v>21级橙护甲</v>
      </c>
      <c r="O37" s="33">
        <f t="shared" si="15"/>
        <v>21005</v>
      </c>
      <c r="P37" s="34" t="str">
        <f t="shared" si="6"/>
        <v>1:100:15:45,2:100:12:24,3:100:6:18,4:100:6:18,5:100:6:18,6:100:6:18,7:20:1:3,9:50:5:15,10:50:5:15,11:50:4:12,12:50:4:12,13:20:150:300,14:20:5:10,15:10:150:300,16:10:150:300,17:60:4:12,18:60:4:12</v>
      </c>
      <c r="Q37" s="4">
        <v>21</v>
      </c>
      <c r="R37" s="4" t="s">
        <v>203</v>
      </c>
      <c r="S37" s="4" t="str">
        <f>IF(T37=1,"绿",VLOOKUP(T37,{1,"白";2,"绿";3,"蓝";4,"紫";5,"橙";6,"红"},2,0))</f>
        <v>橙</v>
      </c>
      <c r="T37" s="4">
        <v>5</v>
      </c>
      <c r="U37" s="35" t="str">
        <f t="shared" si="17"/>
        <v>1:100:15:45,</v>
      </c>
      <c r="V37" s="35" t="str">
        <f t="shared" si="17"/>
        <v>2:100:12:24,</v>
      </c>
      <c r="W37" s="35" t="str">
        <f t="shared" si="17"/>
        <v>3:100:6:18,</v>
      </c>
      <c r="X37" s="35" t="str">
        <f t="shared" si="17"/>
        <v>4:100:6:18,</v>
      </c>
      <c r="Y37" s="35" t="str">
        <f t="shared" si="17"/>
        <v>5:100:6:18,</v>
      </c>
      <c r="Z37" s="35" t="str">
        <f t="shared" si="17"/>
        <v>6:100:6:18,</v>
      </c>
      <c r="AA37" s="35" t="str">
        <f t="shared" si="17"/>
        <v>7:20:1:3,</v>
      </c>
      <c r="AB37" s="35" t="str">
        <f t="shared" si="17"/>
        <v/>
      </c>
      <c r="AC37" s="35" t="str">
        <f t="shared" si="17"/>
        <v>9:50:5:15,</v>
      </c>
      <c r="AD37" s="35" t="str">
        <f t="shared" si="17"/>
        <v>10:50:5:15,</v>
      </c>
      <c r="AE37" s="35" t="str">
        <f t="shared" si="18"/>
        <v>11:50:4:12,</v>
      </c>
      <c r="AF37" s="35" t="str">
        <f t="shared" si="18"/>
        <v>12:50:4:12,</v>
      </c>
      <c r="AG37" s="35" t="str">
        <f t="shared" si="18"/>
        <v>13:20:150:300,</v>
      </c>
      <c r="AH37" s="35" t="str">
        <f t="shared" si="18"/>
        <v>14:20:5:10,</v>
      </c>
      <c r="AI37" s="35" t="str">
        <f t="shared" si="18"/>
        <v>15:10:150:300,</v>
      </c>
      <c r="AJ37" s="35" t="str">
        <f t="shared" si="18"/>
        <v>16:10:150:300,</v>
      </c>
      <c r="AK37" s="35" t="str">
        <f t="shared" si="18"/>
        <v>17:60:4:12,</v>
      </c>
      <c r="AL37" s="35" t="str">
        <f t="shared" si="18"/>
        <v>18:60:4:12,</v>
      </c>
      <c r="AM37" s="35" t="str">
        <f t="shared" si="18"/>
        <v/>
      </c>
      <c r="AN37" s="35" t="str">
        <f t="shared" si="18"/>
        <v/>
      </c>
    </row>
    <row r="38" spans="1:40">
      <c r="A38" s="4" t="str">
        <f t="shared" si="1"/>
        <v>1级绿项链生命吸取</v>
      </c>
      <c r="B38" s="4" t="s">
        <v>215</v>
      </c>
      <c r="C38" s="4" t="s">
        <v>117</v>
      </c>
      <c r="D38" s="4">
        <v>1</v>
      </c>
      <c r="E38" s="4" t="s">
        <v>28</v>
      </c>
      <c r="F38" s="4">
        <f>VLOOKUP(E38,基础属性ID!A:B,2,0)</f>
        <v>11</v>
      </c>
      <c r="G38" s="4">
        <f>VLOOKUP(E38,基础属性ID!$A:$E,5,0)</f>
        <v>50</v>
      </c>
      <c r="H38" s="4">
        <v>1</v>
      </c>
      <c r="I38" s="4">
        <f t="shared" ref="I38:I39" si="19">H38*3</f>
        <v>3</v>
      </c>
      <c r="J38" s="4" t="str">
        <f t="shared" si="0"/>
        <v>11:50:1:3,</v>
      </c>
      <c r="M38" s="4" t="str">
        <f t="shared" si="4"/>
        <v>21级品质6护甲</v>
      </c>
      <c r="N38" s="4" t="str">
        <f t="shared" si="5"/>
        <v>21级红护甲</v>
      </c>
      <c r="O38" s="33">
        <f t="shared" si="15"/>
        <v>21006</v>
      </c>
      <c r="P38" s="34" t="str">
        <f t="shared" si="6"/>
        <v>1:100:20:60,2:100:18:36,3:100:8:24,4:100:8:24,5:100:8:24,6:100:8:24,7:20:1:5,9:50:6:18,10:50:6:18,11:50:6:18,12:50:6:18,13:20:300:500,14:20:10:20,15:10:2:5,16:10:2:5,17:60:5:15,18:60:5:15</v>
      </c>
      <c r="Q38" s="4">
        <v>21</v>
      </c>
      <c r="R38" s="4" t="s">
        <v>203</v>
      </c>
      <c r="S38" s="4" t="str">
        <f>IF(T38=1,"绿",VLOOKUP(T38,{1,"白";2,"绿";3,"蓝";4,"紫";5,"橙";6,"红"},2,0))</f>
        <v>红</v>
      </c>
      <c r="T38" s="4">
        <v>6</v>
      </c>
      <c r="U38" s="35" t="str">
        <f t="shared" si="17"/>
        <v>1:100:20:60,</v>
      </c>
      <c r="V38" s="35" t="str">
        <f t="shared" si="17"/>
        <v>2:100:18:36,</v>
      </c>
      <c r="W38" s="35" t="str">
        <f t="shared" si="17"/>
        <v>3:100:8:24,</v>
      </c>
      <c r="X38" s="35" t="str">
        <f t="shared" si="17"/>
        <v>4:100:8:24,</v>
      </c>
      <c r="Y38" s="35" t="str">
        <f t="shared" si="17"/>
        <v>5:100:8:24,</v>
      </c>
      <c r="Z38" s="35" t="str">
        <f t="shared" si="17"/>
        <v>6:100:8:24,</v>
      </c>
      <c r="AA38" s="35" t="str">
        <f t="shared" si="17"/>
        <v>7:20:1:5,</v>
      </c>
      <c r="AB38" s="35" t="str">
        <f t="shared" si="17"/>
        <v/>
      </c>
      <c r="AC38" s="35" t="str">
        <f t="shared" si="17"/>
        <v>9:50:6:18,</v>
      </c>
      <c r="AD38" s="35" t="str">
        <f t="shared" si="17"/>
        <v>10:50:6:18,</v>
      </c>
      <c r="AE38" s="35" t="str">
        <f t="shared" si="18"/>
        <v>11:50:6:18,</v>
      </c>
      <c r="AF38" s="35" t="str">
        <f t="shared" si="18"/>
        <v>12:50:6:18,</v>
      </c>
      <c r="AG38" s="35" t="str">
        <f t="shared" si="18"/>
        <v>13:20:300:500,</v>
      </c>
      <c r="AH38" s="35" t="str">
        <f t="shared" si="18"/>
        <v>14:20:10:20,</v>
      </c>
      <c r="AI38" s="35" t="str">
        <f t="shared" si="18"/>
        <v>15:10:2:5,</v>
      </c>
      <c r="AJ38" s="35" t="str">
        <f t="shared" si="18"/>
        <v>16:10:2:5,</v>
      </c>
      <c r="AK38" s="35" t="str">
        <f t="shared" si="18"/>
        <v>17:60:5:15,</v>
      </c>
      <c r="AL38" s="35" t="str">
        <f t="shared" si="18"/>
        <v>18:60:5:15,</v>
      </c>
      <c r="AM38" s="35" t="str">
        <f t="shared" si="18"/>
        <v/>
      </c>
      <c r="AN38" s="35" t="str">
        <f t="shared" si="18"/>
        <v/>
      </c>
    </row>
    <row r="39" spans="1:40">
      <c r="A39" s="4" t="str">
        <f t="shared" si="1"/>
        <v>1级绿项链法力吸取</v>
      </c>
      <c r="B39" s="4" t="s">
        <v>215</v>
      </c>
      <c r="C39" s="4" t="s">
        <v>117</v>
      </c>
      <c r="D39" s="4">
        <v>1</v>
      </c>
      <c r="E39" s="4" t="s">
        <v>29</v>
      </c>
      <c r="F39" s="4">
        <f>VLOOKUP(E39,基础属性ID!A:B,2,0)</f>
        <v>12</v>
      </c>
      <c r="G39" s="4">
        <f>VLOOKUP(E39,基础属性ID!$A:$E,5,0)</f>
        <v>50</v>
      </c>
      <c r="H39" s="4">
        <v>1</v>
      </c>
      <c r="I39" s="4">
        <f t="shared" si="19"/>
        <v>3</v>
      </c>
      <c r="J39" s="4" t="str">
        <f t="shared" si="0"/>
        <v>12:50:1:3,</v>
      </c>
      <c r="M39" s="4" t="str">
        <f t="shared" si="4"/>
        <v>41级品质1护甲</v>
      </c>
      <c r="N39" s="4" t="str">
        <f t="shared" si="5"/>
        <v>41级绿护甲</v>
      </c>
      <c r="O39" s="33">
        <f t="shared" si="15"/>
        <v>22001</v>
      </c>
      <c r="P39" s="34" t="str">
        <f t="shared" si="6"/>
        <v>1:100:10:30,2:100:4:8,3:100:3:9,4:100:3:9,5:100:3:9,6:100:3:9,7:20:1:1,9:50:3:9,10:50:3:9,11:50:2:6,12:50:2:6,13:20:10:30,14:20:1:3,15:10:50:100,16:10:50:100,17:60:1:3,18:60:1:3</v>
      </c>
      <c r="Q39" s="4">
        <v>41</v>
      </c>
      <c r="R39" s="4" t="s">
        <v>203</v>
      </c>
      <c r="S39" s="4" t="str">
        <f>IF(T39=1,"绿",VLOOKUP(T39,{1,"白";2,"绿";3,"蓝";4,"紫";5,"橙";6,"红"},2,0))</f>
        <v>绿</v>
      </c>
      <c r="T39" s="4">
        <v>1</v>
      </c>
      <c r="U39" s="35" t="str">
        <f t="shared" si="17"/>
        <v>1:100:10:30,</v>
      </c>
      <c r="V39" s="35" t="str">
        <f t="shared" si="17"/>
        <v>2:100:4:8,</v>
      </c>
      <c r="W39" s="35" t="str">
        <f t="shared" si="17"/>
        <v>3:100:3:9,</v>
      </c>
      <c r="X39" s="35" t="str">
        <f t="shared" si="17"/>
        <v>4:100:3:9,</v>
      </c>
      <c r="Y39" s="35" t="str">
        <f t="shared" si="17"/>
        <v>5:100:3:9,</v>
      </c>
      <c r="Z39" s="35" t="str">
        <f t="shared" si="17"/>
        <v>6:100:3:9,</v>
      </c>
      <c r="AA39" s="35" t="str">
        <f t="shared" si="17"/>
        <v>7:20:1:1,</v>
      </c>
      <c r="AB39" s="35" t="str">
        <f t="shared" si="17"/>
        <v/>
      </c>
      <c r="AC39" s="35" t="str">
        <f t="shared" si="17"/>
        <v>9:50:3:9,</v>
      </c>
      <c r="AD39" s="35" t="str">
        <f t="shared" si="17"/>
        <v>10:50:3:9,</v>
      </c>
      <c r="AE39" s="35" t="str">
        <f t="shared" si="18"/>
        <v>11:50:2:6,</v>
      </c>
      <c r="AF39" s="35" t="str">
        <f t="shared" si="18"/>
        <v>12:50:2:6,</v>
      </c>
      <c r="AG39" s="35" t="str">
        <f t="shared" si="18"/>
        <v>13:20:10:30,</v>
      </c>
      <c r="AH39" s="35" t="str">
        <f t="shared" si="18"/>
        <v>14:20:1:3,</v>
      </c>
      <c r="AI39" s="35" t="str">
        <f t="shared" si="18"/>
        <v>15:10:50:100,</v>
      </c>
      <c r="AJ39" s="35" t="str">
        <f t="shared" si="18"/>
        <v>16:10:50:100,</v>
      </c>
      <c r="AK39" s="35" t="str">
        <f t="shared" si="18"/>
        <v>17:60:1:3,</v>
      </c>
      <c r="AL39" s="35" t="str">
        <f t="shared" si="18"/>
        <v>18:60:1:3,</v>
      </c>
      <c r="AM39" s="35" t="str">
        <f t="shared" si="18"/>
        <v/>
      </c>
      <c r="AN39" s="35" t="str">
        <f t="shared" si="18"/>
        <v/>
      </c>
    </row>
    <row r="40" spans="1:40">
      <c r="A40" s="4" t="str">
        <f t="shared" si="1"/>
        <v>1级绿项链暴击几率</v>
      </c>
      <c r="B40" s="4" t="s">
        <v>215</v>
      </c>
      <c r="C40" s="4" t="s">
        <v>117</v>
      </c>
      <c r="D40" s="4">
        <v>1</v>
      </c>
      <c r="E40" s="4" t="s">
        <v>21</v>
      </c>
      <c r="F40" s="4">
        <f>VLOOKUP(E40,基础属性ID!A:B,2,0)</f>
        <v>13</v>
      </c>
      <c r="G40" s="4">
        <f>VLOOKUP(E40,基础属性ID!$A:$E,5,0)</f>
        <v>20</v>
      </c>
      <c r="H40" s="4">
        <v>10</v>
      </c>
      <c r="I40" s="4">
        <v>30</v>
      </c>
      <c r="J40" s="4" t="str">
        <f t="shared" si="0"/>
        <v>13:20:10:30,</v>
      </c>
      <c r="M40" s="4" t="str">
        <f t="shared" si="4"/>
        <v>41级品质2护甲</v>
      </c>
      <c r="N40" s="4" t="str">
        <f t="shared" si="5"/>
        <v>41级绿护甲</v>
      </c>
      <c r="O40" s="33">
        <f t="shared" si="15"/>
        <v>22002</v>
      </c>
      <c r="P40" s="34" t="str">
        <f t="shared" si="6"/>
        <v>1:100:10:30,2:100:4:8,3:100:3:9,4:100:3:9,5:100:3:9,6:100:3:9,7:20:1:1,9:50:3:9,10:50:3:9,11:50:2:6,12:50:2:6,13:20:10:30,14:20:1:3,15:10:50:100,16:10:50:100,17:60:1:3,18:60:1:3</v>
      </c>
      <c r="Q40" s="4">
        <v>41</v>
      </c>
      <c r="R40" s="4" t="s">
        <v>203</v>
      </c>
      <c r="S40" s="4" t="str">
        <f>IF(T40=1,"绿",VLOOKUP(T40,{1,"白";2,"绿";3,"蓝";4,"紫";5,"橙";6,"红"},2,0))</f>
        <v>绿</v>
      </c>
      <c r="T40" s="4">
        <v>2</v>
      </c>
      <c r="U40" s="35" t="str">
        <f t="shared" si="17"/>
        <v>1:100:10:30,</v>
      </c>
      <c r="V40" s="35" t="str">
        <f t="shared" si="17"/>
        <v>2:100:4:8,</v>
      </c>
      <c r="W40" s="35" t="str">
        <f t="shared" si="17"/>
        <v>3:100:3:9,</v>
      </c>
      <c r="X40" s="35" t="str">
        <f t="shared" si="17"/>
        <v>4:100:3:9,</v>
      </c>
      <c r="Y40" s="35" t="str">
        <f t="shared" si="17"/>
        <v>5:100:3:9,</v>
      </c>
      <c r="Z40" s="35" t="str">
        <f t="shared" si="17"/>
        <v>6:100:3:9,</v>
      </c>
      <c r="AA40" s="35" t="str">
        <f t="shared" si="17"/>
        <v>7:20:1:1,</v>
      </c>
      <c r="AB40" s="35" t="str">
        <f t="shared" si="17"/>
        <v/>
      </c>
      <c r="AC40" s="35" t="str">
        <f t="shared" si="17"/>
        <v>9:50:3:9,</v>
      </c>
      <c r="AD40" s="35" t="str">
        <f t="shared" si="17"/>
        <v>10:50:3:9,</v>
      </c>
      <c r="AE40" s="35" t="str">
        <f t="shared" si="18"/>
        <v>11:50:2:6,</v>
      </c>
      <c r="AF40" s="35" t="str">
        <f t="shared" si="18"/>
        <v>12:50:2:6,</v>
      </c>
      <c r="AG40" s="35" t="str">
        <f t="shared" si="18"/>
        <v>13:20:10:30,</v>
      </c>
      <c r="AH40" s="35" t="str">
        <f t="shared" si="18"/>
        <v>14:20:1:3,</v>
      </c>
      <c r="AI40" s="35" t="str">
        <f t="shared" si="18"/>
        <v>15:10:50:100,</v>
      </c>
      <c r="AJ40" s="35" t="str">
        <f t="shared" si="18"/>
        <v>16:10:50:100,</v>
      </c>
      <c r="AK40" s="35" t="str">
        <f t="shared" si="18"/>
        <v>17:60:1:3,</v>
      </c>
      <c r="AL40" s="35" t="str">
        <f t="shared" si="18"/>
        <v>18:60:1:3,</v>
      </c>
      <c r="AM40" s="35" t="str">
        <f t="shared" si="18"/>
        <v/>
      </c>
      <c r="AN40" s="35" t="str">
        <f t="shared" si="18"/>
        <v/>
      </c>
    </row>
    <row r="41" spans="1:40">
      <c r="A41" s="4" t="str">
        <f t="shared" si="1"/>
        <v>1级绿项链爆击伤害</v>
      </c>
      <c r="B41" s="4" t="s">
        <v>215</v>
      </c>
      <c r="C41" s="4" t="s">
        <v>117</v>
      </c>
      <c r="D41" s="4">
        <v>1</v>
      </c>
      <c r="E41" s="4" t="s">
        <v>76</v>
      </c>
      <c r="F41" s="4">
        <f>VLOOKUP(E41,基础属性ID!A:B,2,0)</f>
        <v>14</v>
      </c>
      <c r="G41" s="4">
        <f>VLOOKUP(E41,基础属性ID!$A:$E,5,0)</f>
        <v>20</v>
      </c>
      <c r="H41" s="4">
        <v>1</v>
      </c>
      <c r="I41" s="4">
        <v>3</v>
      </c>
      <c r="J41" s="4" t="str">
        <f t="shared" si="0"/>
        <v>14:20:1:3,</v>
      </c>
      <c r="M41" s="4" t="str">
        <f t="shared" si="4"/>
        <v>41级品质3护甲</v>
      </c>
      <c r="N41" s="4" t="str">
        <f t="shared" si="5"/>
        <v>41级蓝护甲</v>
      </c>
      <c r="O41" s="33">
        <f t="shared" si="15"/>
        <v>22003</v>
      </c>
      <c r="P41" s="34" t="str">
        <f t="shared" si="6"/>
        <v>1:100:15:45,2:100:6:12,3:100:4:12,4:100:4:12,5:100:4:12,6:100:4:12,7:20:1:1,9:50:4:12,10:50:4:12,11:50:2:6,12:50:2:6,13:20:20:50,14:20:2:5,15:10:80:150,16:10:80:150,17:60:2:6,18:60:2:6</v>
      </c>
      <c r="Q41" s="4">
        <v>41</v>
      </c>
      <c r="R41" s="4" t="s">
        <v>203</v>
      </c>
      <c r="S41" s="4" t="str">
        <f>IF(T41=1,"绿",VLOOKUP(T41,{1,"白";2,"绿";3,"蓝";4,"紫";5,"橙";6,"红"},2,0))</f>
        <v>蓝</v>
      </c>
      <c r="T41" s="4">
        <v>3</v>
      </c>
      <c r="U41" s="35" t="str">
        <f t="shared" si="17"/>
        <v>1:100:15:45,</v>
      </c>
      <c r="V41" s="35" t="str">
        <f t="shared" si="17"/>
        <v>2:100:6:12,</v>
      </c>
      <c r="W41" s="35" t="str">
        <f t="shared" si="17"/>
        <v>3:100:4:12,</v>
      </c>
      <c r="X41" s="35" t="str">
        <f t="shared" si="17"/>
        <v>4:100:4:12,</v>
      </c>
      <c r="Y41" s="35" t="str">
        <f t="shared" si="17"/>
        <v>5:100:4:12,</v>
      </c>
      <c r="Z41" s="35" t="str">
        <f t="shared" si="17"/>
        <v>6:100:4:12,</v>
      </c>
      <c r="AA41" s="35" t="str">
        <f t="shared" si="17"/>
        <v>7:20:1:1,</v>
      </c>
      <c r="AB41" s="35" t="str">
        <f t="shared" si="17"/>
        <v/>
      </c>
      <c r="AC41" s="35" t="str">
        <f t="shared" si="17"/>
        <v>9:50:4:12,</v>
      </c>
      <c r="AD41" s="35" t="str">
        <f t="shared" si="17"/>
        <v>10:50:4:12,</v>
      </c>
      <c r="AE41" s="35" t="str">
        <f t="shared" si="18"/>
        <v>11:50:2:6,</v>
      </c>
      <c r="AF41" s="35" t="str">
        <f t="shared" si="18"/>
        <v>12:50:2:6,</v>
      </c>
      <c r="AG41" s="35" t="str">
        <f t="shared" si="18"/>
        <v>13:20:20:50,</v>
      </c>
      <c r="AH41" s="35" t="str">
        <f t="shared" si="18"/>
        <v>14:20:2:5,</v>
      </c>
      <c r="AI41" s="35" t="str">
        <f t="shared" si="18"/>
        <v>15:10:80:150,</v>
      </c>
      <c r="AJ41" s="35" t="str">
        <f t="shared" si="18"/>
        <v>16:10:80:150,</v>
      </c>
      <c r="AK41" s="35" t="str">
        <f t="shared" si="18"/>
        <v>17:60:2:6,</v>
      </c>
      <c r="AL41" s="35" t="str">
        <f t="shared" si="18"/>
        <v>18:60:2:6,</v>
      </c>
      <c r="AM41" s="35" t="str">
        <f t="shared" si="18"/>
        <v/>
      </c>
      <c r="AN41" s="35" t="str">
        <f t="shared" si="18"/>
        <v/>
      </c>
    </row>
    <row r="42" spans="1:40">
      <c r="A42" s="4" t="str">
        <f t="shared" si="1"/>
        <v>1级绿项链装备掉率</v>
      </c>
      <c r="B42" s="4" t="s">
        <v>215</v>
      </c>
      <c r="C42" s="4" t="s">
        <v>117</v>
      </c>
      <c r="D42" s="4">
        <v>1</v>
      </c>
      <c r="E42" s="4" t="s">
        <v>30</v>
      </c>
      <c r="F42" s="4">
        <f>VLOOKUP(E42,基础属性ID!A:B,2,0)</f>
        <v>17</v>
      </c>
      <c r="G42" s="4">
        <f>VLOOKUP(E42,基础属性ID!$A:$E,5,0)</f>
        <v>60</v>
      </c>
      <c r="H42" s="4">
        <v>1</v>
      </c>
      <c r="I42" s="4">
        <f t="shared" ref="I42:I43" si="20">H42*3</f>
        <v>3</v>
      </c>
      <c r="J42" s="4" t="str">
        <f t="shared" si="0"/>
        <v>17:60:1:3,</v>
      </c>
      <c r="M42" s="4" t="str">
        <f t="shared" si="4"/>
        <v>41级品质4护甲</v>
      </c>
      <c r="N42" s="4" t="str">
        <f t="shared" si="5"/>
        <v>41级紫护甲</v>
      </c>
      <c r="O42" s="33">
        <f t="shared" si="15"/>
        <v>22004</v>
      </c>
      <c r="P42" s="34" t="str">
        <f t="shared" si="6"/>
        <v>1:100:20:60,2:100:10:20,3:100:7:21,4:100:7:21,5:100:7:21,6:100:7:21,7:20:1:2,9:50:5:15,10:50:5:15,11:50:4:12,12:50:4:12,13:20:50:150,14:20:3:8,15:10:1:2,16:10:1:2,17:60:3:9,18:60:3:9</v>
      </c>
      <c r="Q42" s="4">
        <v>41</v>
      </c>
      <c r="R42" s="4" t="s">
        <v>203</v>
      </c>
      <c r="S42" s="4" t="str">
        <f>IF(T42=1,"绿",VLOOKUP(T42,{1,"白";2,"绿";3,"蓝";4,"紫";5,"橙";6,"红"},2,0))</f>
        <v>紫</v>
      </c>
      <c r="T42" s="4">
        <v>4</v>
      </c>
      <c r="U42" s="35" t="str">
        <f t="shared" si="17"/>
        <v>1:100:20:60,</v>
      </c>
      <c r="V42" s="35" t="str">
        <f t="shared" si="17"/>
        <v>2:100:10:20,</v>
      </c>
      <c r="W42" s="35" t="str">
        <f t="shared" si="17"/>
        <v>3:100:7:21,</v>
      </c>
      <c r="X42" s="35" t="str">
        <f t="shared" si="17"/>
        <v>4:100:7:21,</v>
      </c>
      <c r="Y42" s="35" t="str">
        <f t="shared" si="17"/>
        <v>5:100:7:21,</v>
      </c>
      <c r="Z42" s="35" t="str">
        <f t="shared" si="17"/>
        <v>6:100:7:21,</v>
      </c>
      <c r="AA42" s="35" t="str">
        <f t="shared" si="17"/>
        <v>7:20:1:2,</v>
      </c>
      <c r="AB42" s="35" t="str">
        <f t="shared" si="17"/>
        <v/>
      </c>
      <c r="AC42" s="35" t="str">
        <f t="shared" si="17"/>
        <v>9:50:5:15,</v>
      </c>
      <c r="AD42" s="35" t="str">
        <f t="shared" si="17"/>
        <v>10:50:5:15,</v>
      </c>
      <c r="AE42" s="35" t="str">
        <f t="shared" si="18"/>
        <v>11:50:4:12,</v>
      </c>
      <c r="AF42" s="35" t="str">
        <f t="shared" si="18"/>
        <v>12:50:4:12,</v>
      </c>
      <c r="AG42" s="35" t="str">
        <f t="shared" si="18"/>
        <v>13:20:50:150,</v>
      </c>
      <c r="AH42" s="35" t="str">
        <f t="shared" si="18"/>
        <v>14:20:3:8,</v>
      </c>
      <c r="AI42" s="35" t="str">
        <f t="shared" si="18"/>
        <v>15:10:1:2,</v>
      </c>
      <c r="AJ42" s="35" t="str">
        <f t="shared" si="18"/>
        <v>16:10:1:2,</v>
      </c>
      <c r="AK42" s="35" t="str">
        <f t="shared" si="18"/>
        <v>17:60:3:9,</v>
      </c>
      <c r="AL42" s="35" t="str">
        <f t="shared" si="18"/>
        <v>18:60:3:9,</v>
      </c>
      <c r="AM42" s="35" t="str">
        <f t="shared" si="18"/>
        <v/>
      </c>
      <c r="AN42" s="35" t="str">
        <f t="shared" si="18"/>
        <v/>
      </c>
    </row>
    <row r="43" spans="1:40">
      <c r="A43" s="4" t="str">
        <f t="shared" si="1"/>
        <v>1级绿项链极品掉率</v>
      </c>
      <c r="B43" s="4" t="s">
        <v>215</v>
      </c>
      <c r="C43" s="4" t="s">
        <v>117</v>
      </c>
      <c r="D43" s="4">
        <v>1</v>
      </c>
      <c r="E43" s="4" t="s">
        <v>31</v>
      </c>
      <c r="F43" s="4">
        <f>VLOOKUP(E43,基础属性ID!A:B,2,0)</f>
        <v>18</v>
      </c>
      <c r="G43" s="4">
        <f>VLOOKUP(E43,基础属性ID!$A:$E,5,0)</f>
        <v>60</v>
      </c>
      <c r="H43" s="4">
        <v>1</v>
      </c>
      <c r="I43" s="4">
        <f t="shared" si="20"/>
        <v>3</v>
      </c>
      <c r="J43" s="4" t="str">
        <f t="shared" si="0"/>
        <v>18:60:1:3,</v>
      </c>
      <c r="M43" s="4" t="str">
        <f t="shared" si="4"/>
        <v>41级品质5护甲</v>
      </c>
      <c r="N43" s="4" t="str">
        <f t="shared" si="5"/>
        <v>41级橙护甲</v>
      </c>
      <c r="O43" s="33">
        <f t="shared" si="15"/>
        <v>22005</v>
      </c>
      <c r="P43" s="34" t="str">
        <f t="shared" si="6"/>
        <v>1:100:25:75,2:100:14:28,3:100:8:24,4:100:8:24,5:100:8:24,6:100:8:24,7:20:1:3,9:50:6:18,10:50:6:18,11:50:6:18,12:50:6:18,13:20:150:300,14:20:5:10,15:10:150:300,16:10:150:300,17:60:4:12,18:60:4:12</v>
      </c>
      <c r="Q43" s="4">
        <v>41</v>
      </c>
      <c r="R43" s="4" t="s">
        <v>203</v>
      </c>
      <c r="S43" s="4" t="str">
        <f>IF(T43=1,"绿",VLOOKUP(T43,{1,"白";2,"绿";3,"蓝";4,"紫";5,"橙";6,"红"},2,0))</f>
        <v>橙</v>
      </c>
      <c r="T43" s="4">
        <v>5</v>
      </c>
      <c r="U43" s="35" t="str">
        <f t="shared" ref="U43:AD52" si="21">IFERROR(VLOOKUP($N43&amp;U$2,$A:$J,10,0),"")</f>
        <v>1:100:25:75,</v>
      </c>
      <c r="V43" s="35" t="str">
        <f t="shared" si="21"/>
        <v>2:100:14:28,</v>
      </c>
      <c r="W43" s="35" t="str">
        <f t="shared" si="21"/>
        <v>3:100:8:24,</v>
      </c>
      <c r="X43" s="35" t="str">
        <f t="shared" si="21"/>
        <v>4:100:8:24,</v>
      </c>
      <c r="Y43" s="35" t="str">
        <f t="shared" si="21"/>
        <v>5:100:8:24,</v>
      </c>
      <c r="Z43" s="35" t="str">
        <f t="shared" si="21"/>
        <v>6:100:8:24,</v>
      </c>
      <c r="AA43" s="35" t="str">
        <f t="shared" si="21"/>
        <v>7:20:1:3,</v>
      </c>
      <c r="AB43" s="35" t="str">
        <f t="shared" si="21"/>
        <v/>
      </c>
      <c r="AC43" s="35" t="str">
        <f t="shared" si="21"/>
        <v>9:50:6:18,</v>
      </c>
      <c r="AD43" s="35" t="str">
        <f t="shared" si="21"/>
        <v>10:50:6:18,</v>
      </c>
      <c r="AE43" s="35" t="str">
        <f t="shared" ref="AE43:AN52" si="22">IFERROR(VLOOKUP($N43&amp;AE$2,$A:$J,10,0),"")</f>
        <v>11:50:6:18,</v>
      </c>
      <c r="AF43" s="35" t="str">
        <f t="shared" si="22"/>
        <v>12:50:6:18,</v>
      </c>
      <c r="AG43" s="35" t="str">
        <f t="shared" si="22"/>
        <v>13:20:150:300,</v>
      </c>
      <c r="AH43" s="35" t="str">
        <f t="shared" si="22"/>
        <v>14:20:5:10,</v>
      </c>
      <c r="AI43" s="35" t="str">
        <f t="shared" si="22"/>
        <v>15:10:150:300,</v>
      </c>
      <c r="AJ43" s="35" t="str">
        <f t="shared" si="22"/>
        <v>16:10:150:300,</v>
      </c>
      <c r="AK43" s="35" t="str">
        <f t="shared" si="22"/>
        <v>17:60:4:12,</v>
      </c>
      <c r="AL43" s="35" t="str">
        <f t="shared" si="22"/>
        <v>18:60:4:12,</v>
      </c>
      <c r="AM43" s="35" t="str">
        <f t="shared" si="22"/>
        <v/>
      </c>
      <c r="AN43" s="35" t="str">
        <f t="shared" si="22"/>
        <v/>
      </c>
    </row>
    <row r="44" spans="1:40">
      <c r="A44" s="4" t="str">
        <f t="shared" si="1"/>
        <v>1级绿手镯生命值</v>
      </c>
      <c r="B44" s="4" t="s">
        <v>218</v>
      </c>
      <c r="C44" s="4" t="s">
        <v>117</v>
      </c>
      <c r="D44" s="4">
        <v>1</v>
      </c>
      <c r="E44" s="4" t="s">
        <v>74</v>
      </c>
      <c r="F44" s="4">
        <f>VLOOKUP(E44,基础属性ID!A:B,2,0)</f>
        <v>1</v>
      </c>
      <c r="G44" s="4">
        <f>VLOOKUP(E44,基础属性ID!$A:$E,5,0)</f>
        <v>100</v>
      </c>
      <c r="H44" s="4">
        <v>1</v>
      </c>
      <c r="I44" s="4">
        <v>5</v>
      </c>
      <c r="J44" s="4" t="str">
        <f t="shared" si="0"/>
        <v>1:100:1:5,</v>
      </c>
      <c r="M44" s="4" t="str">
        <f t="shared" si="4"/>
        <v>41级品质6护甲</v>
      </c>
      <c r="N44" s="4" t="str">
        <f t="shared" si="5"/>
        <v>41级红护甲</v>
      </c>
      <c r="O44" s="33">
        <f t="shared" si="15"/>
        <v>22006</v>
      </c>
      <c r="P44" s="34" t="str">
        <f t="shared" si="6"/>
        <v>1:100:40:120,2:100:21:42,3:100:11:33,4:100:11:33,5:100:11:33,6:100:11:33,7:20:1:5,9:50:8:24,10:50:8:24,11:50:8:24,12:50:8:24,13:20:300:500,14:20:10:20,15:10:2:5,16:10:2:5,17:60:5:15,18:60:5:15</v>
      </c>
      <c r="Q44" s="4">
        <v>41</v>
      </c>
      <c r="R44" s="4" t="s">
        <v>203</v>
      </c>
      <c r="S44" s="4" t="str">
        <f>IF(T44=1,"绿",VLOOKUP(T44,{1,"白";2,"绿";3,"蓝";4,"紫";5,"橙";6,"红"},2,0))</f>
        <v>红</v>
      </c>
      <c r="T44" s="4">
        <v>6</v>
      </c>
      <c r="U44" s="35" t="str">
        <f t="shared" si="21"/>
        <v>1:100:40:120,</v>
      </c>
      <c r="V44" s="35" t="str">
        <f t="shared" si="21"/>
        <v>2:100:21:42,</v>
      </c>
      <c r="W44" s="35" t="str">
        <f t="shared" si="21"/>
        <v>3:100:11:33,</v>
      </c>
      <c r="X44" s="35" t="str">
        <f t="shared" si="21"/>
        <v>4:100:11:33,</v>
      </c>
      <c r="Y44" s="35" t="str">
        <f t="shared" si="21"/>
        <v>5:100:11:33,</v>
      </c>
      <c r="Z44" s="35" t="str">
        <f t="shared" si="21"/>
        <v>6:100:11:33,</v>
      </c>
      <c r="AA44" s="35" t="str">
        <f t="shared" si="21"/>
        <v>7:20:1:5,</v>
      </c>
      <c r="AB44" s="35" t="str">
        <f t="shared" si="21"/>
        <v/>
      </c>
      <c r="AC44" s="35" t="str">
        <f t="shared" si="21"/>
        <v>9:50:8:24,</v>
      </c>
      <c r="AD44" s="35" t="str">
        <f t="shared" si="21"/>
        <v>10:50:8:24,</v>
      </c>
      <c r="AE44" s="35" t="str">
        <f t="shared" si="22"/>
        <v>11:50:8:24,</v>
      </c>
      <c r="AF44" s="35" t="str">
        <f t="shared" si="22"/>
        <v>12:50:8:24,</v>
      </c>
      <c r="AG44" s="35" t="str">
        <f t="shared" si="22"/>
        <v>13:20:300:500,</v>
      </c>
      <c r="AH44" s="35" t="str">
        <f t="shared" si="22"/>
        <v>14:20:10:20,</v>
      </c>
      <c r="AI44" s="35" t="str">
        <f t="shared" si="22"/>
        <v>15:10:2:5,</v>
      </c>
      <c r="AJ44" s="35" t="str">
        <f t="shared" si="22"/>
        <v>16:10:2:5,</v>
      </c>
      <c r="AK44" s="35" t="str">
        <f t="shared" si="22"/>
        <v>17:60:5:15,</v>
      </c>
      <c r="AL44" s="35" t="str">
        <f t="shared" si="22"/>
        <v>18:60:5:15,</v>
      </c>
      <c r="AM44" s="35" t="str">
        <f t="shared" si="22"/>
        <v/>
      </c>
      <c r="AN44" s="35" t="str">
        <f t="shared" si="22"/>
        <v/>
      </c>
    </row>
    <row r="45" spans="1:40">
      <c r="A45" s="4" t="str">
        <f t="shared" si="1"/>
        <v>1级绿手镯法力值</v>
      </c>
      <c r="B45" s="4" t="s">
        <v>218</v>
      </c>
      <c r="C45" s="4" t="s">
        <v>117</v>
      </c>
      <c r="D45" s="4">
        <v>1</v>
      </c>
      <c r="E45" s="4" t="s">
        <v>75</v>
      </c>
      <c r="F45" s="4">
        <f>VLOOKUP(E45,基础属性ID!A:B,2,0)</f>
        <v>2</v>
      </c>
      <c r="G45" s="4">
        <f>VLOOKUP(E45,基础属性ID!$A:$E,5,0)</f>
        <v>100</v>
      </c>
      <c r="H45" s="4">
        <v>2</v>
      </c>
      <c r="I45" s="4">
        <v>5</v>
      </c>
      <c r="J45" s="4" t="str">
        <f t="shared" si="0"/>
        <v>2:100:2:5,</v>
      </c>
      <c r="M45" s="4" t="str">
        <f t="shared" si="4"/>
        <v>61级品质1护甲</v>
      </c>
      <c r="N45" s="4" t="str">
        <f t="shared" si="5"/>
        <v>61级绿护甲</v>
      </c>
      <c r="O45" s="33">
        <f t="shared" si="15"/>
        <v>23001</v>
      </c>
      <c r="P45" s="34" t="str">
        <f t="shared" si="6"/>
        <v>1:100:15:45,2:100:5:10,3:100:5:15,4:100:5:15,5:100:5:15,6:100:5:15,7:20:1:1,9:50:4:12,10:50:4:12,11:50:3:9,12:50:3:9,13:20:10:30,14:20:1:3,15:10:50:100,16:10:50:100,17:60:1:3,18:60:1:3</v>
      </c>
      <c r="Q45" s="4">
        <v>61</v>
      </c>
      <c r="R45" s="4" t="s">
        <v>203</v>
      </c>
      <c r="S45" s="4" t="str">
        <f>IF(T45=1,"绿",VLOOKUP(T45,{1,"白";2,"绿";3,"蓝";4,"紫";5,"橙";6,"红"},2,0))</f>
        <v>绿</v>
      </c>
      <c r="T45" s="4">
        <v>1</v>
      </c>
      <c r="U45" s="35" t="str">
        <f t="shared" si="21"/>
        <v>1:100:15:45,</v>
      </c>
      <c r="V45" s="35" t="str">
        <f t="shared" si="21"/>
        <v>2:100:5:10,</v>
      </c>
      <c r="W45" s="35" t="str">
        <f t="shared" si="21"/>
        <v>3:100:5:15,</v>
      </c>
      <c r="X45" s="35" t="str">
        <f t="shared" si="21"/>
        <v>4:100:5:15,</v>
      </c>
      <c r="Y45" s="35" t="str">
        <f t="shared" si="21"/>
        <v>5:100:5:15,</v>
      </c>
      <c r="Z45" s="35" t="str">
        <f t="shared" si="21"/>
        <v>6:100:5:15,</v>
      </c>
      <c r="AA45" s="35" t="str">
        <f t="shared" si="21"/>
        <v>7:20:1:1,</v>
      </c>
      <c r="AB45" s="35" t="str">
        <f t="shared" si="21"/>
        <v/>
      </c>
      <c r="AC45" s="35" t="str">
        <f t="shared" si="21"/>
        <v>9:50:4:12,</v>
      </c>
      <c r="AD45" s="35" t="str">
        <f t="shared" si="21"/>
        <v>10:50:4:12,</v>
      </c>
      <c r="AE45" s="35" t="str">
        <f t="shared" si="22"/>
        <v>11:50:3:9,</v>
      </c>
      <c r="AF45" s="35" t="str">
        <f t="shared" si="22"/>
        <v>12:50:3:9,</v>
      </c>
      <c r="AG45" s="35" t="str">
        <f t="shared" si="22"/>
        <v>13:20:10:30,</v>
      </c>
      <c r="AH45" s="35" t="str">
        <f t="shared" si="22"/>
        <v>14:20:1:3,</v>
      </c>
      <c r="AI45" s="35" t="str">
        <f t="shared" si="22"/>
        <v>15:10:50:100,</v>
      </c>
      <c r="AJ45" s="35" t="str">
        <f t="shared" si="22"/>
        <v>16:10:50:100,</v>
      </c>
      <c r="AK45" s="35" t="str">
        <f t="shared" si="22"/>
        <v>17:60:1:3,</v>
      </c>
      <c r="AL45" s="35" t="str">
        <f t="shared" si="22"/>
        <v>18:60:1:3,</v>
      </c>
      <c r="AM45" s="35" t="str">
        <f t="shared" si="22"/>
        <v/>
      </c>
      <c r="AN45" s="35" t="str">
        <f t="shared" si="22"/>
        <v/>
      </c>
    </row>
    <row r="46" spans="1:40">
      <c r="A46" s="4" t="str">
        <f t="shared" si="1"/>
        <v>1级绿手镯物理攻击</v>
      </c>
      <c r="B46" s="4" t="s">
        <v>218</v>
      </c>
      <c r="C46" s="4" t="s">
        <v>117</v>
      </c>
      <c r="D46" s="4">
        <v>1</v>
      </c>
      <c r="E46" s="4" t="s">
        <v>13</v>
      </c>
      <c r="F46" s="4">
        <f>VLOOKUP(E46,基础属性ID!A:B,2,0)</f>
        <v>3</v>
      </c>
      <c r="G46" s="4">
        <f>VLOOKUP(E46,基础属性ID!$A:$E,5,0)</f>
        <v>100</v>
      </c>
      <c r="H46" s="4">
        <v>1</v>
      </c>
      <c r="I46" s="4">
        <f t="shared" ref="I46:I51" si="23">H46*3</f>
        <v>3</v>
      </c>
      <c r="J46" s="4" t="str">
        <f t="shared" si="0"/>
        <v>3:100:1:3,</v>
      </c>
      <c r="M46" s="4" t="str">
        <f t="shared" si="4"/>
        <v>61级品质2护甲</v>
      </c>
      <c r="N46" s="4" t="str">
        <f t="shared" si="5"/>
        <v>61级绿护甲</v>
      </c>
      <c r="O46" s="33">
        <f t="shared" si="15"/>
        <v>23002</v>
      </c>
      <c r="P46" s="34" t="str">
        <f t="shared" si="6"/>
        <v>1:100:15:45,2:100:5:10,3:100:5:15,4:100:5:15,5:100:5:15,6:100:5:15,7:20:1:1,9:50:4:12,10:50:4:12,11:50:3:9,12:50:3:9,13:20:10:30,14:20:1:3,15:10:50:100,16:10:50:100,17:60:1:3,18:60:1:3</v>
      </c>
      <c r="Q46" s="4">
        <v>61</v>
      </c>
      <c r="R46" s="4" t="s">
        <v>203</v>
      </c>
      <c r="S46" s="4" t="str">
        <f>IF(T46=1,"绿",VLOOKUP(T46,{1,"白";2,"绿";3,"蓝";4,"紫";5,"橙";6,"红"},2,0))</f>
        <v>绿</v>
      </c>
      <c r="T46" s="4">
        <v>2</v>
      </c>
      <c r="U46" s="35" t="str">
        <f t="shared" si="21"/>
        <v>1:100:15:45,</v>
      </c>
      <c r="V46" s="35" t="str">
        <f t="shared" si="21"/>
        <v>2:100:5:10,</v>
      </c>
      <c r="W46" s="35" t="str">
        <f t="shared" si="21"/>
        <v>3:100:5:15,</v>
      </c>
      <c r="X46" s="35" t="str">
        <f t="shared" si="21"/>
        <v>4:100:5:15,</v>
      </c>
      <c r="Y46" s="35" t="str">
        <f t="shared" si="21"/>
        <v>5:100:5:15,</v>
      </c>
      <c r="Z46" s="35" t="str">
        <f t="shared" si="21"/>
        <v>6:100:5:15,</v>
      </c>
      <c r="AA46" s="35" t="str">
        <f t="shared" si="21"/>
        <v>7:20:1:1,</v>
      </c>
      <c r="AB46" s="35" t="str">
        <f t="shared" si="21"/>
        <v/>
      </c>
      <c r="AC46" s="35" t="str">
        <f t="shared" si="21"/>
        <v>9:50:4:12,</v>
      </c>
      <c r="AD46" s="35" t="str">
        <f t="shared" si="21"/>
        <v>10:50:4:12,</v>
      </c>
      <c r="AE46" s="35" t="str">
        <f t="shared" si="22"/>
        <v>11:50:3:9,</v>
      </c>
      <c r="AF46" s="35" t="str">
        <f t="shared" si="22"/>
        <v>12:50:3:9,</v>
      </c>
      <c r="AG46" s="35" t="str">
        <f t="shared" si="22"/>
        <v>13:20:10:30,</v>
      </c>
      <c r="AH46" s="35" t="str">
        <f t="shared" si="22"/>
        <v>14:20:1:3,</v>
      </c>
      <c r="AI46" s="35" t="str">
        <f t="shared" si="22"/>
        <v>15:10:50:100,</v>
      </c>
      <c r="AJ46" s="35" t="str">
        <f t="shared" si="22"/>
        <v>16:10:50:100,</v>
      </c>
      <c r="AK46" s="35" t="str">
        <f t="shared" si="22"/>
        <v>17:60:1:3,</v>
      </c>
      <c r="AL46" s="35" t="str">
        <f t="shared" si="22"/>
        <v>18:60:1:3,</v>
      </c>
      <c r="AM46" s="35" t="str">
        <f t="shared" si="22"/>
        <v/>
      </c>
      <c r="AN46" s="35" t="str">
        <f t="shared" si="22"/>
        <v/>
      </c>
    </row>
    <row r="47" spans="1:40">
      <c r="A47" s="4" t="str">
        <f t="shared" si="1"/>
        <v>1级绿手镯魔法攻击</v>
      </c>
      <c r="B47" s="4" t="s">
        <v>218</v>
      </c>
      <c r="C47" s="4" t="s">
        <v>117</v>
      </c>
      <c r="D47" s="4">
        <v>1</v>
      </c>
      <c r="E47" s="4" t="s">
        <v>14</v>
      </c>
      <c r="F47" s="4">
        <f>VLOOKUP(E47,基础属性ID!A:B,2,0)</f>
        <v>4</v>
      </c>
      <c r="G47" s="4">
        <f>VLOOKUP(E47,基础属性ID!$A:$E,5,0)</f>
        <v>100</v>
      </c>
      <c r="H47" s="4">
        <v>1</v>
      </c>
      <c r="I47" s="4">
        <f t="shared" si="23"/>
        <v>3</v>
      </c>
      <c r="J47" s="4" t="str">
        <f t="shared" si="0"/>
        <v>4:100:1:3,</v>
      </c>
      <c r="M47" s="4" t="str">
        <f t="shared" si="4"/>
        <v>61级品质3护甲</v>
      </c>
      <c r="N47" s="4" t="str">
        <f t="shared" si="5"/>
        <v>61级蓝护甲</v>
      </c>
      <c r="O47" s="33">
        <f t="shared" si="15"/>
        <v>23003</v>
      </c>
      <c r="P47" s="34" t="str">
        <f t="shared" si="6"/>
        <v>1:100:20:60,2:100:8:15,3:100:6:18,4:100:6:18,5:100:6:18,6:100:6:18,7:20:1:1,9:50:5:15,10:50:5:15,11:50:4:12,12:50:4:12,13:20:20:50,14:20:2:5,15:10:80:150,16:10:80:150,17:60:2:6,18:60:2:6</v>
      </c>
      <c r="Q47" s="4">
        <v>61</v>
      </c>
      <c r="R47" s="4" t="s">
        <v>203</v>
      </c>
      <c r="S47" s="4" t="str">
        <f>IF(T47=1,"绿",VLOOKUP(T47,{1,"白";2,"绿";3,"蓝";4,"紫";5,"橙";6,"红"},2,0))</f>
        <v>蓝</v>
      </c>
      <c r="T47" s="4">
        <v>3</v>
      </c>
      <c r="U47" s="35" t="str">
        <f t="shared" si="21"/>
        <v>1:100:20:60,</v>
      </c>
      <c r="V47" s="35" t="str">
        <f t="shared" si="21"/>
        <v>2:100:8:15,</v>
      </c>
      <c r="W47" s="35" t="str">
        <f t="shared" si="21"/>
        <v>3:100:6:18,</v>
      </c>
      <c r="X47" s="35" t="str">
        <f t="shared" si="21"/>
        <v>4:100:6:18,</v>
      </c>
      <c r="Y47" s="35" t="str">
        <f t="shared" si="21"/>
        <v>5:100:6:18,</v>
      </c>
      <c r="Z47" s="35" t="str">
        <f t="shared" si="21"/>
        <v>6:100:6:18,</v>
      </c>
      <c r="AA47" s="35" t="str">
        <f t="shared" si="21"/>
        <v>7:20:1:1,</v>
      </c>
      <c r="AB47" s="35" t="str">
        <f t="shared" si="21"/>
        <v/>
      </c>
      <c r="AC47" s="35" t="str">
        <f t="shared" si="21"/>
        <v>9:50:5:15,</v>
      </c>
      <c r="AD47" s="35" t="str">
        <f t="shared" si="21"/>
        <v>10:50:5:15,</v>
      </c>
      <c r="AE47" s="35" t="str">
        <f t="shared" si="22"/>
        <v>11:50:4:12,</v>
      </c>
      <c r="AF47" s="35" t="str">
        <f t="shared" si="22"/>
        <v>12:50:4:12,</v>
      </c>
      <c r="AG47" s="35" t="str">
        <f t="shared" si="22"/>
        <v>13:20:20:50,</v>
      </c>
      <c r="AH47" s="35" t="str">
        <f t="shared" si="22"/>
        <v>14:20:2:5,</v>
      </c>
      <c r="AI47" s="35" t="str">
        <f t="shared" si="22"/>
        <v>15:10:80:150,</v>
      </c>
      <c r="AJ47" s="35" t="str">
        <f t="shared" si="22"/>
        <v>16:10:80:150,</v>
      </c>
      <c r="AK47" s="35" t="str">
        <f t="shared" si="22"/>
        <v>17:60:2:6,</v>
      </c>
      <c r="AL47" s="35" t="str">
        <f t="shared" si="22"/>
        <v>18:60:2:6,</v>
      </c>
      <c r="AM47" s="35" t="str">
        <f t="shared" si="22"/>
        <v/>
      </c>
      <c r="AN47" s="35" t="str">
        <f t="shared" si="22"/>
        <v/>
      </c>
    </row>
    <row r="48" spans="1:40">
      <c r="A48" s="4" t="str">
        <f t="shared" si="1"/>
        <v>1级绿手镯道术攻击</v>
      </c>
      <c r="B48" s="4" t="s">
        <v>218</v>
      </c>
      <c r="C48" s="4" t="s">
        <v>117</v>
      </c>
      <c r="D48" s="4">
        <v>1</v>
      </c>
      <c r="E48" s="4" t="s">
        <v>15</v>
      </c>
      <c r="F48" s="4">
        <f>VLOOKUP(E48,基础属性ID!A:B,2,0)</f>
        <v>5</v>
      </c>
      <c r="G48" s="4">
        <f>VLOOKUP(E48,基础属性ID!$A:$E,5,0)</f>
        <v>100</v>
      </c>
      <c r="H48" s="4">
        <v>1</v>
      </c>
      <c r="I48" s="4">
        <f t="shared" si="23"/>
        <v>3</v>
      </c>
      <c r="J48" s="4" t="str">
        <f t="shared" si="0"/>
        <v>5:100:1:3,</v>
      </c>
      <c r="M48" s="4" t="str">
        <f t="shared" si="4"/>
        <v>61级品质4护甲</v>
      </c>
      <c r="N48" s="4" t="str">
        <f t="shared" si="5"/>
        <v>61级紫护甲</v>
      </c>
      <c r="O48" s="33">
        <f t="shared" si="15"/>
        <v>23004</v>
      </c>
      <c r="P48" s="34" t="str">
        <f t="shared" si="6"/>
        <v>1:100:30:90,2:100:12:25,3:100:10:30,4:100:10:30,5:100:10:30,6:100:10:30,7:20:1:2,9:50:6:18,10:50:6:18,11:50:5:15,12:50:5:15,13:20:50:150,14:20:3:8,15:10:1:2,16:10:1:2,17:60:3:9,18:60:3:9</v>
      </c>
      <c r="Q48" s="4">
        <v>61</v>
      </c>
      <c r="R48" s="4" t="s">
        <v>203</v>
      </c>
      <c r="S48" s="4" t="str">
        <f>IF(T48=1,"绿",VLOOKUP(T48,{1,"白";2,"绿";3,"蓝";4,"紫";5,"橙";6,"红"},2,0))</f>
        <v>紫</v>
      </c>
      <c r="T48" s="4">
        <v>4</v>
      </c>
      <c r="U48" s="35" t="str">
        <f t="shared" si="21"/>
        <v>1:100:30:90,</v>
      </c>
      <c r="V48" s="35" t="str">
        <f t="shared" si="21"/>
        <v>2:100:12:25,</v>
      </c>
      <c r="W48" s="35" t="str">
        <f t="shared" si="21"/>
        <v>3:100:10:30,</v>
      </c>
      <c r="X48" s="35" t="str">
        <f t="shared" si="21"/>
        <v>4:100:10:30,</v>
      </c>
      <c r="Y48" s="35" t="str">
        <f t="shared" si="21"/>
        <v>5:100:10:30,</v>
      </c>
      <c r="Z48" s="35" t="str">
        <f t="shared" si="21"/>
        <v>6:100:10:30,</v>
      </c>
      <c r="AA48" s="35" t="str">
        <f t="shared" si="21"/>
        <v>7:20:1:2,</v>
      </c>
      <c r="AB48" s="35" t="str">
        <f t="shared" si="21"/>
        <v/>
      </c>
      <c r="AC48" s="35" t="str">
        <f t="shared" si="21"/>
        <v>9:50:6:18,</v>
      </c>
      <c r="AD48" s="35" t="str">
        <f t="shared" si="21"/>
        <v>10:50:6:18,</v>
      </c>
      <c r="AE48" s="35" t="str">
        <f t="shared" si="22"/>
        <v>11:50:5:15,</v>
      </c>
      <c r="AF48" s="35" t="str">
        <f t="shared" si="22"/>
        <v>12:50:5:15,</v>
      </c>
      <c r="AG48" s="35" t="str">
        <f t="shared" si="22"/>
        <v>13:20:50:150,</v>
      </c>
      <c r="AH48" s="35" t="str">
        <f t="shared" si="22"/>
        <v>14:20:3:8,</v>
      </c>
      <c r="AI48" s="35" t="str">
        <f t="shared" si="22"/>
        <v>15:10:1:2,</v>
      </c>
      <c r="AJ48" s="35" t="str">
        <f t="shared" si="22"/>
        <v>16:10:1:2,</v>
      </c>
      <c r="AK48" s="35" t="str">
        <f t="shared" si="22"/>
        <v>17:60:3:9,</v>
      </c>
      <c r="AL48" s="35" t="str">
        <f t="shared" si="22"/>
        <v>18:60:3:9,</v>
      </c>
      <c r="AM48" s="35" t="str">
        <f t="shared" si="22"/>
        <v/>
      </c>
      <c r="AN48" s="35" t="str">
        <f t="shared" si="22"/>
        <v/>
      </c>
    </row>
    <row r="49" spans="1:40">
      <c r="A49" s="4" t="str">
        <f t="shared" si="1"/>
        <v>1级绿手镯防御</v>
      </c>
      <c r="B49" s="4" t="s">
        <v>218</v>
      </c>
      <c r="C49" s="4" t="s">
        <v>117</v>
      </c>
      <c r="D49" s="4">
        <v>1</v>
      </c>
      <c r="E49" s="4" t="s">
        <v>17</v>
      </c>
      <c r="F49" s="4">
        <f>VLOOKUP(E49,基础属性ID!A:B,2,0)</f>
        <v>6</v>
      </c>
      <c r="G49" s="4">
        <f>VLOOKUP(E49,基础属性ID!$A:$E,5,0)</f>
        <v>100</v>
      </c>
      <c r="H49" s="4">
        <v>1</v>
      </c>
      <c r="I49" s="4">
        <f t="shared" si="23"/>
        <v>3</v>
      </c>
      <c r="J49" s="4" t="str">
        <f t="shared" si="0"/>
        <v>6:100:1:3,</v>
      </c>
      <c r="M49" s="4" t="str">
        <f t="shared" si="4"/>
        <v>61级品质5护甲</v>
      </c>
      <c r="N49" s="4" t="str">
        <f t="shared" si="5"/>
        <v>61级橙护甲</v>
      </c>
      <c r="O49" s="33">
        <f t="shared" si="15"/>
        <v>23005</v>
      </c>
      <c r="P49" s="34" t="str">
        <f t="shared" si="6"/>
        <v>1:100:40:120,2:100:16:32,3:100:12:36,4:100:12:36,5:100:12:36,6:100:12:36,7:20:1:3,9:50:7:21,10:50:7:21,11:50:8:24,12:50:8:24,13:20:150:300,14:20:5:10,15:10:150:300,16:10:150:300,17:60:4:12,18:60:4:12</v>
      </c>
      <c r="Q49" s="4">
        <v>61</v>
      </c>
      <c r="R49" s="4" t="s">
        <v>203</v>
      </c>
      <c r="S49" s="4" t="str">
        <f>IF(T49=1,"绿",VLOOKUP(T49,{1,"白";2,"绿";3,"蓝";4,"紫";5,"橙";6,"红"},2,0))</f>
        <v>橙</v>
      </c>
      <c r="T49" s="4">
        <v>5</v>
      </c>
      <c r="U49" s="35" t="str">
        <f t="shared" si="21"/>
        <v>1:100:40:120,</v>
      </c>
      <c r="V49" s="35" t="str">
        <f t="shared" si="21"/>
        <v>2:100:16:32,</v>
      </c>
      <c r="W49" s="35" t="str">
        <f t="shared" si="21"/>
        <v>3:100:12:36,</v>
      </c>
      <c r="X49" s="35" t="str">
        <f t="shared" si="21"/>
        <v>4:100:12:36,</v>
      </c>
      <c r="Y49" s="35" t="str">
        <f t="shared" si="21"/>
        <v>5:100:12:36,</v>
      </c>
      <c r="Z49" s="35" t="str">
        <f t="shared" si="21"/>
        <v>6:100:12:36,</v>
      </c>
      <c r="AA49" s="35" t="str">
        <f t="shared" si="21"/>
        <v>7:20:1:3,</v>
      </c>
      <c r="AB49" s="35" t="str">
        <f t="shared" si="21"/>
        <v/>
      </c>
      <c r="AC49" s="35" t="str">
        <f t="shared" si="21"/>
        <v>9:50:7:21,</v>
      </c>
      <c r="AD49" s="35" t="str">
        <f t="shared" si="21"/>
        <v>10:50:7:21,</v>
      </c>
      <c r="AE49" s="35" t="str">
        <f t="shared" si="22"/>
        <v>11:50:8:24,</v>
      </c>
      <c r="AF49" s="35" t="str">
        <f t="shared" si="22"/>
        <v>12:50:8:24,</v>
      </c>
      <c r="AG49" s="35" t="str">
        <f t="shared" si="22"/>
        <v>13:20:150:300,</v>
      </c>
      <c r="AH49" s="35" t="str">
        <f t="shared" si="22"/>
        <v>14:20:5:10,</v>
      </c>
      <c r="AI49" s="35" t="str">
        <f t="shared" si="22"/>
        <v>15:10:150:300,</v>
      </c>
      <c r="AJ49" s="35" t="str">
        <f t="shared" si="22"/>
        <v>16:10:150:300,</v>
      </c>
      <c r="AK49" s="35" t="str">
        <f t="shared" si="22"/>
        <v>17:60:4:12,</v>
      </c>
      <c r="AL49" s="35" t="str">
        <f t="shared" si="22"/>
        <v>18:60:4:12,</v>
      </c>
      <c r="AM49" s="35" t="str">
        <f t="shared" si="22"/>
        <v/>
      </c>
      <c r="AN49" s="35" t="str">
        <f t="shared" si="22"/>
        <v/>
      </c>
    </row>
    <row r="50" spans="1:40">
      <c r="A50" s="4" t="str">
        <f t="shared" si="1"/>
        <v>1级绿手镯固定伤害</v>
      </c>
      <c r="B50" s="4" t="s">
        <v>218</v>
      </c>
      <c r="C50" s="4" t="s">
        <v>117</v>
      </c>
      <c r="D50" s="4">
        <v>1</v>
      </c>
      <c r="E50" s="4" t="s">
        <v>24</v>
      </c>
      <c r="F50" s="4">
        <f>VLOOKUP(E50,基础属性ID!A:B,2,0)</f>
        <v>9</v>
      </c>
      <c r="G50" s="4">
        <f>VLOOKUP(E50,基础属性ID!$A:$E,5,0)</f>
        <v>50</v>
      </c>
      <c r="H50" s="4">
        <v>1</v>
      </c>
      <c r="I50" s="4">
        <f t="shared" si="23"/>
        <v>3</v>
      </c>
      <c r="J50" s="4" t="str">
        <f t="shared" si="0"/>
        <v>9:50:1:3,</v>
      </c>
      <c r="M50" s="4" t="str">
        <f t="shared" si="4"/>
        <v>61级品质6护甲</v>
      </c>
      <c r="N50" s="4" t="str">
        <f t="shared" si="5"/>
        <v>61级红护甲</v>
      </c>
      <c r="O50" s="33">
        <f t="shared" si="15"/>
        <v>23006</v>
      </c>
      <c r="P50" s="34" t="str">
        <f t="shared" si="6"/>
        <v>1:100:60:180,2:100:24:48,3:100:15:45,4:100:15:45,5:100:15:45,6:100:15:45,7:20:1:5,9:50:10:30,10:50:10:30,11:50:10:30,12:50:10:30,13:20:300:500,14:20:10:20,15:10:2:5,16:10:2:5,17:60:5:15,18:60:5:15</v>
      </c>
      <c r="Q50" s="4">
        <v>61</v>
      </c>
      <c r="R50" s="4" t="s">
        <v>203</v>
      </c>
      <c r="S50" s="4" t="str">
        <f>IF(T50=1,"绿",VLOOKUP(T50,{1,"白";2,"绿";3,"蓝";4,"紫";5,"橙";6,"红"},2,0))</f>
        <v>红</v>
      </c>
      <c r="T50" s="4">
        <v>6</v>
      </c>
      <c r="U50" s="35" t="str">
        <f t="shared" si="21"/>
        <v>1:100:60:180,</v>
      </c>
      <c r="V50" s="35" t="str">
        <f t="shared" si="21"/>
        <v>2:100:24:48,</v>
      </c>
      <c r="W50" s="35" t="str">
        <f t="shared" si="21"/>
        <v>3:100:15:45,</v>
      </c>
      <c r="X50" s="35" t="str">
        <f t="shared" si="21"/>
        <v>4:100:15:45,</v>
      </c>
      <c r="Y50" s="35" t="str">
        <f t="shared" si="21"/>
        <v>5:100:15:45,</v>
      </c>
      <c r="Z50" s="35" t="str">
        <f t="shared" si="21"/>
        <v>6:100:15:45,</v>
      </c>
      <c r="AA50" s="35" t="str">
        <f t="shared" si="21"/>
        <v>7:20:1:5,</v>
      </c>
      <c r="AB50" s="35" t="str">
        <f t="shared" si="21"/>
        <v/>
      </c>
      <c r="AC50" s="35" t="str">
        <f t="shared" si="21"/>
        <v>9:50:10:30,</v>
      </c>
      <c r="AD50" s="35" t="str">
        <f t="shared" si="21"/>
        <v>10:50:10:30,</v>
      </c>
      <c r="AE50" s="35" t="str">
        <f t="shared" si="22"/>
        <v>11:50:10:30,</v>
      </c>
      <c r="AF50" s="35" t="str">
        <f t="shared" si="22"/>
        <v>12:50:10:30,</v>
      </c>
      <c r="AG50" s="35" t="str">
        <f t="shared" si="22"/>
        <v>13:20:300:500,</v>
      </c>
      <c r="AH50" s="35" t="str">
        <f t="shared" si="22"/>
        <v>14:20:10:20,</v>
      </c>
      <c r="AI50" s="35" t="str">
        <f t="shared" si="22"/>
        <v>15:10:2:5,</v>
      </c>
      <c r="AJ50" s="35" t="str">
        <f t="shared" si="22"/>
        <v>16:10:2:5,</v>
      </c>
      <c r="AK50" s="35" t="str">
        <f t="shared" si="22"/>
        <v>17:60:5:15,</v>
      </c>
      <c r="AL50" s="35" t="str">
        <f t="shared" si="22"/>
        <v>18:60:5:15,</v>
      </c>
      <c r="AM50" s="35" t="str">
        <f t="shared" si="22"/>
        <v/>
      </c>
      <c r="AN50" s="35" t="str">
        <f t="shared" si="22"/>
        <v/>
      </c>
    </row>
    <row r="51" spans="1:40">
      <c r="A51" s="4" t="str">
        <f t="shared" si="1"/>
        <v>1级绿手镯固定减伤</v>
      </c>
      <c r="B51" s="4" t="s">
        <v>218</v>
      </c>
      <c r="C51" s="4" t="s">
        <v>117</v>
      </c>
      <c r="D51" s="4">
        <v>1</v>
      </c>
      <c r="E51" s="4" t="s">
        <v>25</v>
      </c>
      <c r="F51" s="4">
        <f>VLOOKUP(E51,基础属性ID!A:B,2,0)</f>
        <v>10</v>
      </c>
      <c r="G51" s="4">
        <f>VLOOKUP(E51,基础属性ID!$A:$E,5,0)</f>
        <v>50</v>
      </c>
      <c r="H51" s="4">
        <v>1</v>
      </c>
      <c r="I51" s="4">
        <f t="shared" si="23"/>
        <v>3</v>
      </c>
      <c r="J51" s="4" t="str">
        <f t="shared" si="0"/>
        <v>10:50:1:3,</v>
      </c>
      <c r="M51" s="4" t="str">
        <f t="shared" si="4"/>
        <v>1级品质1戒指</v>
      </c>
      <c r="N51" s="4" t="str">
        <f t="shared" si="5"/>
        <v>1级绿戒指</v>
      </c>
      <c r="O51" s="33">
        <f t="shared" si="15"/>
        <v>30001</v>
      </c>
      <c r="P51" s="34" t="str">
        <f t="shared" si="6"/>
        <v>1:100:1:5,2:100:2:5,3:100:1:3,4:100:1:3,5:100:1:3,6:100:1:3,9:50:1:3,10:50:1:3,11:50:1:3,12:50:1:3,13:20:10:30,14:20:1:3,17:60:1:3,18:60:1:3</v>
      </c>
      <c r="Q51" s="4">
        <v>1</v>
      </c>
      <c r="R51" s="4" t="s">
        <v>221</v>
      </c>
      <c r="S51" s="4" t="str">
        <f>IF(T51=1,"绿",VLOOKUP(T51,{1,"白";2,"绿";3,"蓝";4,"紫";5,"橙";6,"红"},2,0))</f>
        <v>绿</v>
      </c>
      <c r="T51" s="4">
        <v>1</v>
      </c>
      <c r="U51" s="35" t="str">
        <f t="shared" si="21"/>
        <v>1:100:1:5,</v>
      </c>
      <c r="V51" s="35" t="str">
        <f t="shared" si="21"/>
        <v>2:100:2:5,</v>
      </c>
      <c r="W51" s="35" t="str">
        <f t="shared" si="21"/>
        <v>3:100:1:3,</v>
      </c>
      <c r="X51" s="35" t="str">
        <f t="shared" si="21"/>
        <v>4:100:1:3,</v>
      </c>
      <c r="Y51" s="35" t="str">
        <f t="shared" si="21"/>
        <v>5:100:1:3,</v>
      </c>
      <c r="Z51" s="35" t="str">
        <f t="shared" si="21"/>
        <v>6:100:1:3,</v>
      </c>
      <c r="AA51" s="35" t="str">
        <f t="shared" si="21"/>
        <v/>
      </c>
      <c r="AB51" s="35" t="str">
        <f t="shared" si="21"/>
        <v/>
      </c>
      <c r="AC51" s="35" t="str">
        <f t="shared" si="21"/>
        <v>9:50:1:3,</v>
      </c>
      <c r="AD51" s="35" t="str">
        <f t="shared" si="21"/>
        <v>10:50:1:3,</v>
      </c>
      <c r="AE51" s="35" t="str">
        <f t="shared" si="22"/>
        <v>11:50:1:3,</v>
      </c>
      <c r="AF51" s="35" t="str">
        <f t="shared" si="22"/>
        <v>12:50:1:3,</v>
      </c>
      <c r="AG51" s="35" t="str">
        <f t="shared" si="22"/>
        <v>13:20:10:30,</v>
      </c>
      <c r="AH51" s="35" t="str">
        <f t="shared" si="22"/>
        <v>14:20:1:3,</v>
      </c>
      <c r="AI51" s="35" t="str">
        <f t="shared" si="22"/>
        <v/>
      </c>
      <c r="AJ51" s="35" t="str">
        <f t="shared" si="22"/>
        <v/>
      </c>
      <c r="AK51" s="35" t="str">
        <f t="shared" si="22"/>
        <v>17:60:1:3,</v>
      </c>
      <c r="AL51" s="35" t="str">
        <f t="shared" si="22"/>
        <v>18:60:1:3,</v>
      </c>
      <c r="AM51" s="35" t="str">
        <f t="shared" si="22"/>
        <v/>
      </c>
      <c r="AN51" s="35" t="str">
        <f t="shared" si="22"/>
        <v/>
      </c>
    </row>
    <row r="52" spans="1:40">
      <c r="A52" s="4" t="str">
        <f t="shared" si="1"/>
        <v>1级绿手镯生命吸取</v>
      </c>
      <c r="B52" s="4" t="s">
        <v>218</v>
      </c>
      <c r="C52" s="4" t="s">
        <v>117</v>
      </c>
      <c r="D52" s="4">
        <v>1</v>
      </c>
      <c r="E52" s="4" t="s">
        <v>28</v>
      </c>
      <c r="F52" s="4">
        <f>VLOOKUP(E52,基础属性ID!A:B,2,0)</f>
        <v>11</v>
      </c>
      <c r="G52" s="4">
        <f>VLOOKUP(E52,基础属性ID!$A:$E,5,0)</f>
        <v>50</v>
      </c>
      <c r="H52" s="4">
        <v>1</v>
      </c>
      <c r="I52" s="4">
        <f t="shared" ref="I52:I53" si="24">H52*3</f>
        <v>3</v>
      </c>
      <c r="J52" s="4" t="str">
        <f t="shared" si="0"/>
        <v>11:50:1:3,</v>
      </c>
      <c r="M52" s="4" t="str">
        <f t="shared" si="4"/>
        <v>1级品质2戒指</v>
      </c>
      <c r="N52" s="4" t="str">
        <f t="shared" si="5"/>
        <v>1级绿戒指</v>
      </c>
      <c r="O52" s="33">
        <f t="shared" si="15"/>
        <v>30002</v>
      </c>
      <c r="P52" s="34" t="str">
        <f t="shared" si="6"/>
        <v>1:100:1:5,2:100:2:5,3:100:1:3,4:100:1:3,5:100:1:3,6:100:1:3,9:50:1:3,10:50:1:3,11:50:1:3,12:50:1:3,13:20:10:30,14:20:1:3,17:60:1:3,18:60:1:3</v>
      </c>
      <c r="Q52" s="4">
        <v>1</v>
      </c>
      <c r="R52" s="4" t="s">
        <v>221</v>
      </c>
      <c r="S52" s="4" t="str">
        <f>IF(T52=1,"绿",VLOOKUP(T52,{1,"白";2,"绿";3,"蓝";4,"紫";5,"橙";6,"红"},2,0))</f>
        <v>绿</v>
      </c>
      <c r="T52" s="4">
        <v>2</v>
      </c>
      <c r="U52" s="35" t="str">
        <f t="shared" si="21"/>
        <v>1:100:1:5,</v>
      </c>
      <c r="V52" s="35" t="str">
        <f t="shared" si="21"/>
        <v>2:100:2:5,</v>
      </c>
      <c r="W52" s="35" t="str">
        <f t="shared" si="21"/>
        <v>3:100:1:3,</v>
      </c>
      <c r="X52" s="35" t="str">
        <f t="shared" si="21"/>
        <v>4:100:1:3,</v>
      </c>
      <c r="Y52" s="35" t="str">
        <f t="shared" si="21"/>
        <v>5:100:1:3,</v>
      </c>
      <c r="Z52" s="35" t="str">
        <f t="shared" si="21"/>
        <v>6:100:1:3,</v>
      </c>
      <c r="AA52" s="35" t="str">
        <f t="shared" si="21"/>
        <v/>
      </c>
      <c r="AB52" s="35" t="str">
        <f t="shared" si="21"/>
        <v/>
      </c>
      <c r="AC52" s="35" t="str">
        <f t="shared" si="21"/>
        <v>9:50:1:3,</v>
      </c>
      <c r="AD52" s="35" t="str">
        <f t="shared" si="21"/>
        <v>10:50:1:3,</v>
      </c>
      <c r="AE52" s="35" t="str">
        <f t="shared" si="22"/>
        <v>11:50:1:3,</v>
      </c>
      <c r="AF52" s="35" t="str">
        <f t="shared" si="22"/>
        <v>12:50:1:3,</v>
      </c>
      <c r="AG52" s="35" t="str">
        <f t="shared" si="22"/>
        <v>13:20:10:30,</v>
      </c>
      <c r="AH52" s="35" t="str">
        <f t="shared" si="22"/>
        <v>14:20:1:3,</v>
      </c>
      <c r="AI52" s="35" t="str">
        <f t="shared" si="22"/>
        <v/>
      </c>
      <c r="AJ52" s="35" t="str">
        <f t="shared" si="22"/>
        <v/>
      </c>
      <c r="AK52" s="35" t="str">
        <f t="shared" si="22"/>
        <v>17:60:1:3,</v>
      </c>
      <c r="AL52" s="35" t="str">
        <f t="shared" si="22"/>
        <v>18:60:1:3,</v>
      </c>
      <c r="AM52" s="35" t="str">
        <f t="shared" si="22"/>
        <v/>
      </c>
      <c r="AN52" s="35" t="str">
        <f t="shared" si="22"/>
        <v/>
      </c>
    </row>
    <row r="53" spans="1:40">
      <c r="A53" s="4" t="str">
        <f t="shared" si="1"/>
        <v>1级绿手镯法力吸取</v>
      </c>
      <c r="B53" s="4" t="s">
        <v>218</v>
      </c>
      <c r="C53" s="4" t="s">
        <v>117</v>
      </c>
      <c r="D53" s="4">
        <v>1</v>
      </c>
      <c r="E53" s="4" t="s">
        <v>29</v>
      </c>
      <c r="F53" s="4">
        <f>VLOOKUP(E53,基础属性ID!A:B,2,0)</f>
        <v>12</v>
      </c>
      <c r="G53" s="4">
        <f>VLOOKUP(E53,基础属性ID!$A:$E,5,0)</f>
        <v>50</v>
      </c>
      <c r="H53" s="4">
        <v>1</v>
      </c>
      <c r="I53" s="4">
        <f t="shared" si="24"/>
        <v>3</v>
      </c>
      <c r="J53" s="4" t="str">
        <f t="shared" si="0"/>
        <v>12:50:1:3,</v>
      </c>
      <c r="M53" s="4" t="str">
        <f t="shared" si="4"/>
        <v>1级品质3戒指</v>
      </c>
      <c r="N53" s="4" t="str">
        <f t="shared" si="5"/>
        <v>1级蓝戒指</v>
      </c>
      <c r="O53" s="33">
        <f t="shared" si="15"/>
        <v>30003</v>
      </c>
      <c r="P53" s="34" t="str">
        <f t="shared" si="6"/>
        <v>1:100:4:12,2:100:4:10,3:100:2:6,4:100:2:6,5:100:2:6,6:100:2:6,9:50:2:6,10:50:2:6,11:50:1:3,12:50:1:3,13:20:20:50,14:20:2:5,17:60:2:6,18:60:2:6</v>
      </c>
      <c r="Q53" s="4">
        <v>1</v>
      </c>
      <c r="R53" s="4" t="s">
        <v>221</v>
      </c>
      <c r="S53" s="4" t="str">
        <f>IF(T53=1,"绿",VLOOKUP(T53,{1,"白";2,"绿";3,"蓝";4,"紫";5,"橙";6,"红"},2,0))</f>
        <v>蓝</v>
      </c>
      <c r="T53" s="4">
        <v>3</v>
      </c>
      <c r="U53" s="35" t="str">
        <f t="shared" ref="U53:AD62" si="25">IFERROR(VLOOKUP($N53&amp;U$2,$A:$J,10,0),"")</f>
        <v>1:100:4:12,</v>
      </c>
      <c r="V53" s="35" t="str">
        <f t="shared" si="25"/>
        <v>2:100:4:10,</v>
      </c>
      <c r="W53" s="35" t="str">
        <f t="shared" si="25"/>
        <v>3:100:2:6,</v>
      </c>
      <c r="X53" s="35" t="str">
        <f t="shared" si="25"/>
        <v>4:100:2:6,</v>
      </c>
      <c r="Y53" s="35" t="str">
        <f t="shared" si="25"/>
        <v>5:100:2:6,</v>
      </c>
      <c r="Z53" s="35" t="str">
        <f t="shared" si="25"/>
        <v>6:100:2:6,</v>
      </c>
      <c r="AA53" s="35" t="str">
        <f t="shared" si="25"/>
        <v/>
      </c>
      <c r="AB53" s="35" t="str">
        <f t="shared" si="25"/>
        <v/>
      </c>
      <c r="AC53" s="35" t="str">
        <f t="shared" si="25"/>
        <v>9:50:2:6,</v>
      </c>
      <c r="AD53" s="35" t="str">
        <f t="shared" si="25"/>
        <v>10:50:2:6,</v>
      </c>
      <c r="AE53" s="35" t="str">
        <f t="shared" ref="AE53:AN62" si="26">IFERROR(VLOOKUP($N53&amp;AE$2,$A:$J,10,0),"")</f>
        <v>11:50:1:3,</v>
      </c>
      <c r="AF53" s="35" t="str">
        <f t="shared" si="26"/>
        <v>12:50:1:3,</v>
      </c>
      <c r="AG53" s="35" t="str">
        <f t="shared" si="26"/>
        <v>13:20:20:50,</v>
      </c>
      <c r="AH53" s="35" t="str">
        <f t="shared" si="26"/>
        <v>14:20:2:5,</v>
      </c>
      <c r="AI53" s="35" t="str">
        <f t="shared" si="26"/>
        <v/>
      </c>
      <c r="AJ53" s="35" t="str">
        <f t="shared" si="26"/>
        <v/>
      </c>
      <c r="AK53" s="35" t="str">
        <f t="shared" si="26"/>
        <v>17:60:2:6,</v>
      </c>
      <c r="AL53" s="35" t="str">
        <f t="shared" si="26"/>
        <v>18:60:2:6,</v>
      </c>
      <c r="AM53" s="35" t="str">
        <f t="shared" si="26"/>
        <v/>
      </c>
      <c r="AN53" s="35" t="str">
        <f t="shared" si="26"/>
        <v/>
      </c>
    </row>
    <row r="54" spans="1:40">
      <c r="A54" s="4" t="str">
        <f t="shared" si="1"/>
        <v>1级绿手镯暴击几率</v>
      </c>
      <c r="B54" s="4" t="s">
        <v>218</v>
      </c>
      <c r="C54" s="4" t="s">
        <v>117</v>
      </c>
      <c r="D54" s="4">
        <v>1</v>
      </c>
      <c r="E54" s="4" t="s">
        <v>21</v>
      </c>
      <c r="F54" s="4">
        <f>VLOOKUP(E54,基础属性ID!A:B,2,0)</f>
        <v>13</v>
      </c>
      <c r="G54" s="4">
        <f>VLOOKUP(E54,基础属性ID!$A:$E,5,0)</f>
        <v>20</v>
      </c>
      <c r="H54" s="4">
        <v>10</v>
      </c>
      <c r="I54" s="4">
        <v>30</v>
      </c>
      <c r="J54" s="4" t="str">
        <f t="shared" si="0"/>
        <v>13:20:10:30,</v>
      </c>
      <c r="M54" s="4" t="str">
        <f t="shared" si="4"/>
        <v>1级品质4戒指</v>
      </c>
      <c r="N54" s="4" t="str">
        <f t="shared" si="5"/>
        <v>1级紫戒指</v>
      </c>
      <c r="O54" s="33">
        <f t="shared" si="15"/>
        <v>30004</v>
      </c>
      <c r="P54" s="34" t="str">
        <f t="shared" si="6"/>
        <v>1:100:6:18,2:100:6:15,3:100:3:9,4:100:3:9,5:100:3:9,6:100:3:9,9:50:3:9,10:50:3:9,11:50:2:6,12:50:2:6,13:20:50:150,14:20:3:8,17:60:3:9,18:60:3:9</v>
      </c>
      <c r="Q54" s="4">
        <v>1</v>
      </c>
      <c r="R54" s="4" t="s">
        <v>221</v>
      </c>
      <c r="S54" s="4" t="str">
        <f>IF(T54=1,"绿",VLOOKUP(T54,{1,"白";2,"绿";3,"蓝";4,"紫";5,"橙";6,"红"},2,0))</f>
        <v>紫</v>
      </c>
      <c r="T54" s="4">
        <v>4</v>
      </c>
      <c r="U54" s="35" t="str">
        <f t="shared" si="25"/>
        <v>1:100:6:18,</v>
      </c>
      <c r="V54" s="35" t="str">
        <f t="shared" si="25"/>
        <v>2:100:6:15,</v>
      </c>
      <c r="W54" s="35" t="str">
        <f t="shared" si="25"/>
        <v>3:100:3:9,</v>
      </c>
      <c r="X54" s="35" t="str">
        <f t="shared" si="25"/>
        <v>4:100:3:9,</v>
      </c>
      <c r="Y54" s="35" t="str">
        <f t="shared" si="25"/>
        <v>5:100:3:9,</v>
      </c>
      <c r="Z54" s="35" t="str">
        <f t="shared" si="25"/>
        <v>6:100:3:9,</v>
      </c>
      <c r="AA54" s="35" t="str">
        <f t="shared" si="25"/>
        <v/>
      </c>
      <c r="AB54" s="35" t="str">
        <f t="shared" si="25"/>
        <v/>
      </c>
      <c r="AC54" s="35" t="str">
        <f t="shared" si="25"/>
        <v>9:50:3:9,</v>
      </c>
      <c r="AD54" s="35" t="str">
        <f t="shared" si="25"/>
        <v>10:50:3:9,</v>
      </c>
      <c r="AE54" s="35" t="str">
        <f t="shared" si="26"/>
        <v>11:50:2:6,</v>
      </c>
      <c r="AF54" s="35" t="str">
        <f t="shared" si="26"/>
        <v>12:50:2:6,</v>
      </c>
      <c r="AG54" s="35" t="str">
        <f t="shared" si="26"/>
        <v>13:20:50:150,</v>
      </c>
      <c r="AH54" s="35" t="str">
        <f t="shared" si="26"/>
        <v>14:20:3:8,</v>
      </c>
      <c r="AI54" s="35" t="str">
        <f t="shared" si="26"/>
        <v/>
      </c>
      <c r="AJ54" s="35" t="str">
        <f t="shared" si="26"/>
        <v/>
      </c>
      <c r="AK54" s="35" t="str">
        <f t="shared" si="26"/>
        <v>17:60:3:9,</v>
      </c>
      <c r="AL54" s="35" t="str">
        <f t="shared" si="26"/>
        <v>18:60:3:9,</v>
      </c>
      <c r="AM54" s="35" t="str">
        <f t="shared" si="26"/>
        <v/>
      </c>
      <c r="AN54" s="35" t="str">
        <f t="shared" si="26"/>
        <v/>
      </c>
    </row>
    <row r="55" spans="1:40">
      <c r="A55" s="4" t="str">
        <f t="shared" si="1"/>
        <v>1级绿手镯爆击伤害</v>
      </c>
      <c r="B55" s="4" t="s">
        <v>218</v>
      </c>
      <c r="C55" s="4" t="s">
        <v>117</v>
      </c>
      <c r="D55" s="4">
        <v>1</v>
      </c>
      <c r="E55" s="4" t="s">
        <v>76</v>
      </c>
      <c r="F55" s="4">
        <f>VLOOKUP(E55,基础属性ID!A:B,2,0)</f>
        <v>14</v>
      </c>
      <c r="G55" s="4">
        <f>VLOOKUP(E55,基础属性ID!$A:$E,5,0)</f>
        <v>20</v>
      </c>
      <c r="H55" s="4">
        <v>1</v>
      </c>
      <c r="I55" s="4">
        <v>3</v>
      </c>
      <c r="J55" s="4" t="str">
        <f t="shared" si="0"/>
        <v>14:20:1:3,</v>
      </c>
      <c r="M55" s="4" t="str">
        <f t="shared" si="4"/>
        <v>1级品质5戒指</v>
      </c>
      <c r="N55" s="4" t="str">
        <f t="shared" si="5"/>
        <v>1级橙戒指</v>
      </c>
      <c r="O55" s="33">
        <f t="shared" si="15"/>
        <v>30005</v>
      </c>
      <c r="P55" s="34" t="str">
        <f t="shared" si="6"/>
        <v>1:100:10:30,2:100:10:20,3:100:4:12,4:100:4:12,5:100:4:12,6:100:4:12,9:50:4:12,10:50:4:12,11:50:3:9,12:50:3:9,13:20:150:300,14:20:5:10,17:60:4:12,18:60:4:12</v>
      </c>
      <c r="Q55" s="4">
        <v>1</v>
      </c>
      <c r="R55" s="4" t="s">
        <v>221</v>
      </c>
      <c r="S55" s="4" t="str">
        <f>IF(T55=1,"绿",VLOOKUP(T55,{1,"白";2,"绿";3,"蓝";4,"紫";5,"橙";6,"红"},2,0))</f>
        <v>橙</v>
      </c>
      <c r="T55" s="4">
        <v>5</v>
      </c>
      <c r="U55" s="35" t="str">
        <f t="shared" si="25"/>
        <v>1:100:10:30,</v>
      </c>
      <c r="V55" s="35" t="str">
        <f t="shared" si="25"/>
        <v>2:100:10:20,</v>
      </c>
      <c r="W55" s="35" t="str">
        <f t="shared" si="25"/>
        <v>3:100:4:12,</v>
      </c>
      <c r="X55" s="35" t="str">
        <f t="shared" si="25"/>
        <v>4:100:4:12,</v>
      </c>
      <c r="Y55" s="35" t="str">
        <f t="shared" si="25"/>
        <v>5:100:4:12,</v>
      </c>
      <c r="Z55" s="35" t="str">
        <f t="shared" si="25"/>
        <v>6:100:4:12,</v>
      </c>
      <c r="AA55" s="35" t="str">
        <f t="shared" si="25"/>
        <v/>
      </c>
      <c r="AB55" s="35" t="str">
        <f t="shared" si="25"/>
        <v/>
      </c>
      <c r="AC55" s="35" t="str">
        <f t="shared" si="25"/>
        <v>9:50:4:12,</v>
      </c>
      <c r="AD55" s="35" t="str">
        <f t="shared" si="25"/>
        <v>10:50:4:12,</v>
      </c>
      <c r="AE55" s="35" t="str">
        <f t="shared" si="26"/>
        <v>11:50:3:9,</v>
      </c>
      <c r="AF55" s="35" t="str">
        <f t="shared" si="26"/>
        <v>12:50:3:9,</v>
      </c>
      <c r="AG55" s="35" t="str">
        <f t="shared" si="26"/>
        <v>13:20:150:300,</v>
      </c>
      <c r="AH55" s="35" t="str">
        <f t="shared" si="26"/>
        <v>14:20:5:10,</v>
      </c>
      <c r="AI55" s="35" t="str">
        <f t="shared" si="26"/>
        <v/>
      </c>
      <c r="AJ55" s="35" t="str">
        <f t="shared" si="26"/>
        <v/>
      </c>
      <c r="AK55" s="35" t="str">
        <f t="shared" si="26"/>
        <v>17:60:4:12,</v>
      </c>
      <c r="AL55" s="35" t="str">
        <f t="shared" si="26"/>
        <v>18:60:4:12,</v>
      </c>
      <c r="AM55" s="35" t="str">
        <f t="shared" si="26"/>
        <v/>
      </c>
      <c r="AN55" s="35" t="str">
        <f t="shared" si="26"/>
        <v/>
      </c>
    </row>
    <row r="56" spans="1:40">
      <c r="A56" s="4" t="str">
        <f t="shared" si="1"/>
        <v>1级绿手镯装备掉率</v>
      </c>
      <c r="B56" s="4" t="s">
        <v>218</v>
      </c>
      <c r="C56" s="4" t="s">
        <v>117</v>
      </c>
      <c r="D56" s="4">
        <v>1</v>
      </c>
      <c r="E56" s="4" t="s">
        <v>30</v>
      </c>
      <c r="F56" s="4">
        <f>VLOOKUP(E56,基础属性ID!A:B,2,0)</f>
        <v>17</v>
      </c>
      <c r="G56" s="4">
        <f>VLOOKUP(E56,基础属性ID!$A:$E,5,0)</f>
        <v>60</v>
      </c>
      <c r="H56" s="4">
        <v>1</v>
      </c>
      <c r="I56" s="4">
        <f t="shared" ref="I56:I57" si="27">H56*3</f>
        <v>3</v>
      </c>
      <c r="J56" s="4" t="str">
        <f t="shared" si="0"/>
        <v>17:60:1:3,</v>
      </c>
      <c r="M56" s="4" t="str">
        <f t="shared" si="4"/>
        <v>1级品质6戒指</v>
      </c>
      <c r="N56" s="4" t="str">
        <f t="shared" si="5"/>
        <v>1级红戒指</v>
      </c>
      <c r="O56" s="33">
        <f t="shared" si="15"/>
        <v>30006</v>
      </c>
      <c r="P56" s="34" t="str">
        <f t="shared" si="6"/>
        <v>1:100:15:45,2:100:15:30,3:100:5:15,4:100:5:15,5:100:5:15,6:100:5:15,9:50:5:15,10:50:5:15,11:50:4:12,12:50:4:12,13:20:300:500,14:20:10:20,17:60:5:15,18:60:5:15</v>
      </c>
      <c r="Q56" s="4">
        <v>1</v>
      </c>
      <c r="R56" s="4" t="s">
        <v>221</v>
      </c>
      <c r="S56" s="4" t="str">
        <f>IF(T56=1,"绿",VLOOKUP(T56,{1,"白";2,"绿";3,"蓝";4,"紫";5,"橙";6,"红"},2,0))</f>
        <v>红</v>
      </c>
      <c r="T56" s="4">
        <v>6</v>
      </c>
      <c r="U56" s="35" t="str">
        <f t="shared" si="25"/>
        <v>1:100:15:45,</v>
      </c>
      <c r="V56" s="35" t="str">
        <f t="shared" si="25"/>
        <v>2:100:15:30,</v>
      </c>
      <c r="W56" s="35" t="str">
        <f t="shared" si="25"/>
        <v>3:100:5:15,</v>
      </c>
      <c r="X56" s="35" t="str">
        <f t="shared" si="25"/>
        <v>4:100:5:15,</v>
      </c>
      <c r="Y56" s="35" t="str">
        <f t="shared" si="25"/>
        <v>5:100:5:15,</v>
      </c>
      <c r="Z56" s="35" t="str">
        <f t="shared" si="25"/>
        <v>6:100:5:15,</v>
      </c>
      <c r="AA56" s="35" t="str">
        <f t="shared" si="25"/>
        <v/>
      </c>
      <c r="AB56" s="35" t="str">
        <f t="shared" si="25"/>
        <v/>
      </c>
      <c r="AC56" s="35" t="str">
        <f t="shared" si="25"/>
        <v>9:50:5:15,</v>
      </c>
      <c r="AD56" s="35" t="str">
        <f t="shared" si="25"/>
        <v>10:50:5:15,</v>
      </c>
      <c r="AE56" s="35" t="str">
        <f t="shared" si="26"/>
        <v>11:50:4:12,</v>
      </c>
      <c r="AF56" s="35" t="str">
        <f t="shared" si="26"/>
        <v>12:50:4:12,</v>
      </c>
      <c r="AG56" s="35" t="str">
        <f t="shared" si="26"/>
        <v>13:20:300:500,</v>
      </c>
      <c r="AH56" s="35" t="str">
        <f t="shared" si="26"/>
        <v>14:20:10:20,</v>
      </c>
      <c r="AI56" s="35" t="str">
        <f t="shared" si="26"/>
        <v/>
      </c>
      <c r="AJ56" s="35" t="str">
        <f t="shared" si="26"/>
        <v/>
      </c>
      <c r="AK56" s="35" t="str">
        <f t="shared" si="26"/>
        <v>17:60:5:15,</v>
      </c>
      <c r="AL56" s="35" t="str">
        <f t="shared" si="26"/>
        <v>18:60:5:15,</v>
      </c>
      <c r="AM56" s="35" t="str">
        <f t="shared" si="26"/>
        <v/>
      </c>
      <c r="AN56" s="35" t="str">
        <f t="shared" si="26"/>
        <v/>
      </c>
    </row>
    <row r="57" spans="1:40">
      <c r="A57" s="4" t="str">
        <f t="shared" si="1"/>
        <v>1级绿手镯极品掉率</v>
      </c>
      <c r="B57" s="4" t="s">
        <v>218</v>
      </c>
      <c r="C57" s="4" t="s">
        <v>117</v>
      </c>
      <c r="D57" s="4">
        <v>1</v>
      </c>
      <c r="E57" s="4" t="s">
        <v>31</v>
      </c>
      <c r="F57" s="4">
        <f>VLOOKUP(E57,基础属性ID!A:B,2,0)</f>
        <v>18</v>
      </c>
      <c r="G57" s="4">
        <f>VLOOKUP(E57,基础属性ID!$A:$E,5,0)</f>
        <v>60</v>
      </c>
      <c r="H57" s="4">
        <v>1</v>
      </c>
      <c r="I57" s="4">
        <f t="shared" si="27"/>
        <v>3</v>
      </c>
      <c r="J57" s="4" t="str">
        <f t="shared" si="0"/>
        <v>18:60:1:3,</v>
      </c>
      <c r="M57" s="4" t="str">
        <f t="shared" si="4"/>
        <v>21级品质1戒指</v>
      </c>
      <c r="N57" s="4" t="str">
        <f t="shared" si="5"/>
        <v>21级绿戒指</v>
      </c>
      <c r="O57" s="33">
        <f t="shared" si="15"/>
        <v>31001</v>
      </c>
      <c r="P57" s="34" t="str">
        <f t="shared" si="6"/>
        <v>1:100:5:15,2:100:3:6,3:100:2:6,4:100:2:6,5:100:2:6,6:100:2:6,7:20:1:1,9:50:2:6,10:50:2:6,11:50:1:3,12:50:1:3,13:20:10:30,14:20:1:3,15:10:50:100,16:10:50:100,17:60:1:3,18:60:1:3</v>
      </c>
      <c r="Q57" s="4">
        <v>21</v>
      </c>
      <c r="R57" s="4" t="s">
        <v>221</v>
      </c>
      <c r="S57" s="4" t="str">
        <f>IF(T57=1,"绿",VLOOKUP(T57,{1,"白";2,"绿";3,"蓝";4,"紫";5,"橙";6,"红"},2,0))</f>
        <v>绿</v>
      </c>
      <c r="T57" s="4">
        <v>1</v>
      </c>
      <c r="U57" s="35" t="str">
        <f t="shared" si="25"/>
        <v>1:100:5:15,</v>
      </c>
      <c r="V57" s="35" t="str">
        <f t="shared" si="25"/>
        <v>2:100:3:6,</v>
      </c>
      <c r="W57" s="35" t="str">
        <f t="shared" si="25"/>
        <v>3:100:2:6,</v>
      </c>
      <c r="X57" s="35" t="str">
        <f t="shared" si="25"/>
        <v>4:100:2:6,</v>
      </c>
      <c r="Y57" s="35" t="str">
        <f t="shared" si="25"/>
        <v>5:100:2:6,</v>
      </c>
      <c r="Z57" s="35" t="str">
        <f t="shared" si="25"/>
        <v>6:100:2:6,</v>
      </c>
      <c r="AA57" s="35" t="str">
        <f t="shared" si="25"/>
        <v>7:20:1:1,</v>
      </c>
      <c r="AB57" s="35" t="str">
        <f t="shared" si="25"/>
        <v/>
      </c>
      <c r="AC57" s="35" t="str">
        <f t="shared" si="25"/>
        <v>9:50:2:6,</v>
      </c>
      <c r="AD57" s="35" t="str">
        <f t="shared" si="25"/>
        <v>10:50:2:6,</v>
      </c>
      <c r="AE57" s="35" t="str">
        <f t="shared" si="26"/>
        <v>11:50:1:3,</v>
      </c>
      <c r="AF57" s="35" t="str">
        <f t="shared" si="26"/>
        <v>12:50:1:3,</v>
      </c>
      <c r="AG57" s="35" t="str">
        <f t="shared" si="26"/>
        <v>13:20:10:30,</v>
      </c>
      <c r="AH57" s="35" t="str">
        <f t="shared" si="26"/>
        <v>14:20:1:3,</v>
      </c>
      <c r="AI57" s="35" t="str">
        <f t="shared" si="26"/>
        <v>15:10:50:100,</v>
      </c>
      <c r="AJ57" s="35" t="str">
        <f t="shared" si="26"/>
        <v>16:10:50:100,</v>
      </c>
      <c r="AK57" s="35" t="str">
        <f t="shared" si="26"/>
        <v>17:60:1:3,</v>
      </c>
      <c r="AL57" s="35" t="str">
        <f t="shared" si="26"/>
        <v>18:60:1:3,</v>
      </c>
      <c r="AM57" s="35" t="str">
        <f t="shared" si="26"/>
        <v/>
      </c>
      <c r="AN57" s="35" t="str">
        <f t="shared" si="26"/>
        <v/>
      </c>
    </row>
    <row r="58" spans="1:40">
      <c r="A58" s="4" t="str">
        <f t="shared" si="1"/>
        <v>1级绿戒指生命值</v>
      </c>
      <c r="B58" s="4" t="s">
        <v>221</v>
      </c>
      <c r="C58" s="4" t="s">
        <v>117</v>
      </c>
      <c r="D58" s="4">
        <v>1</v>
      </c>
      <c r="E58" s="4" t="s">
        <v>74</v>
      </c>
      <c r="F58" s="4">
        <f>VLOOKUP(E58,基础属性ID!A:B,2,0)</f>
        <v>1</v>
      </c>
      <c r="G58" s="4">
        <f>VLOOKUP(E58,基础属性ID!$A:$E,5,0)</f>
        <v>100</v>
      </c>
      <c r="H58" s="4">
        <v>1</v>
      </c>
      <c r="I58" s="4">
        <v>5</v>
      </c>
      <c r="J58" s="4" t="str">
        <f t="shared" si="0"/>
        <v>1:100:1:5,</v>
      </c>
      <c r="M58" s="4" t="str">
        <f t="shared" si="4"/>
        <v>21级品质2戒指</v>
      </c>
      <c r="N58" s="4" t="str">
        <f t="shared" si="5"/>
        <v>21级绿戒指</v>
      </c>
      <c r="O58" s="33">
        <f t="shared" si="15"/>
        <v>31002</v>
      </c>
      <c r="P58" s="34" t="str">
        <f t="shared" si="6"/>
        <v>1:100:5:15,2:100:3:6,3:100:2:6,4:100:2:6,5:100:2:6,6:100:2:6,7:20:1:1,9:50:2:6,10:50:2:6,11:50:1:3,12:50:1:3,13:20:10:30,14:20:1:3,15:10:50:100,16:10:50:100,17:60:1:3,18:60:1:3</v>
      </c>
      <c r="Q58" s="4">
        <v>21</v>
      </c>
      <c r="R58" s="4" t="s">
        <v>221</v>
      </c>
      <c r="S58" s="4" t="str">
        <f>IF(T58=1,"绿",VLOOKUP(T58,{1,"白";2,"绿";3,"蓝";4,"紫";5,"橙";6,"红"},2,0))</f>
        <v>绿</v>
      </c>
      <c r="T58" s="4">
        <v>2</v>
      </c>
      <c r="U58" s="35" t="str">
        <f t="shared" si="25"/>
        <v>1:100:5:15,</v>
      </c>
      <c r="V58" s="35" t="str">
        <f t="shared" si="25"/>
        <v>2:100:3:6,</v>
      </c>
      <c r="W58" s="35" t="str">
        <f t="shared" si="25"/>
        <v>3:100:2:6,</v>
      </c>
      <c r="X58" s="35" t="str">
        <f t="shared" si="25"/>
        <v>4:100:2:6,</v>
      </c>
      <c r="Y58" s="35" t="str">
        <f t="shared" si="25"/>
        <v>5:100:2:6,</v>
      </c>
      <c r="Z58" s="35" t="str">
        <f t="shared" si="25"/>
        <v>6:100:2:6,</v>
      </c>
      <c r="AA58" s="35" t="str">
        <f t="shared" si="25"/>
        <v>7:20:1:1,</v>
      </c>
      <c r="AB58" s="35" t="str">
        <f t="shared" si="25"/>
        <v/>
      </c>
      <c r="AC58" s="35" t="str">
        <f t="shared" si="25"/>
        <v>9:50:2:6,</v>
      </c>
      <c r="AD58" s="35" t="str">
        <f t="shared" si="25"/>
        <v>10:50:2:6,</v>
      </c>
      <c r="AE58" s="35" t="str">
        <f t="shared" si="26"/>
        <v>11:50:1:3,</v>
      </c>
      <c r="AF58" s="35" t="str">
        <f t="shared" si="26"/>
        <v>12:50:1:3,</v>
      </c>
      <c r="AG58" s="35" t="str">
        <f t="shared" si="26"/>
        <v>13:20:10:30,</v>
      </c>
      <c r="AH58" s="35" t="str">
        <f t="shared" si="26"/>
        <v>14:20:1:3,</v>
      </c>
      <c r="AI58" s="35" t="str">
        <f t="shared" si="26"/>
        <v>15:10:50:100,</v>
      </c>
      <c r="AJ58" s="35" t="str">
        <f t="shared" si="26"/>
        <v>16:10:50:100,</v>
      </c>
      <c r="AK58" s="35" t="str">
        <f t="shared" si="26"/>
        <v>17:60:1:3,</v>
      </c>
      <c r="AL58" s="35" t="str">
        <f t="shared" si="26"/>
        <v>18:60:1:3,</v>
      </c>
      <c r="AM58" s="35" t="str">
        <f t="shared" si="26"/>
        <v/>
      </c>
      <c r="AN58" s="35" t="str">
        <f t="shared" si="26"/>
        <v/>
      </c>
    </row>
    <row r="59" spans="1:40">
      <c r="A59" s="4" t="str">
        <f t="shared" si="1"/>
        <v>1级绿戒指法力值</v>
      </c>
      <c r="B59" s="4" t="s">
        <v>221</v>
      </c>
      <c r="C59" s="4" t="s">
        <v>117</v>
      </c>
      <c r="D59" s="4">
        <v>1</v>
      </c>
      <c r="E59" s="4" t="s">
        <v>75</v>
      </c>
      <c r="F59" s="4">
        <f>VLOOKUP(E59,基础属性ID!A:B,2,0)</f>
        <v>2</v>
      </c>
      <c r="G59" s="4">
        <f>VLOOKUP(E59,基础属性ID!$A:$E,5,0)</f>
        <v>100</v>
      </c>
      <c r="H59" s="4">
        <v>2</v>
      </c>
      <c r="I59" s="4">
        <v>5</v>
      </c>
      <c r="J59" s="4" t="str">
        <f t="shared" si="0"/>
        <v>2:100:2:5,</v>
      </c>
      <c r="M59" s="4" t="str">
        <f t="shared" si="4"/>
        <v>21级品质3戒指</v>
      </c>
      <c r="N59" s="4" t="str">
        <f t="shared" si="5"/>
        <v>21级蓝戒指</v>
      </c>
      <c r="O59" s="33">
        <f t="shared" si="15"/>
        <v>31003</v>
      </c>
      <c r="P59" s="34" t="str">
        <f t="shared" si="6"/>
        <v>1:100:8:24,2:100:6:12,3:100:3:9,4:100:3:9,5:100:3:9,6:100:3:9,7:20:1:1,9:50:3:9,10:50:3:9,11:50:1:3,12:50:1:3,13:20:20:50,14:20:2:5,15:10:80:150,16:10:80:150,17:60:2:6,18:60:2:6</v>
      </c>
      <c r="Q59" s="4">
        <v>21</v>
      </c>
      <c r="R59" s="4" t="s">
        <v>221</v>
      </c>
      <c r="S59" s="4" t="str">
        <f>IF(T59=1,"绿",VLOOKUP(T59,{1,"白";2,"绿";3,"蓝";4,"紫";5,"橙";6,"红"},2,0))</f>
        <v>蓝</v>
      </c>
      <c r="T59" s="4">
        <v>3</v>
      </c>
      <c r="U59" s="35" t="str">
        <f t="shared" si="25"/>
        <v>1:100:8:24,</v>
      </c>
      <c r="V59" s="35" t="str">
        <f t="shared" si="25"/>
        <v>2:100:6:12,</v>
      </c>
      <c r="W59" s="35" t="str">
        <f t="shared" si="25"/>
        <v>3:100:3:9,</v>
      </c>
      <c r="X59" s="35" t="str">
        <f t="shared" si="25"/>
        <v>4:100:3:9,</v>
      </c>
      <c r="Y59" s="35" t="str">
        <f t="shared" si="25"/>
        <v>5:100:3:9,</v>
      </c>
      <c r="Z59" s="35" t="str">
        <f t="shared" si="25"/>
        <v>6:100:3:9,</v>
      </c>
      <c r="AA59" s="35" t="str">
        <f t="shared" si="25"/>
        <v>7:20:1:1,</v>
      </c>
      <c r="AB59" s="35" t="str">
        <f t="shared" si="25"/>
        <v/>
      </c>
      <c r="AC59" s="35" t="str">
        <f t="shared" si="25"/>
        <v>9:50:3:9,</v>
      </c>
      <c r="AD59" s="35" t="str">
        <f t="shared" si="25"/>
        <v>10:50:3:9,</v>
      </c>
      <c r="AE59" s="35" t="str">
        <f t="shared" si="26"/>
        <v>11:50:1:3,</v>
      </c>
      <c r="AF59" s="35" t="str">
        <f t="shared" si="26"/>
        <v>12:50:1:3,</v>
      </c>
      <c r="AG59" s="35" t="str">
        <f t="shared" si="26"/>
        <v>13:20:20:50,</v>
      </c>
      <c r="AH59" s="35" t="str">
        <f t="shared" si="26"/>
        <v>14:20:2:5,</v>
      </c>
      <c r="AI59" s="35" t="str">
        <f t="shared" si="26"/>
        <v>15:10:80:150,</v>
      </c>
      <c r="AJ59" s="35" t="str">
        <f t="shared" si="26"/>
        <v>16:10:80:150,</v>
      </c>
      <c r="AK59" s="35" t="str">
        <f t="shared" si="26"/>
        <v>17:60:2:6,</v>
      </c>
      <c r="AL59" s="35" t="str">
        <f t="shared" si="26"/>
        <v>18:60:2:6,</v>
      </c>
      <c r="AM59" s="35" t="str">
        <f t="shared" si="26"/>
        <v/>
      </c>
      <c r="AN59" s="35" t="str">
        <f t="shared" si="26"/>
        <v/>
      </c>
    </row>
    <row r="60" spans="1:40">
      <c r="A60" s="4" t="str">
        <f t="shared" si="1"/>
        <v>1级绿戒指物理攻击</v>
      </c>
      <c r="B60" s="4" t="s">
        <v>221</v>
      </c>
      <c r="C60" s="4" t="s">
        <v>117</v>
      </c>
      <c r="D60" s="4">
        <v>1</v>
      </c>
      <c r="E60" s="4" t="s">
        <v>13</v>
      </c>
      <c r="F60" s="4">
        <f>VLOOKUP(E60,基础属性ID!A:B,2,0)</f>
        <v>3</v>
      </c>
      <c r="G60" s="4">
        <f>VLOOKUP(E60,基础属性ID!$A:$E,5,0)</f>
        <v>100</v>
      </c>
      <c r="H60" s="4">
        <v>1</v>
      </c>
      <c r="I60" s="4">
        <f t="shared" ref="I60:I65" si="28">H60*3</f>
        <v>3</v>
      </c>
      <c r="J60" s="4" t="str">
        <f t="shared" si="0"/>
        <v>3:100:1:3,</v>
      </c>
      <c r="M60" s="4" t="str">
        <f t="shared" si="4"/>
        <v>21级品质4戒指</v>
      </c>
      <c r="N60" s="4" t="str">
        <f t="shared" si="5"/>
        <v>21级紫戒指</v>
      </c>
      <c r="O60" s="33">
        <f t="shared" si="15"/>
        <v>31004</v>
      </c>
      <c r="P60" s="34" t="str">
        <f t="shared" si="6"/>
        <v>1:100:12:36,2:100:8:16,3:100:5:15,4:100:5:15,5:100:5:15,6:100:5:15,7:20:1:2,9:50:4:12,10:50:4:12,11:50:3:9,12:50:3:9,13:20:50:150,14:20:3:8,15:10:1:2,16:10:1:2,17:60:3:9,18:60:3:9</v>
      </c>
      <c r="Q60" s="4">
        <v>21</v>
      </c>
      <c r="R60" s="4" t="s">
        <v>221</v>
      </c>
      <c r="S60" s="4" t="str">
        <f>IF(T60=1,"绿",VLOOKUP(T60,{1,"白";2,"绿";3,"蓝";4,"紫";5,"橙";6,"红"},2,0))</f>
        <v>紫</v>
      </c>
      <c r="T60" s="4">
        <v>4</v>
      </c>
      <c r="U60" s="35" t="str">
        <f t="shared" si="25"/>
        <v>1:100:12:36,</v>
      </c>
      <c r="V60" s="35" t="str">
        <f t="shared" si="25"/>
        <v>2:100:8:16,</v>
      </c>
      <c r="W60" s="35" t="str">
        <f t="shared" si="25"/>
        <v>3:100:5:15,</v>
      </c>
      <c r="X60" s="35" t="str">
        <f t="shared" si="25"/>
        <v>4:100:5:15,</v>
      </c>
      <c r="Y60" s="35" t="str">
        <f t="shared" si="25"/>
        <v>5:100:5:15,</v>
      </c>
      <c r="Z60" s="35" t="str">
        <f t="shared" si="25"/>
        <v>6:100:5:15,</v>
      </c>
      <c r="AA60" s="35" t="str">
        <f t="shared" si="25"/>
        <v>7:20:1:2,</v>
      </c>
      <c r="AB60" s="35" t="str">
        <f t="shared" si="25"/>
        <v/>
      </c>
      <c r="AC60" s="35" t="str">
        <f t="shared" si="25"/>
        <v>9:50:4:12,</v>
      </c>
      <c r="AD60" s="35" t="str">
        <f t="shared" si="25"/>
        <v>10:50:4:12,</v>
      </c>
      <c r="AE60" s="35" t="str">
        <f t="shared" si="26"/>
        <v>11:50:3:9,</v>
      </c>
      <c r="AF60" s="35" t="str">
        <f t="shared" si="26"/>
        <v>12:50:3:9,</v>
      </c>
      <c r="AG60" s="35" t="str">
        <f t="shared" si="26"/>
        <v>13:20:50:150,</v>
      </c>
      <c r="AH60" s="35" t="str">
        <f t="shared" si="26"/>
        <v>14:20:3:8,</v>
      </c>
      <c r="AI60" s="35" t="str">
        <f t="shared" si="26"/>
        <v>15:10:1:2,</v>
      </c>
      <c r="AJ60" s="35" t="str">
        <f t="shared" si="26"/>
        <v>16:10:1:2,</v>
      </c>
      <c r="AK60" s="35" t="str">
        <f t="shared" si="26"/>
        <v>17:60:3:9,</v>
      </c>
      <c r="AL60" s="35" t="str">
        <f t="shared" si="26"/>
        <v>18:60:3:9,</v>
      </c>
      <c r="AM60" s="35" t="str">
        <f t="shared" si="26"/>
        <v/>
      </c>
      <c r="AN60" s="35" t="str">
        <f t="shared" si="26"/>
        <v/>
      </c>
    </row>
    <row r="61" spans="1:40">
      <c r="A61" s="4" t="str">
        <f t="shared" si="1"/>
        <v>1级绿戒指魔法攻击</v>
      </c>
      <c r="B61" s="4" t="s">
        <v>221</v>
      </c>
      <c r="C61" s="4" t="s">
        <v>117</v>
      </c>
      <c r="D61" s="4">
        <v>1</v>
      </c>
      <c r="E61" s="4" t="s">
        <v>14</v>
      </c>
      <c r="F61" s="4">
        <f>VLOOKUP(E61,基础属性ID!A:B,2,0)</f>
        <v>4</v>
      </c>
      <c r="G61" s="4">
        <f>VLOOKUP(E61,基础属性ID!$A:$E,5,0)</f>
        <v>100</v>
      </c>
      <c r="H61" s="4">
        <v>1</v>
      </c>
      <c r="I61" s="4">
        <f t="shared" si="28"/>
        <v>3</v>
      </c>
      <c r="J61" s="4" t="str">
        <f t="shared" si="0"/>
        <v>4:100:1:3,</v>
      </c>
      <c r="M61" s="4" t="str">
        <f t="shared" si="4"/>
        <v>21级品质5戒指</v>
      </c>
      <c r="N61" s="4" t="str">
        <f t="shared" si="5"/>
        <v>21级橙戒指</v>
      </c>
      <c r="O61" s="33">
        <f t="shared" si="15"/>
        <v>31005</v>
      </c>
      <c r="P61" s="34" t="str">
        <f t="shared" si="6"/>
        <v>1:100:15:45,2:100:12:24,3:100:6:18,4:100:6:18,5:100:6:18,6:100:6:18,7:20:1:3,9:50:5:15,10:50:5:15,11:50:4:12,12:50:4:12,13:20:150:300,14:20:5:10,15:10:150:300,16:10:150:300,17:60:4:12,18:60:4:12</v>
      </c>
      <c r="Q61" s="4">
        <v>21</v>
      </c>
      <c r="R61" s="4" t="s">
        <v>221</v>
      </c>
      <c r="S61" s="4" t="str">
        <f>IF(T61=1,"绿",VLOOKUP(T61,{1,"白";2,"绿";3,"蓝";4,"紫";5,"橙";6,"红"},2,0))</f>
        <v>橙</v>
      </c>
      <c r="T61" s="4">
        <v>5</v>
      </c>
      <c r="U61" s="35" t="str">
        <f t="shared" si="25"/>
        <v>1:100:15:45,</v>
      </c>
      <c r="V61" s="35" t="str">
        <f t="shared" si="25"/>
        <v>2:100:12:24,</v>
      </c>
      <c r="W61" s="35" t="str">
        <f t="shared" si="25"/>
        <v>3:100:6:18,</v>
      </c>
      <c r="X61" s="35" t="str">
        <f t="shared" si="25"/>
        <v>4:100:6:18,</v>
      </c>
      <c r="Y61" s="35" t="str">
        <f t="shared" si="25"/>
        <v>5:100:6:18,</v>
      </c>
      <c r="Z61" s="35" t="str">
        <f t="shared" si="25"/>
        <v>6:100:6:18,</v>
      </c>
      <c r="AA61" s="35" t="str">
        <f t="shared" si="25"/>
        <v>7:20:1:3,</v>
      </c>
      <c r="AB61" s="35" t="str">
        <f t="shared" si="25"/>
        <v/>
      </c>
      <c r="AC61" s="35" t="str">
        <f t="shared" si="25"/>
        <v>9:50:5:15,</v>
      </c>
      <c r="AD61" s="35" t="str">
        <f t="shared" si="25"/>
        <v>10:50:5:15,</v>
      </c>
      <c r="AE61" s="35" t="str">
        <f t="shared" si="26"/>
        <v>11:50:4:12,</v>
      </c>
      <c r="AF61" s="35" t="str">
        <f t="shared" si="26"/>
        <v>12:50:4:12,</v>
      </c>
      <c r="AG61" s="35" t="str">
        <f t="shared" si="26"/>
        <v>13:20:150:300,</v>
      </c>
      <c r="AH61" s="35" t="str">
        <f t="shared" si="26"/>
        <v>14:20:5:10,</v>
      </c>
      <c r="AI61" s="35" t="str">
        <f t="shared" si="26"/>
        <v>15:10:150:300,</v>
      </c>
      <c r="AJ61" s="35" t="str">
        <f t="shared" si="26"/>
        <v>16:10:150:300,</v>
      </c>
      <c r="AK61" s="35" t="str">
        <f t="shared" si="26"/>
        <v>17:60:4:12,</v>
      </c>
      <c r="AL61" s="35" t="str">
        <f t="shared" si="26"/>
        <v>18:60:4:12,</v>
      </c>
      <c r="AM61" s="35" t="str">
        <f t="shared" si="26"/>
        <v/>
      </c>
      <c r="AN61" s="35" t="str">
        <f t="shared" si="26"/>
        <v/>
      </c>
    </row>
    <row r="62" spans="1:40">
      <c r="A62" s="4" t="str">
        <f t="shared" si="1"/>
        <v>1级绿戒指道术攻击</v>
      </c>
      <c r="B62" s="4" t="s">
        <v>221</v>
      </c>
      <c r="C62" s="4" t="s">
        <v>117</v>
      </c>
      <c r="D62" s="4">
        <v>1</v>
      </c>
      <c r="E62" s="4" t="s">
        <v>15</v>
      </c>
      <c r="F62" s="4">
        <f>VLOOKUP(E62,基础属性ID!A:B,2,0)</f>
        <v>5</v>
      </c>
      <c r="G62" s="4">
        <f>VLOOKUP(E62,基础属性ID!$A:$E,5,0)</f>
        <v>100</v>
      </c>
      <c r="H62" s="4">
        <v>1</v>
      </c>
      <c r="I62" s="4">
        <f t="shared" si="28"/>
        <v>3</v>
      </c>
      <c r="J62" s="4" t="str">
        <f t="shared" si="0"/>
        <v>5:100:1:3,</v>
      </c>
      <c r="M62" s="4" t="str">
        <f t="shared" si="4"/>
        <v>21级品质6戒指</v>
      </c>
      <c r="N62" s="4" t="str">
        <f t="shared" si="5"/>
        <v>21级红戒指</v>
      </c>
      <c r="O62" s="33">
        <f t="shared" si="15"/>
        <v>31006</v>
      </c>
      <c r="P62" s="34" t="str">
        <f t="shared" si="6"/>
        <v>1:100:20:60,2:100:18:36,3:100:8:24,4:100:8:24,5:100:8:24,6:100:8:24,7:20:1:5,9:50:6:18,10:50:6:18,11:50:6:18,12:50:6:18,13:20:300:500,14:20:10:20,15:10:2:5,16:10:2:5,17:60:5:15,18:60:5:15</v>
      </c>
      <c r="Q62" s="4">
        <v>21</v>
      </c>
      <c r="R62" s="4" t="s">
        <v>221</v>
      </c>
      <c r="S62" s="4" t="str">
        <f>IF(T62=1,"绿",VLOOKUP(T62,{1,"白";2,"绿";3,"蓝";4,"紫";5,"橙";6,"红"},2,0))</f>
        <v>红</v>
      </c>
      <c r="T62" s="4">
        <v>6</v>
      </c>
      <c r="U62" s="35" t="str">
        <f t="shared" si="25"/>
        <v>1:100:20:60,</v>
      </c>
      <c r="V62" s="35" t="str">
        <f t="shared" si="25"/>
        <v>2:100:18:36,</v>
      </c>
      <c r="W62" s="35" t="str">
        <f t="shared" si="25"/>
        <v>3:100:8:24,</v>
      </c>
      <c r="X62" s="35" t="str">
        <f t="shared" si="25"/>
        <v>4:100:8:24,</v>
      </c>
      <c r="Y62" s="35" t="str">
        <f t="shared" si="25"/>
        <v>5:100:8:24,</v>
      </c>
      <c r="Z62" s="35" t="str">
        <f t="shared" si="25"/>
        <v>6:100:8:24,</v>
      </c>
      <c r="AA62" s="35" t="str">
        <f t="shared" si="25"/>
        <v>7:20:1:5,</v>
      </c>
      <c r="AB62" s="35" t="str">
        <f t="shared" si="25"/>
        <v/>
      </c>
      <c r="AC62" s="35" t="str">
        <f t="shared" si="25"/>
        <v>9:50:6:18,</v>
      </c>
      <c r="AD62" s="35" t="str">
        <f t="shared" si="25"/>
        <v>10:50:6:18,</v>
      </c>
      <c r="AE62" s="35" t="str">
        <f t="shared" si="26"/>
        <v>11:50:6:18,</v>
      </c>
      <c r="AF62" s="35" t="str">
        <f t="shared" si="26"/>
        <v>12:50:6:18,</v>
      </c>
      <c r="AG62" s="35" t="str">
        <f t="shared" si="26"/>
        <v>13:20:300:500,</v>
      </c>
      <c r="AH62" s="35" t="str">
        <f t="shared" si="26"/>
        <v>14:20:10:20,</v>
      </c>
      <c r="AI62" s="35" t="str">
        <f t="shared" si="26"/>
        <v>15:10:2:5,</v>
      </c>
      <c r="AJ62" s="35" t="str">
        <f t="shared" si="26"/>
        <v>16:10:2:5,</v>
      </c>
      <c r="AK62" s="35" t="str">
        <f t="shared" si="26"/>
        <v>17:60:5:15,</v>
      </c>
      <c r="AL62" s="35" t="str">
        <f t="shared" si="26"/>
        <v>18:60:5:15,</v>
      </c>
      <c r="AM62" s="35" t="str">
        <f t="shared" si="26"/>
        <v/>
      </c>
      <c r="AN62" s="35" t="str">
        <f t="shared" si="26"/>
        <v/>
      </c>
    </row>
    <row r="63" spans="1:40">
      <c r="A63" s="4" t="str">
        <f t="shared" si="1"/>
        <v>1级绿戒指防御</v>
      </c>
      <c r="B63" s="4" t="s">
        <v>221</v>
      </c>
      <c r="C63" s="4" t="s">
        <v>117</v>
      </c>
      <c r="D63" s="4">
        <v>1</v>
      </c>
      <c r="E63" s="4" t="s">
        <v>17</v>
      </c>
      <c r="F63" s="4">
        <f>VLOOKUP(E63,基础属性ID!A:B,2,0)</f>
        <v>6</v>
      </c>
      <c r="G63" s="4">
        <f>VLOOKUP(E63,基础属性ID!$A:$E,5,0)</f>
        <v>100</v>
      </c>
      <c r="H63" s="4">
        <v>1</v>
      </c>
      <c r="I63" s="4">
        <f t="shared" si="28"/>
        <v>3</v>
      </c>
      <c r="J63" s="4" t="str">
        <f t="shared" si="0"/>
        <v>6:100:1:3,</v>
      </c>
      <c r="M63" s="4" t="str">
        <f t="shared" si="4"/>
        <v>41级品质1戒指</v>
      </c>
      <c r="N63" s="4" t="str">
        <f t="shared" si="5"/>
        <v>41级绿戒指</v>
      </c>
      <c r="O63" s="33">
        <f t="shared" si="15"/>
        <v>32001</v>
      </c>
      <c r="P63" s="34" t="str">
        <f t="shared" si="6"/>
        <v>1:100:10:30,2:100:4:8,3:100:3:9,4:100:3:9,5:100:3:9,6:100:3:9,7:20:1:1,9:50:3:9,10:50:3:9,11:50:2:6,12:50:2:6,13:20:10:30,14:20:1:3,15:10:50:100,16:10:50:100,17:60:1:3,18:60:1:3</v>
      </c>
      <c r="Q63" s="4">
        <v>41</v>
      </c>
      <c r="R63" s="4" t="s">
        <v>221</v>
      </c>
      <c r="S63" s="4" t="str">
        <f>IF(T63=1,"绿",VLOOKUP(T63,{1,"白";2,"绿";3,"蓝";4,"紫";5,"橙";6,"红"},2,0))</f>
        <v>绿</v>
      </c>
      <c r="T63" s="4">
        <v>1</v>
      </c>
      <c r="U63" s="35" t="str">
        <f t="shared" ref="U63:AD72" si="29">IFERROR(VLOOKUP($N63&amp;U$2,$A:$J,10,0),"")</f>
        <v>1:100:10:30,</v>
      </c>
      <c r="V63" s="35" t="str">
        <f t="shared" si="29"/>
        <v>2:100:4:8,</v>
      </c>
      <c r="W63" s="35" t="str">
        <f t="shared" si="29"/>
        <v>3:100:3:9,</v>
      </c>
      <c r="X63" s="35" t="str">
        <f t="shared" si="29"/>
        <v>4:100:3:9,</v>
      </c>
      <c r="Y63" s="35" t="str">
        <f t="shared" si="29"/>
        <v>5:100:3:9,</v>
      </c>
      <c r="Z63" s="35" t="str">
        <f t="shared" si="29"/>
        <v>6:100:3:9,</v>
      </c>
      <c r="AA63" s="35" t="str">
        <f t="shared" si="29"/>
        <v>7:20:1:1,</v>
      </c>
      <c r="AB63" s="35" t="str">
        <f t="shared" si="29"/>
        <v/>
      </c>
      <c r="AC63" s="35" t="str">
        <f t="shared" si="29"/>
        <v>9:50:3:9,</v>
      </c>
      <c r="AD63" s="35" t="str">
        <f t="shared" si="29"/>
        <v>10:50:3:9,</v>
      </c>
      <c r="AE63" s="35" t="str">
        <f t="shared" ref="AE63:AN72" si="30">IFERROR(VLOOKUP($N63&amp;AE$2,$A:$J,10,0),"")</f>
        <v>11:50:2:6,</v>
      </c>
      <c r="AF63" s="35" t="str">
        <f t="shared" si="30"/>
        <v>12:50:2:6,</v>
      </c>
      <c r="AG63" s="35" t="str">
        <f t="shared" si="30"/>
        <v>13:20:10:30,</v>
      </c>
      <c r="AH63" s="35" t="str">
        <f t="shared" si="30"/>
        <v>14:20:1:3,</v>
      </c>
      <c r="AI63" s="35" t="str">
        <f t="shared" si="30"/>
        <v>15:10:50:100,</v>
      </c>
      <c r="AJ63" s="35" t="str">
        <f t="shared" si="30"/>
        <v>16:10:50:100,</v>
      </c>
      <c r="AK63" s="35" t="str">
        <f t="shared" si="30"/>
        <v>17:60:1:3,</v>
      </c>
      <c r="AL63" s="35" t="str">
        <f t="shared" si="30"/>
        <v>18:60:1:3,</v>
      </c>
      <c r="AM63" s="35" t="str">
        <f t="shared" si="30"/>
        <v/>
      </c>
      <c r="AN63" s="35" t="str">
        <f t="shared" si="30"/>
        <v/>
      </c>
    </row>
    <row r="64" spans="1:40">
      <c r="A64" s="4" t="str">
        <f t="shared" si="1"/>
        <v>1级绿戒指固定伤害</v>
      </c>
      <c r="B64" s="4" t="s">
        <v>221</v>
      </c>
      <c r="C64" s="4" t="s">
        <v>117</v>
      </c>
      <c r="D64" s="4">
        <v>1</v>
      </c>
      <c r="E64" s="4" t="s">
        <v>24</v>
      </c>
      <c r="F64" s="4">
        <f>VLOOKUP(E64,基础属性ID!A:B,2,0)</f>
        <v>9</v>
      </c>
      <c r="G64" s="4">
        <f>VLOOKUP(E64,基础属性ID!$A:$E,5,0)</f>
        <v>50</v>
      </c>
      <c r="H64" s="4">
        <v>1</v>
      </c>
      <c r="I64" s="4">
        <f t="shared" si="28"/>
        <v>3</v>
      </c>
      <c r="J64" s="4" t="str">
        <f t="shared" si="0"/>
        <v>9:50:1:3,</v>
      </c>
      <c r="M64" s="4" t="str">
        <f t="shared" si="4"/>
        <v>41级品质2戒指</v>
      </c>
      <c r="N64" s="4" t="str">
        <f t="shared" si="5"/>
        <v>41级绿戒指</v>
      </c>
      <c r="O64" s="33">
        <f t="shared" si="15"/>
        <v>32002</v>
      </c>
      <c r="P64" s="34" t="str">
        <f t="shared" si="6"/>
        <v>1:100:10:30,2:100:4:8,3:100:3:9,4:100:3:9,5:100:3:9,6:100:3:9,7:20:1:1,9:50:3:9,10:50:3:9,11:50:2:6,12:50:2:6,13:20:10:30,14:20:1:3,15:10:50:100,16:10:50:100,17:60:1:3,18:60:1:3</v>
      </c>
      <c r="Q64" s="4">
        <v>41</v>
      </c>
      <c r="R64" s="4" t="s">
        <v>221</v>
      </c>
      <c r="S64" s="4" t="str">
        <f>IF(T64=1,"绿",VLOOKUP(T64,{1,"白";2,"绿";3,"蓝";4,"紫";5,"橙";6,"红"},2,0))</f>
        <v>绿</v>
      </c>
      <c r="T64" s="4">
        <v>2</v>
      </c>
      <c r="U64" s="35" t="str">
        <f t="shared" si="29"/>
        <v>1:100:10:30,</v>
      </c>
      <c r="V64" s="35" t="str">
        <f t="shared" si="29"/>
        <v>2:100:4:8,</v>
      </c>
      <c r="W64" s="35" t="str">
        <f t="shared" si="29"/>
        <v>3:100:3:9,</v>
      </c>
      <c r="X64" s="35" t="str">
        <f t="shared" si="29"/>
        <v>4:100:3:9,</v>
      </c>
      <c r="Y64" s="35" t="str">
        <f t="shared" si="29"/>
        <v>5:100:3:9,</v>
      </c>
      <c r="Z64" s="35" t="str">
        <f t="shared" si="29"/>
        <v>6:100:3:9,</v>
      </c>
      <c r="AA64" s="35" t="str">
        <f t="shared" si="29"/>
        <v>7:20:1:1,</v>
      </c>
      <c r="AB64" s="35" t="str">
        <f t="shared" si="29"/>
        <v/>
      </c>
      <c r="AC64" s="35" t="str">
        <f t="shared" si="29"/>
        <v>9:50:3:9,</v>
      </c>
      <c r="AD64" s="35" t="str">
        <f t="shared" si="29"/>
        <v>10:50:3:9,</v>
      </c>
      <c r="AE64" s="35" t="str">
        <f t="shared" si="30"/>
        <v>11:50:2:6,</v>
      </c>
      <c r="AF64" s="35" t="str">
        <f t="shared" si="30"/>
        <v>12:50:2:6,</v>
      </c>
      <c r="AG64" s="35" t="str">
        <f t="shared" si="30"/>
        <v>13:20:10:30,</v>
      </c>
      <c r="AH64" s="35" t="str">
        <f t="shared" si="30"/>
        <v>14:20:1:3,</v>
      </c>
      <c r="AI64" s="35" t="str">
        <f t="shared" si="30"/>
        <v>15:10:50:100,</v>
      </c>
      <c r="AJ64" s="35" t="str">
        <f t="shared" si="30"/>
        <v>16:10:50:100,</v>
      </c>
      <c r="AK64" s="35" t="str">
        <f t="shared" si="30"/>
        <v>17:60:1:3,</v>
      </c>
      <c r="AL64" s="35" t="str">
        <f t="shared" si="30"/>
        <v>18:60:1:3,</v>
      </c>
      <c r="AM64" s="35" t="str">
        <f t="shared" si="30"/>
        <v/>
      </c>
      <c r="AN64" s="35" t="str">
        <f t="shared" si="30"/>
        <v/>
      </c>
    </row>
    <row r="65" spans="1:40">
      <c r="A65" s="4" t="str">
        <f t="shared" si="1"/>
        <v>1级绿戒指固定减伤</v>
      </c>
      <c r="B65" s="4" t="s">
        <v>221</v>
      </c>
      <c r="C65" s="4" t="s">
        <v>117</v>
      </c>
      <c r="D65" s="4">
        <v>1</v>
      </c>
      <c r="E65" s="4" t="s">
        <v>25</v>
      </c>
      <c r="F65" s="4">
        <f>VLOOKUP(E65,基础属性ID!A:B,2,0)</f>
        <v>10</v>
      </c>
      <c r="G65" s="4">
        <f>VLOOKUP(E65,基础属性ID!$A:$E,5,0)</f>
        <v>50</v>
      </c>
      <c r="H65" s="4">
        <v>1</v>
      </c>
      <c r="I65" s="4">
        <f t="shared" si="28"/>
        <v>3</v>
      </c>
      <c r="J65" s="4" t="str">
        <f t="shared" si="0"/>
        <v>10:50:1:3,</v>
      </c>
      <c r="M65" s="4" t="str">
        <f t="shared" si="4"/>
        <v>41级品质3戒指</v>
      </c>
      <c r="N65" s="4" t="str">
        <f t="shared" si="5"/>
        <v>41级蓝戒指</v>
      </c>
      <c r="O65" s="33">
        <f t="shared" si="15"/>
        <v>32003</v>
      </c>
      <c r="P65" s="34" t="str">
        <f t="shared" si="6"/>
        <v>1:100:15:45,2:100:8:15,3:100:4:12,4:100:4:12,5:100:4:12,6:100:4:12,7:20:1:1,9:50:4:12,10:50:4:12,11:50:2:6,12:50:2:6,13:20:20:50,14:20:2:5,15:10:80:150,16:10:80:150,17:60:2:6,18:60:2:6</v>
      </c>
      <c r="Q65" s="4">
        <v>41</v>
      </c>
      <c r="R65" s="4" t="s">
        <v>221</v>
      </c>
      <c r="S65" s="4" t="str">
        <f>IF(T65=1,"绿",VLOOKUP(T65,{1,"白";2,"绿";3,"蓝";4,"紫";5,"橙";6,"红"},2,0))</f>
        <v>蓝</v>
      </c>
      <c r="T65" s="4">
        <v>3</v>
      </c>
      <c r="U65" s="35" t="str">
        <f t="shared" si="29"/>
        <v>1:100:15:45,</v>
      </c>
      <c r="V65" s="35" t="str">
        <f t="shared" si="29"/>
        <v>2:100:8:15,</v>
      </c>
      <c r="W65" s="35" t="str">
        <f t="shared" si="29"/>
        <v>3:100:4:12,</v>
      </c>
      <c r="X65" s="35" t="str">
        <f t="shared" si="29"/>
        <v>4:100:4:12,</v>
      </c>
      <c r="Y65" s="35" t="str">
        <f t="shared" si="29"/>
        <v>5:100:4:12,</v>
      </c>
      <c r="Z65" s="35" t="str">
        <f t="shared" si="29"/>
        <v>6:100:4:12,</v>
      </c>
      <c r="AA65" s="35" t="str">
        <f t="shared" si="29"/>
        <v>7:20:1:1,</v>
      </c>
      <c r="AB65" s="35" t="str">
        <f t="shared" si="29"/>
        <v/>
      </c>
      <c r="AC65" s="35" t="str">
        <f t="shared" si="29"/>
        <v>9:50:4:12,</v>
      </c>
      <c r="AD65" s="35" t="str">
        <f t="shared" si="29"/>
        <v>10:50:4:12,</v>
      </c>
      <c r="AE65" s="35" t="str">
        <f t="shared" si="30"/>
        <v>11:50:2:6,</v>
      </c>
      <c r="AF65" s="35" t="str">
        <f t="shared" si="30"/>
        <v>12:50:2:6,</v>
      </c>
      <c r="AG65" s="35" t="str">
        <f t="shared" si="30"/>
        <v>13:20:20:50,</v>
      </c>
      <c r="AH65" s="35" t="str">
        <f t="shared" si="30"/>
        <v>14:20:2:5,</v>
      </c>
      <c r="AI65" s="35" t="str">
        <f t="shared" si="30"/>
        <v>15:10:80:150,</v>
      </c>
      <c r="AJ65" s="35" t="str">
        <f t="shared" si="30"/>
        <v>16:10:80:150,</v>
      </c>
      <c r="AK65" s="35" t="str">
        <f t="shared" si="30"/>
        <v>17:60:2:6,</v>
      </c>
      <c r="AL65" s="35" t="str">
        <f t="shared" si="30"/>
        <v>18:60:2:6,</v>
      </c>
      <c r="AM65" s="35" t="str">
        <f t="shared" si="30"/>
        <v/>
      </c>
      <c r="AN65" s="35" t="str">
        <f t="shared" si="30"/>
        <v/>
      </c>
    </row>
    <row r="66" spans="1:40">
      <c r="A66" s="4" t="str">
        <f t="shared" si="1"/>
        <v>1级绿戒指生命吸取</v>
      </c>
      <c r="B66" s="4" t="s">
        <v>221</v>
      </c>
      <c r="C66" s="4" t="s">
        <v>117</v>
      </c>
      <c r="D66" s="4">
        <v>1</v>
      </c>
      <c r="E66" s="4" t="s">
        <v>28</v>
      </c>
      <c r="F66" s="4">
        <f>VLOOKUP(E66,基础属性ID!A:B,2,0)</f>
        <v>11</v>
      </c>
      <c r="G66" s="4">
        <f>VLOOKUP(E66,基础属性ID!$A:$E,5,0)</f>
        <v>50</v>
      </c>
      <c r="H66" s="4">
        <v>1</v>
      </c>
      <c r="I66" s="4">
        <f t="shared" ref="I66:I67" si="31">H66*3</f>
        <v>3</v>
      </c>
      <c r="J66" s="4" t="str">
        <f t="shared" ref="J66:J129" si="32">F66&amp;":"&amp;G66&amp;":"&amp;H66&amp;":"&amp;I66&amp;","</f>
        <v>11:50:1:3,</v>
      </c>
      <c r="M66" s="4" t="str">
        <f t="shared" si="4"/>
        <v>41级品质4戒指</v>
      </c>
      <c r="N66" s="4" t="str">
        <f t="shared" si="5"/>
        <v>41级紫戒指</v>
      </c>
      <c r="O66" s="33">
        <f t="shared" si="15"/>
        <v>32004</v>
      </c>
      <c r="P66" s="34" t="str">
        <f t="shared" si="6"/>
        <v>1:100:20:60,2:100:10:20,3:100:7:21,4:100:7:21,5:100:7:21,6:100:7:21,7:20:1:2,9:50:5:15,10:50:5:15,11:50:4:12,12:50:4:12,13:20:50:150,14:20:3:8,15:10:1:2,16:10:1:2,17:60:3:9,18:60:3:9</v>
      </c>
      <c r="Q66" s="4">
        <v>41</v>
      </c>
      <c r="R66" s="4" t="s">
        <v>221</v>
      </c>
      <c r="S66" s="4" t="str">
        <f>IF(T66=1,"绿",VLOOKUP(T66,{1,"白";2,"绿";3,"蓝";4,"紫";5,"橙";6,"红"},2,0))</f>
        <v>紫</v>
      </c>
      <c r="T66" s="4">
        <v>4</v>
      </c>
      <c r="U66" s="35" t="str">
        <f t="shared" si="29"/>
        <v>1:100:20:60,</v>
      </c>
      <c r="V66" s="35" t="str">
        <f t="shared" si="29"/>
        <v>2:100:10:20,</v>
      </c>
      <c r="W66" s="35" t="str">
        <f t="shared" si="29"/>
        <v>3:100:7:21,</v>
      </c>
      <c r="X66" s="35" t="str">
        <f t="shared" si="29"/>
        <v>4:100:7:21,</v>
      </c>
      <c r="Y66" s="35" t="str">
        <f t="shared" si="29"/>
        <v>5:100:7:21,</v>
      </c>
      <c r="Z66" s="35" t="str">
        <f t="shared" si="29"/>
        <v>6:100:7:21,</v>
      </c>
      <c r="AA66" s="35" t="str">
        <f t="shared" si="29"/>
        <v>7:20:1:2,</v>
      </c>
      <c r="AB66" s="35" t="str">
        <f t="shared" si="29"/>
        <v/>
      </c>
      <c r="AC66" s="35" t="str">
        <f t="shared" si="29"/>
        <v>9:50:5:15,</v>
      </c>
      <c r="AD66" s="35" t="str">
        <f t="shared" si="29"/>
        <v>10:50:5:15,</v>
      </c>
      <c r="AE66" s="35" t="str">
        <f t="shared" si="30"/>
        <v>11:50:4:12,</v>
      </c>
      <c r="AF66" s="35" t="str">
        <f t="shared" si="30"/>
        <v>12:50:4:12,</v>
      </c>
      <c r="AG66" s="35" t="str">
        <f t="shared" si="30"/>
        <v>13:20:50:150,</v>
      </c>
      <c r="AH66" s="35" t="str">
        <f t="shared" si="30"/>
        <v>14:20:3:8,</v>
      </c>
      <c r="AI66" s="35" t="str">
        <f t="shared" si="30"/>
        <v>15:10:1:2,</v>
      </c>
      <c r="AJ66" s="35" t="str">
        <f t="shared" si="30"/>
        <v>16:10:1:2,</v>
      </c>
      <c r="AK66" s="35" t="str">
        <f t="shared" si="30"/>
        <v>17:60:3:9,</v>
      </c>
      <c r="AL66" s="35" t="str">
        <f t="shared" si="30"/>
        <v>18:60:3:9,</v>
      </c>
      <c r="AM66" s="35" t="str">
        <f t="shared" si="30"/>
        <v/>
      </c>
      <c r="AN66" s="35" t="str">
        <f t="shared" si="30"/>
        <v/>
      </c>
    </row>
    <row r="67" spans="1:40">
      <c r="A67" s="4" t="str">
        <f t="shared" ref="A67:A130" si="33">D67&amp;"级"&amp;C67&amp;B67&amp;E67</f>
        <v>1级绿戒指法力吸取</v>
      </c>
      <c r="B67" s="4" t="s">
        <v>221</v>
      </c>
      <c r="C67" s="4" t="s">
        <v>117</v>
      </c>
      <c r="D67" s="4">
        <v>1</v>
      </c>
      <c r="E67" s="4" t="s">
        <v>29</v>
      </c>
      <c r="F67" s="4">
        <f>VLOOKUP(E67,基础属性ID!A:B,2,0)</f>
        <v>12</v>
      </c>
      <c r="G67" s="4">
        <f>VLOOKUP(E67,基础属性ID!$A:$E,5,0)</f>
        <v>50</v>
      </c>
      <c r="H67" s="4">
        <v>1</v>
      </c>
      <c r="I67" s="4">
        <f t="shared" si="31"/>
        <v>3</v>
      </c>
      <c r="J67" s="4" t="str">
        <f t="shared" si="32"/>
        <v>12:50:1:3,</v>
      </c>
      <c r="M67" s="4" t="str">
        <f t="shared" si="4"/>
        <v>41级品质5戒指</v>
      </c>
      <c r="N67" s="4" t="str">
        <f t="shared" si="5"/>
        <v>41级橙戒指</v>
      </c>
      <c r="O67" s="33">
        <f t="shared" si="15"/>
        <v>32005</v>
      </c>
      <c r="P67" s="34" t="str">
        <f t="shared" si="6"/>
        <v>1:100:25:75,2:100:14:28,3:100:8:24,4:100:8:24,5:100:8:24,6:100:8:24,7:20:1:3,9:50:6:18,10:50:6:18,11:50:6:18,12:50:6:18,13:20:150:300,14:20:5:10,15:10:150:300,16:10:150:300,17:60:4:12,18:60:4:12</v>
      </c>
      <c r="Q67" s="4">
        <v>41</v>
      </c>
      <c r="R67" s="4" t="s">
        <v>221</v>
      </c>
      <c r="S67" s="4" t="str">
        <f>IF(T67=1,"绿",VLOOKUP(T67,{1,"白";2,"绿";3,"蓝";4,"紫";5,"橙";6,"红"},2,0))</f>
        <v>橙</v>
      </c>
      <c r="T67" s="4">
        <v>5</v>
      </c>
      <c r="U67" s="35" t="str">
        <f t="shared" si="29"/>
        <v>1:100:25:75,</v>
      </c>
      <c r="V67" s="35" t="str">
        <f t="shared" si="29"/>
        <v>2:100:14:28,</v>
      </c>
      <c r="W67" s="35" t="str">
        <f t="shared" si="29"/>
        <v>3:100:8:24,</v>
      </c>
      <c r="X67" s="35" t="str">
        <f t="shared" si="29"/>
        <v>4:100:8:24,</v>
      </c>
      <c r="Y67" s="35" t="str">
        <f t="shared" si="29"/>
        <v>5:100:8:24,</v>
      </c>
      <c r="Z67" s="35" t="str">
        <f t="shared" si="29"/>
        <v>6:100:8:24,</v>
      </c>
      <c r="AA67" s="35" t="str">
        <f t="shared" si="29"/>
        <v>7:20:1:3,</v>
      </c>
      <c r="AB67" s="35" t="str">
        <f t="shared" si="29"/>
        <v/>
      </c>
      <c r="AC67" s="35" t="str">
        <f t="shared" si="29"/>
        <v>9:50:6:18,</v>
      </c>
      <c r="AD67" s="35" t="str">
        <f t="shared" si="29"/>
        <v>10:50:6:18,</v>
      </c>
      <c r="AE67" s="35" t="str">
        <f t="shared" si="30"/>
        <v>11:50:6:18,</v>
      </c>
      <c r="AF67" s="35" t="str">
        <f t="shared" si="30"/>
        <v>12:50:6:18,</v>
      </c>
      <c r="AG67" s="35" t="str">
        <f t="shared" si="30"/>
        <v>13:20:150:300,</v>
      </c>
      <c r="AH67" s="35" t="str">
        <f t="shared" si="30"/>
        <v>14:20:5:10,</v>
      </c>
      <c r="AI67" s="35" t="str">
        <f t="shared" si="30"/>
        <v>15:10:150:300,</v>
      </c>
      <c r="AJ67" s="35" t="str">
        <f t="shared" si="30"/>
        <v>16:10:150:300,</v>
      </c>
      <c r="AK67" s="35" t="str">
        <f t="shared" si="30"/>
        <v>17:60:4:12,</v>
      </c>
      <c r="AL67" s="35" t="str">
        <f t="shared" si="30"/>
        <v>18:60:4:12,</v>
      </c>
      <c r="AM67" s="35" t="str">
        <f t="shared" si="30"/>
        <v/>
      </c>
      <c r="AN67" s="35" t="str">
        <f t="shared" si="30"/>
        <v/>
      </c>
    </row>
    <row r="68" spans="1:40">
      <c r="A68" s="4" t="str">
        <f t="shared" si="33"/>
        <v>1级绿戒指暴击几率</v>
      </c>
      <c r="B68" s="4" t="s">
        <v>221</v>
      </c>
      <c r="C68" s="4" t="s">
        <v>117</v>
      </c>
      <c r="D68" s="4">
        <v>1</v>
      </c>
      <c r="E68" s="4" t="s">
        <v>21</v>
      </c>
      <c r="F68" s="4">
        <f>VLOOKUP(E68,基础属性ID!A:B,2,0)</f>
        <v>13</v>
      </c>
      <c r="G68" s="4">
        <f>VLOOKUP(E68,基础属性ID!$A:$E,5,0)</f>
        <v>20</v>
      </c>
      <c r="H68" s="4">
        <v>10</v>
      </c>
      <c r="I68" s="4">
        <v>30</v>
      </c>
      <c r="J68" s="4" t="str">
        <f t="shared" si="32"/>
        <v>13:20:10:30,</v>
      </c>
      <c r="M68" s="4" t="str">
        <f t="shared" ref="M68:M122" si="34">Q68&amp;"级品质"&amp;T68&amp;R68</f>
        <v>41级品质6戒指</v>
      </c>
      <c r="N68" s="4" t="str">
        <f t="shared" ref="N68:N122" si="35">Q68&amp;"级"&amp;S68&amp;R68</f>
        <v>41级红戒指</v>
      </c>
      <c r="O68" s="33">
        <f t="shared" si="15"/>
        <v>32006</v>
      </c>
      <c r="P68" s="34" t="str">
        <f t="shared" ref="P68:P122" si="36">LEFT(_xlfn.CONCAT(U68:AN68),LEN(_xlfn.CONCAT(U68:AN68))-1)</f>
        <v>1:100:40:120,2:100:21:42,3:100:11:33,4:100:11:33,5:100:11:33,6:100:11:33,7:20:1:5,9:50:8:24,10:50:8:24,11:50:8:24,12:50:8:24,13:20:300:500,14:20:10:20,15:10:2:5,16:10:2:5,17:60:5:15,18:60:5:15</v>
      </c>
      <c r="Q68" s="4">
        <v>41</v>
      </c>
      <c r="R68" s="4" t="s">
        <v>221</v>
      </c>
      <c r="S68" s="4" t="str">
        <f>IF(T68=1,"绿",VLOOKUP(T68,{1,"白";2,"绿";3,"蓝";4,"紫";5,"橙";6,"红"},2,0))</f>
        <v>红</v>
      </c>
      <c r="T68" s="4">
        <v>6</v>
      </c>
      <c r="U68" s="35" t="str">
        <f t="shared" si="29"/>
        <v>1:100:40:120,</v>
      </c>
      <c r="V68" s="35" t="str">
        <f t="shared" si="29"/>
        <v>2:100:21:42,</v>
      </c>
      <c r="W68" s="35" t="str">
        <f t="shared" si="29"/>
        <v>3:100:11:33,</v>
      </c>
      <c r="X68" s="35" t="str">
        <f t="shared" si="29"/>
        <v>4:100:11:33,</v>
      </c>
      <c r="Y68" s="35" t="str">
        <f t="shared" si="29"/>
        <v>5:100:11:33,</v>
      </c>
      <c r="Z68" s="35" t="str">
        <f t="shared" si="29"/>
        <v>6:100:11:33,</v>
      </c>
      <c r="AA68" s="35" t="str">
        <f t="shared" si="29"/>
        <v>7:20:1:5,</v>
      </c>
      <c r="AB68" s="35" t="str">
        <f t="shared" si="29"/>
        <v/>
      </c>
      <c r="AC68" s="35" t="str">
        <f t="shared" si="29"/>
        <v>9:50:8:24,</v>
      </c>
      <c r="AD68" s="35" t="str">
        <f t="shared" si="29"/>
        <v>10:50:8:24,</v>
      </c>
      <c r="AE68" s="35" t="str">
        <f t="shared" si="30"/>
        <v>11:50:8:24,</v>
      </c>
      <c r="AF68" s="35" t="str">
        <f t="shared" si="30"/>
        <v>12:50:8:24,</v>
      </c>
      <c r="AG68" s="35" t="str">
        <f t="shared" si="30"/>
        <v>13:20:300:500,</v>
      </c>
      <c r="AH68" s="35" t="str">
        <f t="shared" si="30"/>
        <v>14:20:10:20,</v>
      </c>
      <c r="AI68" s="35" t="str">
        <f t="shared" si="30"/>
        <v>15:10:2:5,</v>
      </c>
      <c r="AJ68" s="35" t="str">
        <f t="shared" si="30"/>
        <v>16:10:2:5,</v>
      </c>
      <c r="AK68" s="35" t="str">
        <f t="shared" si="30"/>
        <v>17:60:5:15,</v>
      </c>
      <c r="AL68" s="35" t="str">
        <f t="shared" si="30"/>
        <v>18:60:5:15,</v>
      </c>
      <c r="AM68" s="35" t="str">
        <f t="shared" si="30"/>
        <v/>
      </c>
      <c r="AN68" s="35" t="str">
        <f t="shared" si="30"/>
        <v/>
      </c>
    </row>
    <row r="69" spans="1:40">
      <c r="A69" s="4" t="str">
        <f t="shared" si="33"/>
        <v>1级绿戒指爆击伤害</v>
      </c>
      <c r="B69" s="4" t="s">
        <v>221</v>
      </c>
      <c r="C69" s="4" t="s">
        <v>117</v>
      </c>
      <c r="D69" s="4">
        <v>1</v>
      </c>
      <c r="E69" s="4" t="s">
        <v>76</v>
      </c>
      <c r="F69" s="4">
        <f>VLOOKUP(E69,基础属性ID!A:B,2,0)</f>
        <v>14</v>
      </c>
      <c r="G69" s="4">
        <f>VLOOKUP(E69,基础属性ID!$A:$E,5,0)</f>
        <v>20</v>
      </c>
      <c r="H69" s="4">
        <v>1</v>
      </c>
      <c r="I69" s="4">
        <v>3</v>
      </c>
      <c r="J69" s="4" t="str">
        <f t="shared" si="32"/>
        <v>14:20:1:3,</v>
      </c>
      <c r="M69" s="4" t="str">
        <f t="shared" si="34"/>
        <v>61级品质1戒指</v>
      </c>
      <c r="N69" s="4" t="str">
        <f t="shared" si="35"/>
        <v>61级绿戒指</v>
      </c>
      <c r="O69" s="33">
        <f t="shared" si="15"/>
        <v>33001</v>
      </c>
      <c r="P69" s="34" t="str">
        <f t="shared" si="36"/>
        <v>1:100:15:45,2:100:5:10,3:100:5:15,4:100:5:15,5:100:5:15,6:100:5:15,7:20:1:1,9:50:4:12,10:50:4:12,11:50:3:9,12:50:3:9,13:20:10:30,14:20:1:3,15:10:50:100,16:10:50:100,17:60:1:3,18:60:1:3</v>
      </c>
      <c r="Q69" s="4">
        <v>61</v>
      </c>
      <c r="R69" s="4" t="s">
        <v>221</v>
      </c>
      <c r="S69" s="4" t="str">
        <f>IF(T69=1,"绿",VLOOKUP(T69,{1,"白";2,"绿";3,"蓝";4,"紫";5,"橙";6,"红"},2,0))</f>
        <v>绿</v>
      </c>
      <c r="T69" s="4">
        <v>1</v>
      </c>
      <c r="U69" s="35" t="str">
        <f t="shared" si="29"/>
        <v>1:100:15:45,</v>
      </c>
      <c r="V69" s="35" t="str">
        <f t="shared" si="29"/>
        <v>2:100:5:10,</v>
      </c>
      <c r="W69" s="35" t="str">
        <f t="shared" si="29"/>
        <v>3:100:5:15,</v>
      </c>
      <c r="X69" s="35" t="str">
        <f t="shared" si="29"/>
        <v>4:100:5:15,</v>
      </c>
      <c r="Y69" s="35" t="str">
        <f t="shared" si="29"/>
        <v>5:100:5:15,</v>
      </c>
      <c r="Z69" s="35" t="str">
        <f t="shared" si="29"/>
        <v>6:100:5:15,</v>
      </c>
      <c r="AA69" s="35" t="str">
        <f t="shared" si="29"/>
        <v>7:20:1:1,</v>
      </c>
      <c r="AB69" s="35" t="str">
        <f t="shared" si="29"/>
        <v/>
      </c>
      <c r="AC69" s="35" t="str">
        <f t="shared" si="29"/>
        <v>9:50:4:12,</v>
      </c>
      <c r="AD69" s="35" t="str">
        <f t="shared" si="29"/>
        <v>10:50:4:12,</v>
      </c>
      <c r="AE69" s="35" t="str">
        <f t="shared" si="30"/>
        <v>11:50:3:9,</v>
      </c>
      <c r="AF69" s="35" t="str">
        <f t="shared" si="30"/>
        <v>12:50:3:9,</v>
      </c>
      <c r="AG69" s="35" t="str">
        <f t="shared" si="30"/>
        <v>13:20:10:30,</v>
      </c>
      <c r="AH69" s="35" t="str">
        <f t="shared" si="30"/>
        <v>14:20:1:3,</v>
      </c>
      <c r="AI69" s="35" t="str">
        <f t="shared" si="30"/>
        <v>15:10:50:100,</v>
      </c>
      <c r="AJ69" s="35" t="str">
        <f t="shared" si="30"/>
        <v>16:10:50:100,</v>
      </c>
      <c r="AK69" s="35" t="str">
        <f t="shared" si="30"/>
        <v>17:60:1:3,</v>
      </c>
      <c r="AL69" s="35" t="str">
        <f t="shared" si="30"/>
        <v>18:60:1:3,</v>
      </c>
      <c r="AM69" s="35" t="str">
        <f t="shared" si="30"/>
        <v/>
      </c>
      <c r="AN69" s="35" t="str">
        <f t="shared" si="30"/>
        <v/>
      </c>
    </row>
    <row r="70" spans="1:40">
      <c r="A70" s="4" t="str">
        <f t="shared" si="33"/>
        <v>1级绿戒指装备掉率</v>
      </c>
      <c r="B70" s="4" t="s">
        <v>221</v>
      </c>
      <c r="C70" s="4" t="s">
        <v>117</v>
      </c>
      <c r="D70" s="4">
        <v>1</v>
      </c>
      <c r="E70" s="4" t="s">
        <v>30</v>
      </c>
      <c r="F70" s="4">
        <f>VLOOKUP(E70,基础属性ID!A:B,2,0)</f>
        <v>17</v>
      </c>
      <c r="G70" s="4">
        <f>VLOOKUP(E70,基础属性ID!$A:$E,5,0)</f>
        <v>60</v>
      </c>
      <c r="H70" s="4">
        <v>1</v>
      </c>
      <c r="I70" s="4">
        <f t="shared" ref="I70:I72" si="37">H70*3</f>
        <v>3</v>
      </c>
      <c r="J70" s="4" t="str">
        <f t="shared" si="32"/>
        <v>17:60:1:3,</v>
      </c>
      <c r="M70" s="4" t="str">
        <f t="shared" si="34"/>
        <v>61级品质2戒指</v>
      </c>
      <c r="N70" s="4" t="str">
        <f t="shared" si="35"/>
        <v>61级绿戒指</v>
      </c>
      <c r="O70" s="33">
        <f t="shared" si="15"/>
        <v>33002</v>
      </c>
      <c r="P70" s="34" t="str">
        <f t="shared" si="36"/>
        <v>1:100:15:45,2:100:5:10,3:100:5:15,4:100:5:15,5:100:5:15,6:100:5:15,7:20:1:1,9:50:4:12,10:50:4:12,11:50:3:9,12:50:3:9,13:20:10:30,14:20:1:3,15:10:50:100,16:10:50:100,17:60:1:3,18:60:1:3</v>
      </c>
      <c r="Q70" s="4">
        <v>61</v>
      </c>
      <c r="R70" s="4" t="s">
        <v>221</v>
      </c>
      <c r="S70" s="4" t="str">
        <f>IF(T70=1,"绿",VLOOKUP(T70,{1,"白";2,"绿";3,"蓝";4,"紫";5,"橙";6,"红"},2,0))</f>
        <v>绿</v>
      </c>
      <c r="T70" s="4">
        <v>2</v>
      </c>
      <c r="U70" s="35" t="str">
        <f t="shared" si="29"/>
        <v>1:100:15:45,</v>
      </c>
      <c r="V70" s="35" t="str">
        <f t="shared" si="29"/>
        <v>2:100:5:10,</v>
      </c>
      <c r="W70" s="35" t="str">
        <f t="shared" si="29"/>
        <v>3:100:5:15,</v>
      </c>
      <c r="X70" s="35" t="str">
        <f t="shared" si="29"/>
        <v>4:100:5:15,</v>
      </c>
      <c r="Y70" s="35" t="str">
        <f t="shared" si="29"/>
        <v>5:100:5:15,</v>
      </c>
      <c r="Z70" s="35" t="str">
        <f t="shared" si="29"/>
        <v>6:100:5:15,</v>
      </c>
      <c r="AA70" s="35" t="str">
        <f t="shared" si="29"/>
        <v>7:20:1:1,</v>
      </c>
      <c r="AB70" s="35" t="str">
        <f t="shared" si="29"/>
        <v/>
      </c>
      <c r="AC70" s="35" t="str">
        <f t="shared" si="29"/>
        <v>9:50:4:12,</v>
      </c>
      <c r="AD70" s="35" t="str">
        <f t="shared" si="29"/>
        <v>10:50:4:12,</v>
      </c>
      <c r="AE70" s="35" t="str">
        <f t="shared" si="30"/>
        <v>11:50:3:9,</v>
      </c>
      <c r="AF70" s="35" t="str">
        <f t="shared" si="30"/>
        <v>12:50:3:9,</v>
      </c>
      <c r="AG70" s="35" t="str">
        <f t="shared" si="30"/>
        <v>13:20:10:30,</v>
      </c>
      <c r="AH70" s="35" t="str">
        <f t="shared" si="30"/>
        <v>14:20:1:3,</v>
      </c>
      <c r="AI70" s="35" t="str">
        <f t="shared" si="30"/>
        <v>15:10:50:100,</v>
      </c>
      <c r="AJ70" s="35" t="str">
        <f t="shared" si="30"/>
        <v>16:10:50:100,</v>
      </c>
      <c r="AK70" s="35" t="str">
        <f t="shared" si="30"/>
        <v>17:60:1:3,</v>
      </c>
      <c r="AL70" s="35" t="str">
        <f t="shared" si="30"/>
        <v>18:60:1:3,</v>
      </c>
      <c r="AM70" s="35" t="str">
        <f t="shared" si="30"/>
        <v/>
      </c>
      <c r="AN70" s="35" t="str">
        <f t="shared" si="30"/>
        <v/>
      </c>
    </row>
    <row r="71" spans="1:40">
      <c r="A71" s="4" t="str">
        <f t="shared" si="33"/>
        <v>1级绿戒指极品掉率</v>
      </c>
      <c r="B71" s="4" t="s">
        <v>221</v>
      </c>
      <c r="C71" s="4" t="s">
        <v>117</v>
      </c>
      <c r="D71" s="4">
        <v>1</v>
      </c>
      <c r="E71" s="4" t="s">
        <v>31</v>
      </c>
      <c r="F71" s="4">
        <f>VLOOKUP(E71,基础属性ID!A:B,2,0)</f>
        <v>18</v>
      </c>
      <c r="G71" s="4">
        <f>VLOOKUP(E71,基础属性ID!$A:$E,5,0)</f>
        <v>60</v>
      </c>
      <c r="H71" s="4">
        <v>1</v>
      </c>
      <c r="I71" s="4">
        <f t="shared" si="37"/>
        <v>3</v>
      </c>
      <c r="J71" s="4" t="str">
        <f t="shared" si="32"/>
        <v>18:60:1:3,</v>
      </c>
      <c r="M71" s="4" t="str">
        <f t="shared" si="34"/>
        <v>61级品质3戒指</v>
      </c>
      <c r="N71" s="4" t="str">
        <f t="shared" si="35"/>
        <v>61级蓝戒指</v>
      </c>
      <c r="O71" s="33">
        <f t="shared" si="15"/>
        <v>33003</v>
      </c>
      <c r="P71" s="34" t="str">
        <f t="shared" si="36"/>
        <v>1:100:20:60,2:100:10:20,3:100:6:18,4:100:6:18,5:100:6:18,6:100:6:18,7:20:1:1,9:50:5:15,10:50:5:15,11:50:4:12,12:50:4:12,13:20:20:50,14:20:2:5,15:10:80:150,16:10:80:150,17:60:2:6,18:60:2:6</v>
      </c>
      <c r="Q71" s="4">
        <v>61</v>
      </c>
      <c r="R71" s="4" t="s">
        <v>221</v>
      </c>
      <c r="S71" s="4" t="str">
        <f>IF(T71=1,"绿",VLOOKUP(T71,{1,"白";2,"绿";3,"蓝";4,"紫";5,"橙";6,"红"},2,0))</f>
        <v>蓝</v>
      </c>
      <c r="T71" s="4">
        <v>3</v>
      </c>
      <c r="U71" s="35" t="str">
        <f t="shared" si="29"/>
        <v>1:100:20:60,</v>
      </c>
      <c r="V71" s="35" t="str">
        <f t="shared" si="29"/>
        <v>2:100:10:20,</v>
      </c>
      <c r="W71" s="35" t="str">
        <f t="shared" si="29"/>
        <v>3:100:6:18,</v>
      </c>
      <c r="X71" s="35" t="str">
        <f t="shared" si="29"/>
        <v>4:100:6:18,</v>
      </c>
      <c r="Y71" s="35" t="str">
        <f t="shared" si="29"/>
        <v>5:100:6:18,</v>
      </c>
      <c r="Z71" s="35" t="str">
        <f t="shared" si="29"/>
        <v>6:100:6:18,</v>
      </c>
      <c r="AA71" s="35" t="str">
        <f t="shared" si="29"/>
        <v>7:20:1:1,</v>
      </c>
      <c r="AB71" s="35" t="str">
        <f t="shared" si="29"/>
        <v/>
      </c>
      <c r="AC71" s="35" t="str">
        <f t="shared" si="29"/>
        <v>9:50:5:15,</v>
      </c>
      <c r="AD71" s="35" t="str">
        <f t="shared" si="29"/>
        <v>10:50:5:15,</v>
      </c>
      <c r="AE71" s="35" t="str">
        <f t="shared" si="30"/>
        <v>11:50:4:12,</v>
      </c>
      <c r="AF71" s="35" t="str">
        <f t="shared" si="30"/>
        <v>12:50:4:12,</v>
      </c>
      <c r="AG71" s="35" t="str">
        <f t="shared" si="30"/>
        <v>13:20:20:50,</v>
      </c>
      <c r="AH71" s="35" t="str">
        <f t="shared" si="30"/>
        <v>14:20:2:5,</v>
      </c>
      <c r="AI71" s="35" t="str">
        <f t="shared" si="30"/>
        <v>15:10:80:150,</v>
      </c>
      <c r="AJ71" s="35" t="str">
        <f t="shared" si="30"/>
        <v>16:10:80:150,</v>
      </c>
      <c r="AK71" s="35" t="str">
        <f t="shared" si="30"/>
        <v>17:60:2:6,</v>
      </c>
      <c r="AL71" s="35" t="str">
        <f t="shared" si="30"/>
        <v>18:60:2:6,</v>
      </c>
      <c r="AM71" s="35" t="str">
        <f t="shared" si="30"/>
        <v/>
      </c>
      <c r="AN71" s="35" t="str">
        <f t="shared" si="30"/>
        <v/>
      </c>
    </row>
    <row r="72" spans="1:40">
      <c r="A72" s="4" t="str">
        <f t="shared" si="33"/>
        <v>21级绿武器生命值</v>
      </c>
      <c r="B72" s="4" t="s">
        <v>198</v>
      </c>
      <c r="C72" s="4" t="s">
        <v>117</v>
      </c>
      <c r="D72" s="4">
        <v>21</v>
      </c>
      <c r="E72" s="4" t="s">
        <v>74</v>
      </c>
      <c r="F72" s="4">
        <f>VLOOKUP(E72,基础属性ID!A:B,2,0)</f>
        <v>1</v>
      </c>
      <c r="G72" s="4">
        <f>VLOOKUP(E72,基础属性ID!$A:$E,5,0)</f>
        <v>100</v>
      </c>
      <c r="H72" s="4">
        <v>5</v>
      </c>
      <c r="I72" s="4">
        <f t="shared" si="37"/>
        <v>15</v>
      </c>
      <c r="J72" s="4" t="str">
        <f t="shared" si="32"/>
        <v>1:100:5:15,</v>
      </c>
      <c r="M72" s="4" t="str">
        <f t="shared" si="34"/>
        <v>61级品质4戒指</v>
      </c>
      <c r="N72" s="4" t="str">
        <f t="shared" si="35"/>
        <v>61级紫戒指</v>
      </c>
      <c r="O72" s="33">
        <f t="shared" si="15"/>
        <v>33004</v>
      </c>
      <c r="P72" s="34" t="str">
        <f t="shared" si="36"/>
        <v>1:100:30:90,2:100:12:25,3:100:10:30,4:100:10:30,5:100:10:30,6:100:10:30,7:20:1:2,9:50:6:18,10:50:6:18,11:50:5:15,12:50:5:15,13:20:50:150,14:20:3:8,15:10:1:2,16:10:1:2,17:60:3:9,18:60:3:9</v>
      </c>
      <c r="Q72" s="4">
        <v>61</v>
      </c>
      <c r="R72" s="4" t="s">
        <v>221</v>
      </c>
      <c r="S72" s="4" t="str">
        <f>IF(T72=1,"绿",VLOOKUP(T72,{1,"白";2,"绿";3,"蓝";4,"紫";5,"橙";6,"红"},2,0))</f>
        <v>紫</v>
      </c>
      <c r="T72" s="4">
        <v>4</v>
      </c>
      <c r="U72" s="35" t="str">
        <f t="shared" si="29"/>
        <v>1:100:30:90,</v>
      </c>
      <c r="V72" s="35" t="str">
        <f t="shared" si="29"/>
        <v>2:100:12:25,</v>
      </c>
      <c r="W72" s="35" t="str">
        <f t="shared" si="29"/>
        <v>3:100:10:30,</v>
      </c>
      <c r="X72" s="35" t="str">
        <f t="shared" si="29"/>
        <v>4:100:10:30,</v>
      </c>
      <c r="Y72" s="35" t="str">
        <f t="shared" si="29"/>
        <v>5:100:10:30,</v>
      </c>
      <c r="Z72" s="35" t="str">
        <f t="shared" si="29"/>
        <v>6:100:10:30,</v>
      </c>
      <c r="AA72" s="35" t="str">
        <f t="shared" si="29"/>
        <v>7:20:1:2,</v>
      </c>
      <c r="AB72" s="35" t="str">
        <f t="shared" si="29"/>
        <v/>
      </c>
      <c r="AC72" s="35" t="str">
        <f t="shared" si="29"/>
        <v>9:50:6:18,</v>
      </c>
      <c r="AD72" s="35" t="str">
        <f t="shared" si="29"/>
        <v>10:50:6:18,</v>
      </c>
      <c r="AE72" s="35" t="str">
        <f t="shared" si="30"/>
        <v>11:50:5:15,</v>
      </c>
      <c r="AF72" s="35" t="str">
        <f t="shared" si="30"/>
        <v>12:50:5:15,</v>
      </c>
      <c r="AG72" s="35" t="str">
        <f t="shared" si="30"/>
        <v>13:20:50:150,</v>
      </c>
      <c r="AH72" s="35" t="str">
        <f t="shared" si="30"/>
        <v>14:20:3:8,</v>
      </c>
      <c r="AI72" s="35" t="str">
        <f t="shared" si="30"/>
        <v>15:10:1:2,</v>
      </c>
      <c r="AJ72" s="35" t="str">
        <f t="shared" si="30"/>
        <v>16:10:1:2,</v>
      </c>
      <c r="AK72" s="35" t="str">
        <f t="shared" si="30"/>
        <v>17:60:3:9,</v>
      </c>
      <c r="AL72" s="35" t="str">
        <f t="shared" si="30"/>
        <v>18:60:3:9,</v>
      </c>
      <c r="AM72" s="35" t="str">
        <f t="shared" si="30"/>
        <v/>
      </c>
      <c r="AN72" s="35" t="str">
        <f t="shared" si="30"/>
        <v/>
      </c>
    </row>
    <row r="73" spans="1:40">
      <c r="A73" s="4" t="str">
        <f t="shared" si="33"/>
        <v>21级绿武器法力值</v>
      </c>
      <c r="B73" s="4" t="s">
        <v>198</v>
      </c>
      <c r="C73" s="4" t="s">
        <v>117</v>
      </c>
      <c r="D73" s="4">
        <v>21</v>
      </c>
      <c r="E73" s="4" t="s">
        <v>75</v>
      </c>
      <c r="F73" s="4">
        <f>VLOOKUP(E73,基础属性ID!A:B,2,0)</f>
        <v>2</v>
      </c>
      <c r="G73" s="4">
        <f>VLOOKUP(E73,基础属性ID!$A:$E,5,0)</f>
        <v>100</v>
      </c>
      <c r="H73" s="4">
        <v>3</v>
      </c>
      <c r="I73" s="4">
        <v>6</v>
      </c>
      <c r="J73" s="4" t="str">
        <f t="shared" si="32"/>
        <v>2:100:3:6,</v>
      </c>
      <c r="M73" s="4" t="str">
        <f t="shared" si="34"/>
        <v>61级品质5戒指</v>
      </c>
      <c r="N73" s="4" t="str">
        <f t="shared" si="35"/>
        <v>61级橙戒指</v>
      </c>
      <c r="O73" s="33">
        <f t="shared" si="15"/>
        <v>33005</v>
      </c>
      <c r="P73" s="34" t="str">
        <f t="shared" si="36"/>
        <v>1:100:70:210,2:100:16:32,3:100:12:36,4:100:12:36,5:100:12:36,6:100:12:36,7:20:1:3,9:50:7:21,10:50:7:21,11:50:8:24,12:50:8:24,13:20:150:300,14:20:5:10,15:10:150:300,16:10:150:300,17:60:4:12,18:60:4:12</v>
      </c>
      <c r="Q73" s="4">
        <v>61</v>
      </c>
      <c r="R73" s="4" t="s">
        <v>221</v>
      </c>
      <c r="S73" s="4" t="str">
        <f>IF(T73=1,"绿",VLOOKUP(T73,{1,"白";2,"绿";3,"蓝";4,"紫";5,"橙";6,"红"},2,0))</f>
        <v>橙</v>
      </c>
      <c r="T73" s="4">
        <v>5</v>
      </c>
      <c r="U73" s="35" t="str">
        <f t="shared" ref="U73:AD82" si="38">IFERROR(VLOOKUP($N73&amp;U$2,$A:$J,10,0),"")</f>
        <v>1:100:70:210,</v>
      </c>
      <c r="V73" s="35" t="str">
        <f t="shared" si="38"/>
        <v>2:100:16:32,</v>
      </c>
      <c r="W73" s="35" t="str">
        <f t="shared" si="38"/>
        <v>3:100:12:36,</v>
      </c>
      <c r="X73" s="35" t="str">
        <f t="shared" si="38"/>
        <v>4:100:12:36,</v>
      </c>
      <c r="Y73" s="35" t="str">
        <f t="shared" si="38"/>
        <v>5:100:12:36,</v>
      </c>
      <c r="Z73" s="35" t="str">
        <f t="shared" si="38"/>
        <v>6:100:12:36,</v>
      </c>
      <c r="AA73" s="35" t="str">
        <f t="shared" si="38"/>
        <v>7:20:1:3,</v>
      </c>
      <c r="AB73" s="35" t="str">
        <f t="shared" si="38"/>
        <v/>
      </c>
      <c r="AC73" s="35" t="str">
        <f t="shared" si="38"/>
        <v>9:50:7:21,</v>
      </c>
      <c r="AD73" s="35" t="str">
        <f t="shared" si="38"/>
        <v>10:50:7:21,</v>
      </c>
      <c r="AE73" s="35" t="str">
        <f t="shared" ref="AE73:AN82" si="39">IFERROR(VLOOKUP($N73&amp;AE$2,$A:$J,10,0),"")</f>
        <v>11:50:8:24,</v>
      </c>
      <c r="AF73" s="35" t="str">
        <f t="shared" si="39"/>
        <v>12:50:8:24,</v>
      </c>
      <c r="AG73" s="35" t="str">
        <f t="shared" si="39"/>
        <v>13:20:150:300,</v>
      </c>
      <c r="AH73" s="35" t="str">
        <f t="shared" si="39"/>
        <v>14:20:5:10,</v>
      </c>
      <c r="AI73" s="35" t="str">
        <f t="shared" si="39"/>
        <v>15:10:150:300,</v>
      </c>
      <c r="AJ73" s="35" t="str">
        <f t="shared" si="39"/>
        <v>16:10:150:300,</v>
      </c>
      <c r="AK73" s="35" t="str">
        <f t="shared" si="39"/>
        <v>17:60:4:12,</v>
      </c>
      <c r="AL73" s="35" t="str">
        <f t="shared" si="39"/>
        <v>18:60:4:12,</v>
      </c>
      <c r="AM73" s="35" t="str">
        <f t="shared" si="39"/>
        <v/>
      </c>
      <c r="AN73" s="35" t="str">
        <f t="shared" si="39"/>
        <v/>
      </c>
    </row>
    <row r="74" spans="1:40">
      <c r="A74" s="4" t="str">
        <f t="shared" si="33"/>
        <v>21级绿武器物理攻击</v>
      </c>
      <c r="B74" s="4" t="s">
        <v>198</v>
      </c>
      <c r="C74" s="4" t="s">
        <v>117</v>
      </c>
      <c r="D74" s="4">
        <v>21</v>
      </c>
      <c r="E74" s="4" t="s">
        <v>13</v>
      </c>
      <c r="F74" s="4">
        <f>VLOOKUP(E74,基础属性ID!A:B,2,0)</f>
        <v>3</v>
      </c>
      <c r="G74" s="4">
        <f>VLOOKUP(E74,基础属性ID!$A:$E,5,0)</f>
        <v>100</v>
      </c>
      <c r="H74" s="4">
        <v>2</v>
      </c>
      <c r="I74" s="4">
        <f t="shared" ref="I74:I77" si="40">H74*3</f>
        <v>6</v>
      </c>
      <c r="J74" s="4" t="str">
        <f t="shared" si="32"/>
        <v>3:100:2:6,</v>
      </c>
      <c r="M74" s="4" t="str">
        <f t="shared" si="34"/>
        <v>61级品质6戒指</v>
      </c>
      <c r="N74" s="4" t="str">
        <f t="shared" si="35"/>
        <v>61级红戒指</v>
      </c>
      <c r="O74" s="33">
        <f t="shared" si="15"/>
        <v>33006</v>
      </c>
      <c r="P74" s="34" t="str">
        <f t="shared" si="36"/>
        <v>1:100:60:180,2:100:24:48,3:100:15:45,4:100:15:45,5:100:15:45,6:100:15:45,7:20:1:5,9:50:10:30,10:50:10:30,11:50:10:30,12:50:10:30,13:20:300:500,14:20:10:20,15:10:2:5,16:10:2:5,17:60:5:15,18:60:5:15</v>
      </c>
      <c r="Q74" s="4">
        <v>61</v>
      </c>
      <c r="R74" s="4" t="s">
        <v>221</v>
      </c>
      <c r="S74" s="4" t="str">
        <f>IF(T74=1,"绿",VLOOKUP(T74,{1,"白";2,"绿";3,"蓝";4,"紫";5,"橙";6,"红"},2,0))</f>
        <v>红</v>
      </c>
      <c r="T74" s="4">
        <v>6</v>
      </c>
      <c r="U74" s="35" t="str">
        <f t="shared" si="38"/>
        <v>1:100:60:180,</v>
      </c>
      <c r="V74" s="35" t="str">
        <f t="shared" si="38"/>
        <v>2:100:24:48,</v>
      </c>
      <c r="W74" s="35" t="str">
        <f t="shared" si="38"/>
        <v>3:100:15:45,</v>
      </c>
      <c r="X74" s="35" t="str">
        <f t="shared" si="38"/>
        <v>4:100:15:45,</v>
      </c>
      <c r="Y74" s="35" t="str">
        <f t="shared" si="38"/>
        <v>5:100:15:45,</v>
      </c>
      <c r="Z74" s="35" t="str">
        <f t="shared" si="38"/>
        <v>6:100:15:45,</v>
      </c>
      <c r="AA74" s="35" t="str">
        <f t="shared" si="38"/>
        <v>7:20:1:5,</v>
      </c>
      <c r="AB74" s="35" t="str">
        <f t="shared" si="38"/>
        <v/>
      </c>
      <c r="AC74" s="35" t="str">
        <f t="shared" si="38"/>
        <v>9:50:10:30,</v>
      </c>
      <c r="AD74" s="35" t="str">
        <f t="shared" si="38"/>
        <v>10:50:10:30,</v>
      </c>
      <c r="AE74" s="35" t="str">
        <f t="shared" si="39"/>
        <v>11:50:10:30,</v>
      </c>
      <c r="AF74" s="35" t="str">
        <f t="shared" si="39"/>
        <v>12:50:10:30,</v>
      </c>
      <c r="AG74" s="35" t="str">
        <f t="shared" si="39"/>
        <v>13:20:300:500,</v>
      </c>
      <c r="AH74" s="35" t="str">
        <f t="shared" si="39"/>
        <v>14:20:10:20,</v>
      </c>
      <c r="AI74" s="35" t="str">
        <f t="shared" si="39"/>
        <v>15:10:2:5,</v>
      </c>
      <c r="AJ74" s="35" t="str">
        <f t="shared" si="39"/>
        <v>16:10:2:5,</v>
      </c>
      <c r="AK74" s="35" t="str">
        <f t="shared" si="39"/>
        <v>17:60:5:15,</v>
      </c>
      <c r="AL74" s="35" t="str">
        <f t="shared" si="39"/>
        <v>18:60:5:15,</v>
      </c>
      <c r="AM74" s="35" t="str">
        <f t="shared" si="39"/>
        <v/>
      </c>
      <c r="AN74" s="35" t="str">
        <f t="shared" si="39"/>
        <v/>
      </c>
    </row>
    <row r="75" spans="1:40">
      <c r="A75" s="4" t="str">
        <f t="shared" si="33"/>
        <v>21级绿武器魔法攻击</v>
      </c>
      <c r="B75" s="4" t="s">
        <v>198</v>
      </c>
      <c r="C75" s="4" t="s">
        <v>117</v>
      </c>
      <c r="D75" s="4">
        <v>21</v>
      </c>
      <c r="E75" s="4" t="s">
        <v>14</v>
      </c>
      <c r="F75" s="4">
        <f>VLOOKUP(E75,基础属性ID!A:B,2,0)</f>
        <v>4</v>
      </c>
      <c r="G75" s="4">
        <f>VLOOKUP(E75,基础属性ID!$A:$E,5,0)</f>
        <v>100</v>
      </c>
      <c r="H75" s="4">
        <v>2</v>
      </c>
      <c r="I75" s="4">
        <f t="shared" si="40"/>
        <v>6</v>
      </c>
      <c r="J75" s="4" t="str">
        <f t="shared" si="32"/>
        <v>4:100:2:6,</v>
      </c>
      <c r="M75" s="4" t="str">
        <f t="shared" si="34"/>
        <v>1级品质1手镯</v>
      </c>
      <c r="N75" s="4" t="str">
        <f t="shared" si="35"/>
        <v>1级绿手镯</v>
      </c>
      <c r="O75" s="33">
        <f t="shared" si="15"/>
        <v>40001</v>
      </c>
      <c r="P75" s="34" t="str">
        <f t="shared" si="36"/>
        <v>1:100:1:5,2:100:2:5,3:100:1:3,4:100:1:3,5:100:1:3,6:100:1:3,9:50:1:3,10:50:1:3,11:50:1:3,12:50:1:3,13:20:10:30,14:20:1:3,17:60:1:3,18:60:1:3</v>
      </c>
      <c r="Q75" s="4">
        <v>1</v>
      </c>
      <c r="R75" s="4" t="s">
        <v>218</v>
      </c>
      <c r="S75" s="4" t="str">
        <f>IF(T75=1,"绿",VLOOKUP(T75,{1,"白";2,"绿";3,"蓝";4,"紫";5,"橙";6,"红"},2,0))</f>
        <v>绿</v>
      </c>
      <c r="T75" s="4">
        <v>1</v>
      </c>
      <c r="U75" s="35" t="str">
        <f t="shared" si="38"/>
        <v>1:100:1:5,</v>
      </c>
      <c r="V75" s="35" t="str">
        <f t="shared" si="38"/>
        <v>2:100:2:5,</v>
      </c>
      <c r="W75" s="35" t="str">
        <f t="shared" si="38"/>
        <v>3:100:1:3,</v>
      </c>
      <c r="X75" s="35" t="str">
        <f t="shared" si="38"/>
        <v>4:100:1:3,</v>
      </c>
      <c r="Y75" s="35" t="str">
        <f t="shared" si="38"/>
        <v>5:100:1:3,</v>
      </c>
      <c r="Z75" s="35" t="str">
        <f t="shared" si="38"/>
        <v>6:100:1:3,</v>
      </c>
      <c r="AA75" s="35" t="str">
        <f t="shared" si="38"/>
        <v/>
      </c>
      <c r="AB75" s="35" t="str">
        <f t="shared" si="38"/>
        <v/>
      </c>
      <c r="AC75" s="35" t="str">
        <f t="shared" si="38"/>
        <v>9:50:1:3,</v>
      </c>
      <c r="AD75" s="35" t="str">
        <f t="shared" si="38"/>
        <v>10:50:1:3,</v>
      </c>
      <c r="AE75" s="35" t="str">
        <f t="shared" si="39"/>
        <v>11:50:1:3,</v>
      </c>
      <c r="AF75" s="35" t="str">
        <f t="shared" si="39"/>
        <v>12:50:1:3,</v>
      </c>
      <c r="AG75" s="35" t="str">
        <f t="shared" si="39"/>
        <v>13:20:10:30,</v>
      </c>
      <c r="AH75" s="35" t="str">
        <f t="shared" si="39"/>
        <v>14:20:1:3,</v>
      </c>
      <c r="AI75" s="35" t="str">
        <f t="shared" si="39"/>
        <v/>
      </c>
      <c r="AJ75" s="35" t="str">
        <f t="shared" si="39"/>
        <v/>
      </c>
      <c r="AK75" s="35" t="str">
        <f t="shared" si="39"/>
        <v>17:60:1:3,</v>
      </c>
      <c r="AL75" s="35" t="str">
        <f t="shared" si="39"/>
        <v>18:60:1:3,</v>
      </c>
      <c r="AM75" s="35" t="str">
        <f t="shared" si="39"/>
        <v/>
      </c>
      <c r="AN75" s="35" t="str">
        <f t="shared" si="39"/>
        <v/>
      </c>
    </row>
    <row r="76" spans="1:40">
      <c r="A76" s="4" t="str">
        <f t="shared" si="33"/>
        <v>21级绿武器道术攻击</v>
      </c>
      <c r="B76" s="4" t="s">
        <v>198</v>
      </c>
      <c r="C76" s="4" t="s">
        <v>117</v>
      </c>
      <c r="D76" s="4">
        <v>21</v>
      </c>
      <c r="E76" s="4" t="s">
        <v>15</v>
      </c>
      <c r="F76" s="4">
        <f>VLOOKUP(E76,基础属性ID!A:B,2,0)</f>
        <v>5</v>
      </c>
      <c r="G76" s="4">
        <f>VLOOKUP(E76,基础属性ID!$A:$E,5,0)</f>
        <v>100</v>
      </c>
      <c r="H76" s="4">
        <v>2</v>
      </c>
      <c r="I76" s="4">
        <f t="shared" si="40"/>
        <v>6</v>
      </c>
      <c r="J76" s="4" t="str">
        <f t="shared" si="32"/>
        <v>5:100:2:6,</v>
      </c>
      <c r="M76" s="4" t="str">
        <f t="shared" si="34"/>
        <v>1级品质2手镯</v>
      </c>
      <c r="N76" s="4" t="str">
        <f t="shared" si="35"/>
        <v>1级绿手镯</v>
      </c>
      <c r="O76" s="33">
        <f t="shared" si="15"/>
        <v>40002</v>
      </c>
      <c r="P76" s="34" t="str">
        <f t="shared" si="36"/>
        <v>1:100:1:5,2:100:2:5,3:100:1:3,4:100:1:3,5:100:1:3,6:100:1:3,9:50:1:3,10:50:1:3,11:50:1:3,12:50:1:3,13:20:10:30,14:20:1:3,17:60:1:3,18:60:1:3</v>
      </c>
      <c r="Q76" s="4">
        <v>1</v>
      </c>
      <c r="R76" s="4" t="s">
        <v>218</v>
      </c>
      <c r="S76" s="4" t="str">
        <f>IF(T76=1,"绿",VLOOKUP(T76,{1,"白";2,"绿";3,"蓝";4,"紫";5,"橙";6,"红"},2,0))</f>
        <v>绿</v>
      </c>
      <c r="T76" s="4">
        <v>2</v>
      </c>
      <c r="U76" s="35" t="str">
        <f t="shared" si="38"/>
        <v>1:100:1:5,</v>
      </c>
      <c r="V76" s="35" t="str">
        <f t="shared" si="38"/>
        <v>2:100:2:5,</v>
      </c>
      <c r="W76" s="35" t="str">
        <f t="shared" si="38"/>
        <v>3:100:1:3,</v>
      </c>
      <c r="X76" s="35" t="str">
        <f t="shared" si="38"/>
        <v>4:100:1:3,</v>
      </c>
      <c r="Y76" s="35" t="str">
        <f t="shared" si="38"/>
        <v>5:100:1:3,</v>
      </c>
      <c r="Z76" s="35" t="str">
        <f t="shared" si="38"/>
        <v>6:100:1:3,</v>
      </c>
      <c r="AA76" s="35" t="str">
        <f t="shared" si="38"/>
        <v/>
      </c>
      <c r="AB76" s="35" t="str">
        <f t="shared" si="38"/>
        <v/>
      </c>
      <c r="AC76" s="35" t="str">
        <f t="shared" si="38"/>
        <v>9:50:1:3,</v>
      </c>
      <c r="AD76" s="35" t="str">
        <f t="shared" si="38"/>
        <v>10:50:1:3,</v>
      </c>
      <c r="AE76" s="35" t="str">
        <f t="shared" si="39"/>
        <v>11:50:1:3,</v>
      </c>
      <c r="AF76" s="35" t="str">
        <f t="shared" si="39"/>
        <v>12:50:1:3,</v>
      </c>
      <c r="AG76" s="35" t="str">
        <f t="shared" si="39"/>
        <v>13:20:10:30,</v>
      </c>
      <c r="AH76" s="35" t="str">
        <f t="shared" si="39"/>
        <v>14:20:1:3,</v>
      </c>
      <c r="AI76" s="35" t="str">
        <f t="shared" si="39"/>
        <v/>
      </c>
      <c r="AJ76" s="35" t="str">
        <f t="shared" si="39"/>
        <v/>
      </c>
      <c r="AK76" s="35" t="str">
        <f t="shared" si="39"/>
        <v>17:60:1:3,</v>
      </c>
      <c r="AL76" s="35" t="str">
        <f t="shared" si="39"/>
        <v>18:60:1:3,</v>
      </c>
      <c r="AM76" s="35" t="str">
        <f t="shared" si="39"/>
        <v/>
      </c>
      <c r="AN76" s="35" t="str">
        <f t="shared" si="39"/>
        <v/>
      </c>
    </row>
    <row r="77" spans="1:40">
      <c r="A77" s="4" t="str">
        <f t="shared" si="33"/>
        <v>21级绿武器防御</v>
      </c>
      <c r="B77" s="4" t="s">
        <v>198</v>
      </c>
      <c r="C77" s="4" t="s">
        <v>117</v>
      </c>
      <c r="D77" s="4">
        <v>21</v>
      </c>
      <c r="E77" s="4" t="s">
        <v>17</v>
      </c>
      <c r="F77" s="4">
        <f>VLOOKUP(E77,基础属性ID!A:B,2,0)</f>
        <v>6</v>
      </c>
      <c r="G77" s="4">
        <f>VLOOKUP(E77,基础属性ID!$A:$E,5,0)</f>
        <v>100</v>
      </c>
      <c r="H77" s="4">
        <v>2</v>
      </c>
      <c r="I77" s="4">
        <f t="shared" si="40"/>
        <v>6</v>
      </c>
      <c r="J77" s="4" t="str">
        <f t="shared" si="32"/>
        <v>6:100:2:6,</v>
      </c>
      <c r="M77" s="4" t="str">
        <f t="shared" si="34"/>
        <v>1级品质3手镯</v>
      </c>
      <c r="N77" s="4" t="str">
        <f t="shared" si="35"/>
        <v>1级蓝手镯</v>
      </c>
      <c r="O77" s="33">
        <f t="shared" si="15"/>
        <v>40003</v>
      </c>
      <c r="P77" s="34" t="str">
        <f t="shared" si="36"/>
        <v>1:100:4:12,2:100:4:10,3:100:2:6,4:100:2:6,5:100:2:6,6:100:2:6,9:50:2:6,10:50:2:6,11:50:1:3,12:50:1:3,13:20:20:50,14:20:2:5,17:60:2:6,18:60:2:6</v>
      </c>
      <c r="Q77" s="4">
        <v>1</v>
      </c>
      <c r="R77" s="4" t="s">
        <v>218</v>
      </c>
      <c r="S77" s="4" t="str">
        <f>IF(T77=1,"绿",VLOOKUP(T77,{1,"白";2,"绿";3,"蓝";4,"紫";5,"橙";6,"红"},2,0))</f>
        <v>蓝</v>
      </c>
      <c r="T77" s="4">
        <v>3</v>
      </c>
      <c r="U77" s="35" t="str">
        <f t="shared" si="38"/>
        <v>1:100:4:12,</v>
      </c>
      <c r="V77" s="35" t="str">
        <f t="shared" si="38"/>
        <v>2:100:4:10,</v>
      </c>
      <c r="W77" s="35" t="str">
        <f t="shared" si="38"/>
        <v>3:100:2:6,</v>
      </c>
      <c r="X77" s="35" t="str">
        <f t="shared" si="38"/>
        <v>4:100:2:6,</v>
      </c>
      <c r="Y77" s="35" t="str">
        <f t="shared" si="38"/>
        <v>5:100:2:6,</v>
      </c>
      <c r="Z77" s="35" t="str">
        <f t="shared" si="38"/>
        <v>6:100:2:6,</v>
      </c>
      <c r="AA77" s="35" t="str">
        <f t="shared" si="38"/>
        <v/>
      </c>
      <c r="AB77" s="35" t="str">
        <f t="shared" si="38"/>
        <v/>
      </c>
      <c r="AC77" s="35" t="str">
        <f t="shared" si="38"/>
        <v>9:50:2:6,</v>
      </c>
      <c r="AD77" s="35" t="str">
        <f t="shared" si="38"/>
        <v>10:50:2:6,</v>
      </c>
      <c r="AE77" s="35" t="str">
        <f t="shared" si="39"/>
        <v>11:50:1:3,</v>
      </c>
      <c r="AF77" s="35" t="str">
        <f t="shared" si="39"/>
        <v>12:50:1:3,</v>
      </c>
      <c r="AG77" s="35" t="str">
        <f t="shared" si="39"/>
        <v>13:20:20:50,</v>
      </c>
      <c r="AH77" s="35" t="str">
        <f t="shared" si="39"/>
        <v>14:20:2:5,</v>
      </c>
      <c r="AI77" s="35" t="str">
        <f t="shared" si="39"/>
        <v/>
      </c>
      <c r="AJ77" s="35" t="str">
        <f t="shared" si="39"/>
        <v/>
      </c>
      <c r="AK77" s="35" t="str">
        <f t="shared" si="39"/>
        <v>17:60:2:6,</v>
      </c>
      <c r="AL77" s="35" t="str">
        <f t="shared" si="39"/>
        <v>18:60:2:6,</v>
      </c>
      <c r="AM77" s="35" t="str">
        <f t="shared" si="39"/>
        <v/>
      </c>
      <c r="AN77" s="35" t="str">
        <f t="shared" si="39"/>
        <v/>
      </c>
    </row>
    <row r="78" spans="1:40">
      <c r="A78" s="4" t="str">
        <f t="shared" si="33"/>
        <v>21级绿武器攻速</v>
      </c>
      <c r="B78" s="4" t="s">
        <v>198</v>
      </c>
      <c r="C78" s="4" t="s">
        <v>117</v>
      </c>
      <c r="D78" s="4">
        <v>21</v>
      </c>
      <c r="E78" s="4" t="s">
        <v>18</v>
      </c>
      <c r="F78" s="4">
        <f>VLOOKUP(E78,基础属性ID!A:B,2,0)</f>
        <v>7</v>
      </c>
      <c r="G78" s="4">
        <f>VLOOKUP(E78,基础属性ID!$A:$E,5,0)</f>
        <v>20</v>
      </c>
      <c r="H78" s="4">
        <v>1</v>
      </c>
      <c r="I78" s="4">
        <v>1</v>
      </c>
      <c r="J78" s="4" t="str">
        <f t="shared" si="32"/>
        <v>7:20:1:1,</v>
      </c>
      <c r="M78" s="4" t="str">
        <f t="shared" si="34"/>
        <v>1级品质4手镯</v>
      </c>
      <c r="N78" s="4" t="str">
        <f t="shared" si="35"/>
        <v>1级紫手镯</v>
      </c>
      <c r="O78" s="33">
        <f t="shared" si="15"/>
        <v>40004</v>
      </c>
      <c r="P78" s="34" t="str">
        <f t="shared" si="36"/>
        <v>1:100:6:18,2:100:6:15,3:100:3:9,4:100:3:9,5:100:3:9,6:100:3:9,9:50:3:9,10:50:3:9,11:50:2:6,12:50:2:6,13:20:50:150,14:20:3:8,17:60:3:9,18:60:3:9</v>
      </c>
      <c r="Q78" s="4">
        <v>1</v>
      </c>
      <c r="R78" s="4" t="s">
        <v>218</v>
      </c>
      <c r="S78" s="4" t="str">
        <f>IF(T78=1,"绿",VLOOKUP(T78,{1,"白";2,"绿";3,"蓝";4,"紫";5,"橙";6,"红"},2,0))</f>
        <v>紫</v>
      </c>
      <c r="T78" s="4">
        <v>4</v>
      </c>
      <c r="U78" s="35" t="str">
        <f t="shared" si="38"/>
        <v>1:100:6:18,</v>
      </c>
      <c r="V78" s="35" t="str">
        <f t="shared" si="38"/>
        <v>2:100:6:15,</v>
      </c>
      <c r="W78" s="35" t="str">
        <f t="shared" si="38"/>
        <v>3:100:3:9,</v>
      </c>
      <c r="X78" s="35" t="str">
        <f t="shared" si="38"/>
        <v>4:100:3:9,</v>
      </c>
      <c r="Y78" s="35" t="str">
        <f t="shared" si="38"/>
        <v>5:100:3:9,</v>
      </c>
      <c r="Z78" s="35" t="str">
        <f t="shared" si="38"/>
        <v>6:100:3:9,</v>
      </c>
      <c r="AA78" s="35" t="str">
        <f t="shared" si="38"/>
        <v/>
      </c>
      <c r="AB78" s="35" t="str">
        <f t="shared" si="38"/>
        <v/>
      </c>
      <c r="AC78" s="35" t="str">
        <f t="shared" si="38"/>
        <v>9:50:3:9,</v>
      </c>
      <c r="AD78" s="35" t="str">
        <f t="shared" si="38"/>
        <v>10:50:3:9,</v>
      </c>
      <c r="AE78" s="35" t="str">
        <f t="shared" si="39"/>
        <v>11:50:2:6,</v>
      </c>
      <c r="AF78" s="35" t="str">
        <f t="shared" si="39"/>
        <v>12:50:2:6,</v>
      </c>
      <c r="AG78" s="35" t="str">
        <f t="shared" si="39"/>
        <v>13:20:50:150,</v>
      </c>
      <c r="AH78" s="35" t="str">
        <f t="shared" si="39"/>
        <v>14:20:3:8,</v>
      </c>
      <c r="AI78" s="35" t="str">
        <f t="shared" si="39"/>
        <v/>
      </c>
      <c r="AJ78" s="35" t="str">
        <f t="shared" si="39"/>
        <v/>
      </c>
      <c r="AK78" s="35" t="str">
        <f t="shared" si="39"/>
        <v>17:60:3:9,</v>
      </c>
      <c r="AL78" s="35" t="str">
        <f t="shared" si="39"/>
        <v>18:60:3:9,</v>
      </c>
      <c r="AM78" s="35" t="str">
        <f t="shared" si="39"/>
        <v/>
      </c>
      <c r="AN78" s="35" t="str">
        <f t="shared" si="39"/>
        <v/>
      </c>
    </row>
    <row r="79" spans="1:40">
      <c r="A79" s="4" t="str">
        <f t="shared" si="33"/>
        <v>21级绿武器幸运</v>
      </c>
      <c r="B79" s="4" t="s">
        <v>198</v>
      </c>
      <c r="C79" s="4" t="s">
        <v>117</v>
      </c>
      <c r="D79" s="4">
        <v>21</v>
      </c>
      <c r="E79" s="4" t="s">
        <v>19</v>
      </c>
      <c r="F79" s="4">
        <f>VLOOKUP(E79,基础属性ID!A:B,2,0)</f>
        <v>8</v>
      </c>
      <c r="G79" s="4">
        <f>VLOOKUP(E79,基础属性ID!$A:$E,5,0)</f>
        <v>20</v>
      </c>
      <c r="H79" s="4">
        <v>1</v>
      </c>
      <c r="I79" s="4">
        <v>1</v>
      </c>
      <c r="J79" s="4" t="str">
        <f t="shared" si="32"/>
        <v>8:20:1:1,</v>
      </c>
      <c r="M79" s="4" t="str">
        <f t="shared" si="34"/>
        <v>1级品质5手镯</v>
      </c>
      <c r="N79" s="4" t="str">
        <f t="shared" si="35"/>
        <v>1级橙手镯</v>
      </c>
      <c r="O79" s="33">
        <f t="shared" si="15"/>
        <v>40005</v>
      </c>
      <c r="P79" s="34" t="str">
        <f t="shared" si="36"/>
        <v>1:100:10:30,2:100:10:20,3:100:4:12,4:100:4:12,5:100:4:12,6:100:4:12,9:50:4:12,10:50:4:12,11:50:3:9,12:50:3:9,13:20:150:300,14:20:5:10,17:60:4:12,18:60:4:12</v>
      </c>
      <c r="Q79" s="4">
        <v>1</v>
      </c>
      <c r="R79" s="4" t="s">
        <v>218</v>
      </c>
      <c r="S79" s="4" t="str">
        <f>IF(T79=1,"绿",VLOOKUP(T79,{1,"白";2,"绿";3,"蓝";4,"紫";5,"橙";6,"红"},2,0))</f>
        <v>橙</v>
      </c>
      <c r="T79" s="4">
        <v>5</v>
      </c>
      <c r="U79" s="35" t="str">
        <f t="shared" si="38"/>
        <v>1:100:10:30,</v>
      </c>
      <c r="V79" s="35" t="str">
        <f t="shared" si="38"/>
        <v>2:100:10:20,</v>
      </c>
      <c r="W79" s="35" t="str">
        <f t="shared" si="38"/>
        <v>3:100:4:12,</v>
      </c>
      <c r="X79" s="35" t="str">
        <f t="shared" si="38"/>
        <v>4:100:4:12,</v>
      </c>
      <c r="Y79" s="35" t="str">
        <f t="shared" si="38"/>
        <v>5:100:4:12,</v>
      </c>
      <c r="Z79" s="35" t="str">
        <f t="shared" si="38"/>
        <v>6:100:4:12,</v>
      </c>
      <c r="AA79" s="35" t="str">
        <f t="shared" si="38"/>
        <v/>
      </c>
      <c r="AB79" s="35" t="str">
        <f t="shared" si="38"/>
        <v/>
      </c>
      <c r="AC79" s="35" t="str">
        <f t="shared" si="38"/>
        <v>9:50:4:12,</v>
      </c>
      <c r="AD79" s="35" t="str">
        <f t="shared" si="38"/>
        <v>10:50:4:12,</v>
      </c>
      <c r="AE79" s="35" t="str">
        <f t="shared" si="39"/>
        <v>11:50:3:9,</v>
      </c>
      <c r="AF79" s="35" t="str">
        <f t="shared" si="39"/>
        <v>12:50:3:9,</v>
      </c>
      <c r="AG79" s="35" t="str">
        <f t="shared" si="39"/>
        <v>13:20:150:300,</v>
      </c>
      <c r="AH79" s="35" t="str">
        <f t="shared" si="39"/>
        <v>14:20:5:10,</v>
      </c>
      <c r="AI79" s="35" t="str">
        <f t="shared" si="39"/>
        <v/>
      </c>
      <c r="AJ79" s="35" t="str">
        <f t="shared" si="39"/>
        <v/>
      </c>
      <c r="AK79" s="35" t="str">
        <f t="shared" si="39"/>
        <v>17:60:4:12,</v>
      </c>
      <c r="AL79" s="35" t="str">
        <f t="shared" si="39"/>
        <v>18:60:4:12,</v>
      </c>
      <c r="AM79" s="35" t="str">
        <f t="shared" si="39"/>
        <v/>
      </c>
      <c r="AN79" s="35" t="str">
        <f t="shared" si="39"/>
        <v/>
      </c>
    </row>
    <row r="80" spans="1:40">
      <c r="A80" s="4" t="str">
        <f t="shared" si="33"/>
        <v>21级绿武器固定伤害</v>
      </c>
      <c r="B80" s="4" t="s">
        <v>198</v>
      </c>
      <c r="C80" s="4" t="s">
        <v>117</v>
      </c>
      <c r="D80" s="4">
        <v>21</v>
      </c>
      <c r="E80" s="4" t="s">
        <v>24</v>
      </c>
      <c r="F80" s="4">
        <f>VLOOKUP(E80,基础属性ID!A:B,2,0)</f>
        <v>9</v>
      </c>
      <c r="G80" s="4">
        <f>VLOOKUP(E80,基础属性ID!$A:$E,5,0)</f>
        <v>50</v>
      </c>
      <c r="H80" s="4">
        <v>2</v>
      </c>
      <c r="I80" s="4">
        <f t="shared" ref="I80:I81" si="41">H80*3</f>
        <v>6</v>
      </c>
      <c r="J80" s="4" t="str">
        <f t="shared" si="32"/>
        <v>9:50:2:6,</v>
      </c>
      <c r="M80" s="4" t="str">
        <f t="shared" si="34"/>
        <v>1级品质6手镯</v>
      </c>
      <c r="N80" s="4" t="str">
        <f t="shared" si="35"/>
        <v>1级红手镯</v>
      </c>
      <c r="O80" s="33">
        <f t="shared" si="15"/>
        <v>40006</v>
      </c>
      <c r="P80" s="34" t="str">
        <f t="shared" si="36"/>
        <v>1:100:15:45,2:100:15:30,3:100:5:15,4:100:5:15,5:100:5:15,6:100:5:15,9:50:5:15,10:50:5:15,11:50:4:12,12:50:4:12,13:20:300:500,14:20:10:20,17:60:5:15,18:60:5:15</v>
      </c>
      <c r="Q80" s="4">
        <v>1</v>
      </c>
      <c r="R80" s="4" t="s">
        <v>218</v>
      </c>
      <c r="S80" s="4" t="str">
        <f>IF(T80=1,"绿",VLOOKUP(T80,{1,"白";2,"绿";3,"蓝";4,"紫";5,"橙";6,"红"},2,0))</f>
        <v>红</v>
      </c>
      <c r="T80" s="4">
        <v>6</v>
      </c>
      <c r="U80" s="35" t="str">
        <f t="shared" si="38"/>
        <v>1:100:15:45,</v>
      </c>
      <c r="V80" s="35" t="str">
        <f t="shared" si="38"/>
        <v>2:100:15:30,</v>
      </c>
      <c r="W80" s="35" t="str">
        <f t="shared" si="38"/>
        <v>3:100:5:15,</v>
      </c>
      <c r="X80" s="35" t="str">
        <f t="shared" si="38"/>
        <v>4:100:5:15,</v>
      </c>
      <c r="Y80" s="35" t="str">
        <f t="shared" si="38"/>
        <v>5:100:5:15,</v>
      </c>
      <c r="Z80" s="35" t="str">
        <f t="shared" si="38"/>
        <v>6:100:5:15,</v>
      </c>
      <c r="AA80" s="35" t="str">
        <f t="shared" si="38"/>
        <v/>
      </c>
      <c r="AB80" s="35" t="str">
        <f t="shared" si="38"/>
        <v/>
      </c>
      <c r="AC80" s="35" t="str">
        <f t="shared" si="38"/>
        <v>9:50:5:15,</v>
      </c>
      <c r="AD80" s="35" t="str">
        <f t="shared" si="38"/>
        <v>10:50:5:15,</v>
      </c>
      <c r="AE80" s="35" t="str">
        <f t="shared" si="39"/>
        <v>11:50:4:12,</v>
      </c>
      <c r="AF80" s="35" t="str">
        <f t="shared" si="39"/>
        <v>12:50:4:12,</v>
      </c>
      <c r="AG80" s="35" t="str">
        <f t="shared" si="39"/>
        <v>13:20:300:500,</v>
      </c>
      <c r="AH80" s="35" t="str">
        <f t="shared" si="39"/>
        <v>14:20:10:20,</v>
      </c>
      <c r="AI80" s="35" t="str">
        <f t="shared" si="39"/>
        <v/>
      </c>
      <c r="AJ80" s="35" t="str">
        <f t="shared" si="39"/>
        <v/>
      </c>
      <c r="AK80" s="35" t="str">
        <f t="shared" si="39"/>
        <v>17:60:5:15,</v>
      </c>
      <c r="AL80" s="35" t="str">
        <f t="shared" si="39"/>
        <v>18:60:5:15,</v>
      </c>
      <c r="AM80" s="35" t="str">
        <f t="shared" si="39"/>
        <v/>
      </c>
      <c r="AN80" s="35" t="str">
        <f t="shared" si="39"/>
        <v/>
      </c>
    </row>
    <row r="81" spans="1:40">
      <c r="A81" s="4" t="str">
        <f t="shared" si="33"/>
        <v>21级绿武器固定减伤</v>
      </c>
      <c r="B81" s="4" t="s">
        <v>198</v>
      </c>
      <c r="C81" s="4" t="s">
        <v>117</v>
      </c>
      <c r="D81" s="4">
        <v>21</v>
      </c>
      <c r="E81" s="4" t="s">
        <v>25</v>
      </c>
      <c r="F81" s="4">
        <f>VLOOKUP(E81,基础属性ID!A:B,2,0)</f>
        <v>10</v>
      </c>
      <c r="G81" s="4">
        <f>VLOOKUP(E81,基础属性ID!$A:$E,5,0)</f>
        <v>50</v>
      </c>
      <c r="H81" s="4">
        <v>2</v>
      </c>
      <c r="I81" s="4">
        <f t="shared" si="41"/>
        <v>6</v>
      </c>
      <c r="J81" s="4" t="str">
        <f t="shared" si="32"/>
        <v>10:50:2:6,</v>
      </c>
      <c r="M81" s="4" t="str">
        <f t="shared" si="34"/>
        <v>21级品质1手镯</v>
      </c>
      <c r="N81" s="4" t="str">
        <f t="shared" si="35"/>
        <v>21级绿手镯</v>
      </c>
      <c r="O81" s="33">
        <f t="shared" si="15"/>
        <v>41001</v>
      </c>
      <c r="P81" s="34" t="str">
        <f t="shared" si="36"/>
        <v>1:100:5:15,2:100:3:6,3:100:2:6,4:100:2:6,5:100:2:6,6:100:2:6,7:20:1:1,9:50:2:6,10:50:2:6,11:50:1:3,12:50:1:3,13:20:10:30,14:20:1:3,15:10:50:100,16:10:50:100,17:60:1:3,18:60:1:3</v>
      </c>
      <c r="Q81" s="4">
        <v>21</v>
      </c>
      <c r="R81" s="4" t="s">
        <v>218</v>
      </c>
      <c r="S81" s="4" t="str">
        <f>IF(T81=1,"绿",VLOOKUP(T81,{1,"白";2,"绿";3,"蓝";4,"紫";5,"橙";6,"红"},2,0))</f>
        <v>绿</v>
      </c>
      <c r="T81" s="4">
        <v>1</v>
      </c>
      <c r="U81" s="35" t="str">
        <f t="shared" si="38"/>
        <v>1:100:5:15,</v>
      </c>
      <c r="V81" s="35" t="str">
        <f t="shared" si="38"/>
        <v>2:100:3:6,</v>
      </c>
      <c r="W81" s="35" t="str">
        <f t="shared" si="38"/>
        <v>3:100:2:6,</v>
      </c>
      <c r="X81" s="35" t="str">
        <f t="shared" si="38"/>
        <v>4:100:2:6,</v>
      </c>
      <c r="Y81" s="35" t="str">
        <f t="shared" si="38"/>
        <v>5:100:2:6,</v>
      </c>
      <c r="Z81" s="35" t="str">
        <f t="shared" si="38"/>
        <v>6:100:2:6,</v>
      </c>
      <c r="AA81" s="35" t="str">
        <f t="shared" si="38"/>
        <v>7:20:1:1,</v>
      </c>
      <c r="AB81" s="35" t="str">
        <f t="shared" si="38"/>
        <v/>
      </c>
      <c r="AC81" s="35" t="str">
        <f t="shared" si="38"/>
        <v>9:50:2:6,</v>
      </c>
      <c r="AD81" s="35" t="str">
        <f t="shared" si="38"/>
        <v>10:50:2:6,</v>
      </c>
      <c r="AE81" s="35" t="str">
        <f t="shared" si="39"/>
        <v>11:50:1:3,</v>
      </c>
      <c r="AF81" s="35" t="str">
        <f t="shared" si="39"/>
        <v>12:50:1:3,</v>
      </c>
      <c r="AG81" s="35" t="str">
        <f t="shared" si="39"/>
        <v>13:20:10:30,</v>
      </c>
      <c r="AH81" s="35" t="str">
        <f t="shared" si="39"/>
        <v>14:20:1:3,</v>
      </c>
      <c r="AI81" s="35" t="str">
        <f t="shared" si="39"/>
        <v>15:10:50:100,</v>
      </c>
      <c r="AJ81" s="35" t="str">
        <f t="shared" si="39"/>
        <v>16:10:50:100,</v>
      </c>
      <c r="AK81" s="35" t="str">
        <f t="shared" si="39"/>
        <v>17:60:1:3,</v>
      </c>
      <c r="AL81" s="35" t="str">
        <f t="shared" si="39"/>
        <v>18:60:1:3,</v>
      </c>
      <c r="AM81" s="35" t="str">
        <f t="shared" si="39"/>
        <v/>
      </c>
      <c r="AN81" s="35" t="str">
        <f t="shared" si="39"/>
        <v/>
      </c>
    </row>
    <row r="82" spans="1:40">
      <c r="A82" s="4" t="str">
        <f t="shared" si="33"/>
        <v>21级绿武器生命吸取</v>
      </c>
      <c r="B82" s="4" t="s">
        <v>198</v>
      </c>
      <c r="C82" s="4" t="s">
        <v>117</v>
      </c>
      <c r="D82" s="4">
        <v>21</v>
      </c>
      <c r="E82" s="4" t="s">
        <v>28</v>
      </c>
      <c r="F82" s="4">
        <f>VLOOKUP(E82,基础属性ID!A:B,2,0)</f>
        <v>11</v>
      </c>
      <c r="G82" s="4">
        <f>VLOOKUP(E82,基础属性ID!$A:$E,5,0)</f>
        <v>50</v>
      </c>
      <c r="H82" s="4">
        <v>1</v>
      </c>
      <c r="I82" s="4">
        <f t="shared" ref="I82:I83" si="42">H82*3</f>
        <v>3</v>
      </c>
      <c r="J82" s="4" t="str">
        <f t="shared" si="32"/>
        <v>11:50:1:3,</v>
      </c>
      <c r="M82" s="4" t="str">
        <f t="shared" si="34"/>
        <v>21级品质2手镯</v>
      </c>
      <c r="N82" s="4" t="str">
        <f t="shared" si="35"/>
        <v>21级绿手镯</v>
      </c>
      <c r="O82" s="33">
        <f t="shared" si="15"/>
        <v>41002</v>
      </c>
      <c r="P82" s="34" t="str">
        <f t="shared" si="36"/>
        <v>1:100:5:15,2:100:3:6,3:100:2:6,4:100:2:6,5:100:2:6,6:100:2:6,7:20:1:1,9:50:2:6,10:50:2:6,11:50:1:3,12:50:1:3,13:20:10:30,14:20:1:3,15:10:50:100,16:10:50:100,17:60:1:3,18:60:1:3</v>
      </c>
      <c r="Q82" s="4">
        <v>21</v>
      </c>
      <c r="R82" s="4" t="s">
        <v>218</v>
      </c>
      <c r="S82" s="4" t="str">
        <f>IF(T82=1,"绿",VLOOKUP(T82,{1,"白";2,"绿";3,"蓝";4,"紫";5,"橙";6,"红"},2,0))</f>
        <v>绿</v>
      </c>
      <c r="T82" s="4">
        <v>2</v>
      </c>
      <c r="U82" s="35" t="str">
        <f t="shared" si="38"/>
        <v>1:100:5:15,</v>
      </c>
      <c r="V82" s="35" t="str">
        <f t="shared" si="38"/>
        <v>2:100:3:6,</v>
      </c>
      <c r="W82" s="35" t="str">
        <f t="shared" si="38"/>
        <v>3:100:2:6,</v>
      </c>
      <c r="X82" s="35" t="str">
        <f t="shared" si="38"/>
        <v>4:100:2:6,</v>
      </c>
      <c r="Y82" s="35" t="str">
        <f t="shared" si="38"/>
        <v>5:100:2:6,</v>
      </c>
      <c r="Z82" s="35" t="str">
        <f t="shared" si="38"/>
        <v>6:100:2:6,</v>
      </c>
      <c r="AA82" s="35" t="str">
        <f t="shared" si="38"/>
        <v>7:20:1:1,</v>
      </c>
      <c r="AB82" s="35" t="str">
        <f t="shared" si="38"/>
        <v/>
      </c>
      <c r="AC82" s="35" t="str">
        <f t="shared" si="38"/>
        <v>9:50:2:6,</v>
      </c>
      <c r="AD82" s="35" t="str">
        <f t="shared" si="38"/>
        <v>10:50:2:6,</v>
      </c>
      <c r="AE82" s="35" t="str">
        <f t="shared" si="39"/>
        <v>11:50:1:3,</v>
      </c>
      <c r="AF82" s="35" t="str">
        <f t="shared" si="39"/>
        <v>12:50:1:3,</v>
      </c>
      <c r="AG82" s="35" t="str">
        <f t="shared" si="39"/>
        <v>13:20:10:30,</v>
      </c>
      <c r="AH82" s="35" t="str">
        <f t="shared" si="39"/>
        <v>14:20:1:3,</v>
      </c>
      <c r="AI82" s="35" t="str">
        <f t="shared" si="39"/>
        <v>15:10:50:100,</v>
      </c>
      <c r="AJ82" s="35" t="str">
        <f t="shared" si="39"/>
        <v>16:10:50:100,</v>
      </c>
      <c r="AK82" s="35" t="str">
        <f t="shared" si="39"/>
        <v>17:60:1:3,</v>
      </c>
      <c r="AL82" s="35" t="str">
        <f t="shared" si="39"/>
        <v>18:60:1:3,</v>
      </c>
      <c r="AM82" s="35" t="str">
        <f t="shared" si="39"/>
        <v/>
      </c>
      <c r="AN82" s="35" t="str">
        <f t="shared" si="39"/>
        <v/>
      </c>
    </row>
    <row r="83" spans="1:40">
      <c r="A83" s="4" t="str">
        <f t="shared" si="33"/>
        <v>21级绿武器法力吸取</v>
      </c>
      <c r="B83" s="4" t="s">
        <v>198</v>
      </c>
      <c r="C83" s="4" t="s">
        <v>117</v>
      </c>
      <c r="D83" s="4">
        <v>21</v>
      </c>
      <c r="E83" s="4" t="s">
        <v>29</v>
      </c>
      <c r="F83" s="4">
        <f>VLOOKUP(E83,基础属性ID!A:B,2,0)</f>
        <v>12</v>
      </c>
      <c r="G83" s="4">
        <f>VLOOKUP(E83,基础属性ID!$A:$E,5,0)</f>
        <v>50</v>
      </c>
      <c r="H83" s="4">
        <v>1</v>
      </c>
      <c r="I83" s="4">
        <f t="shared" si="42"/>
        <v>3</v>
      </c>
      <c r="J83" s="4" t="str">
        <f t="shared" si="32"/>
        <v>12:50:1:3,</v>
      </c>
      <c r="M83" s="4" t="str">
        <f t="shared" si="34"/>
        <v>21级品质3手镯</v>
      </c>
      <c r="N83" s="4" t="str">
        <f t="shared" si="35"/>
        <v>21级蓝手镯</v>
      </c>
      <c r="O83" s="33">
        <f t="shared" si="15"/>
        <v>41003</v>
      </c>
      <c r="P83" s="34" t="str">
        <f t="shared" si="36"/>
        <v>1:100:8:24,2:100:8:15,3:100:3:9,4:100:3:9,5:100:3:9,6:100:3:9,7:20:1:1,9:50:3:9,10:50:3:9,11:50:1:3,12:50:1:3,13:20:20:50,14:20:2:5,15:10:80:150,16:10:80:150,17:60:2:6,18:60:2:6</v>
      </c>
      <c r="Q83" s="4">
        <v>21</v>
      </c>
      <c r="R83" s="4" t="s">
        <v>218</v>
      </c>
      <c r="S83" s="4" t="str">
        <f>IF(T83=1,"绿",VLOOKUP(T83,{1,"白";2,"绿";3,"蓝";4,"紫";5,"橙";6,"红"},2,0))</f>
        <v>蓝</v>
      </c>
      <c r="T83" s="4">
        <v>3</v>
      </c>
      <c r="U83" s="35" t="str">
        <f t="shared" ref="U83:AD92" si="43">IFERROR(VLOOKUP($N83&amp;U$2,$A:$J,10,0),"")</f>
        <v>1:100:8:24,</v>
      </c>
      <c r="V83" s="35" t="str">
        <f t="shared" si="43"/>
        <v>2:100:8:15,</v>
      </c>
      <c r="W83" s="35" t="str">
        <f t="shared" si="43"/>
        <v>3:100:3:9,</v>
      </c>
      <c r="X83" s="35" t="str">
        <f t="shared" si="43"/>
        <v>4:100:3:9,</v>
      </c>
      <c r="Y83" s="35" t="str">
        <f t="shared" si="43"/>
        <v>5:100:3:9,</v>
      </c>
      <c r="Z83" s="35" t="str">
        <f t="shared" si="43"/>
        <v>6:100:3:9,</v>
      </c>
      <c r="AA83" s="35" t="str">
        <f t="shared" si="43"/>
        <v>7:20:1:1,</v>
      </c>
      <c r="AB83" s="35" t="str">
        <f t="shared" si="43"/>
        <v/>
      </c>
      <c r="AC83" s="35" t="str">
        <f t="shared" si="43"/>
        <v>9:50:3:9,</v>
      </c>
      <c r="AD83" s="35" t="str">
        <f t="shared" si="43"/>
        <v>10:50:3:9,</v>
      </c>
      <c r="AE83" s="35" t="str">
        <f t="shared" ref="AE83:AN92" si="44">IFERROR(VLOOKUP($N83&amp;AE$2,$A:$J,10,0),"")</f>
        <v>11:50:1:3,</v>
      </c>
      <c r="AF83" s="35" t="str">
        <f t="shared" si="44"/>
        <v>12:50:1:3,</v>
      </c>
      <c r="AG83" s="35" t="str">
        <f t="shared" si="44"/>
        <v>13:20:20:50,</v>
      </c>
      <c r="AH83" s="35" t="str">
        <f t="shared" si="44"/>
        <v>14:20:2:5,</v>
      </c>
      <c r="AI83" s="35" t="str">
        <f t="shared" si="44"/>
        <v>15:10:80:150,</v>
      </c>
      <c r="AJ83" s="35" t="str">
        <f t="shared" si="44"/>
        <v>16:10:80:150,</v>
      </c>
      <c r="AK83" s="35" t="str">
        <f t="shared" si="44"/>
        <v>17:60:2:6,</v>
      </c>
      <c r="AL83" s="35" t="str">
        <f t="shared" si="44"/>
        <v>18:60:2:6,</v>
      </c>
      <c r="AM83" s="35" t="str">
        <f t="shared" si="44"/>
        <v/>
      </c>
      <c r="AN83" s="35" t="str">
        <f t="shared" si="44"/>
        <v/>
      </c>
    </row>
    <row r="84" spans="1:40">
      <c r="A84" s="4" t="str">
        <f t="shared" si="33"/>
        <v>21级绿武器暴击几率</v>
      </c>
      <c r="B84" s="4" t="s">
        <v>198</v>
      </c>
      <c r="C84" s="4" t="s">
        <v>117</v>
      </c>
      <c r="D84" s="4">
        <v>21</v>
      </c>
      <c r="E84" s="4" t="s">
        <v>21</v>
      </c>
      <c r="F84" s="4">
        <f>VLOOKUP(E84,基础属性ID!A:B,2,0)</f>
        <v>13</v>
      </c>
      <c r="G84" s="4">
        <f>VLOOKUP(E84,基础属性ID!$A:$E,5,0)</f>
        <v>20</v>
      </c>
      <c r="H84" s="4">
        <v>10</v>
      </c>
      <c r="I84" s="4">
        <v>30</v>
      </c>
      <c r="J84" s="4" t="str">
        <f t="shared" si="32"/>
        <v>13:20:10:30,</v>
      </c>
      <c r="M84" s="4" t="str">
        <f t="shared" si="34"/>
        <v>21级品质4手镯</v>
      </c>
      <c r="N84" s="4" t="str">
        <f t="shared" si="35"/>
        <v>21级紫手镯</v>
      </c>
      <c r="O84" s="33">
        <f t="shared" si="15"/>
        <v>41004</v>
      </c>
      <c r="P84" s="34" t="str">
        <f t="shared" si="36"/>
        <v>1:100:12:36,2:100:8:16,3:100:5:15,4:100:5:15,5:100:5:15,6:100:5:15,7:20:1:2,9:50:4:12,10:50:4:12,11:50:3:9,12:50:3:9,13:20:50:150,14:20:3:8,15:10:1:2,16:10:1:2,17:60:3:9,18:60:3:9</v>
      </c>
      <c r="Q84" s="4">
        <v>21</v>
      </c>
      <c r="R84" s="4" t="s">
        <v>218</v>
      </c>
      <c r="S84" s="4" t="str">
        <f>IF(T84=1,"绿",VLOOKUP(T84,{1,"白";2,"绿";3,"蓝";4,"紫";5,"橙";6,"红"},2,0))</f>
        <v>紫</v>
      </c>
      <c r="T84" s="4">
        <v>4</v>
      </c>
      <c r="U84" s="35" t="str">
        <f t="shared" si="43"/>
        <v>1:100:12:36,</v>
      </c>
      <c r="V84" s="35" t="str">
        <f t="shared" si="43"/>
        <v>2:100:8:16,</v>
      </c>
      <c r="W84" s="35" t="str">
        <f t="shared" si="43"/>
        <v>3:100:5:15,</v>
      </c>
      <c r="X84" s="35" t="str">
        <f t="shared" si="43"/>
        <v>4:100:5:15,</v>
      </c>
      <c r="Y84" s="35" t="str">
        <f t="shared" si="43"/>
        <v>5:100:5:15,</v>
      </c>
      <c r="Z84" s="35" t="str">
        <f t="shared" si="43"/>
        <v>6:100:5:15,</v>
      </c>
      <c r="AA84" s="35" t="str">
        <f t="shared" si="43"/>
        <v>7:20:1:2,</v>
      </c>
      <c r="AB84" s="35" t="str">
        <f t="shared" si="43"/>
        <v/>
      </c>
      <c r="AC84" s="35" t="str">
        <f t="shared" si="43"/>
        <v>9:50:4:12,</v>
      </c>
      <c r="AD84" s="35" t="str">
        <f t="shared" si="43"/>
        <v>10:50:4:12,</v>
      </c>
      <c r="AE84" s="35" t="str">
        <f t="shared" si="44"/>
        <v>11:50:3:9,</v>
      </c>
      <c r="AF84" s="35" t="str">
        <f t="shared" si="44"/>
        <v>12:50:3:9,</v>
      </c>
      <c r="AG84" s="35" t="str">
        <f t="shared" si="44"/>
        <v>13:20:50:150,</v>
      </c>
      <c r="AH84" s="35" t="str">
        <f t="shared" si="44"/>
        <v>14:20:3:8,</v>
      </c>
      <c r="AI84" s="35" t="str">
        <f t="shared" si="44"/>
        <v>15:10:1:2,</v>
      </c>
      <c r="AJ84" s="35" t="str">
        <f t="shared" si="44"/>
        <v>16:10:1:2,</v>
      </c>
      <c r="AK84" s="35" t="str">
        <f t="shared" si="44"/>
        <v>17:60:3:9,</v>
      </c>
      <c r="AL84" s="35" t="str">
        <f t="shared" si="44"/>
        <v>18:60:3:9,</v>
      </c>
      <c r="AM84" s="35" t="str">
        <f t="shared" si="44"/>
        <v/>
      </c>
      <c r="AN84" s="35" t="str">
        <f t="shared" si="44"/>
        <v/>
      </c>
    </row>
    <row r="85" spans="1:40">
      <c r="A85" s="4" t="str">
        <f t="shared" si="33"/>
        <v>21级绿武器爆击伤害</v>
      </c>
      <c r="B85" s="4" t="s">
        <v>198</v>
      </c>
      <c r="C85" s="4" t="s">
        <v>117</v>
      </c>
      <c r="D85" s="4">
        <v>21</v>
      </c>
      <c r="E85" s="4" t="s">
        <v>76</v>
      </c>
      <c r="F85" s="4">
        <f>VLOOKUP(E85,基础属性ID!A:B,2,0)</f>
        <v>14</v>
      </c>
      <c r="G85" s="4">
        <f>VLOOKUP(E85,基础属性ID!$A:$E,5,0)</f>
        <v>20</v>
      </c>
      <c r="H85" s="4">
        <v>1</v>
      </c>
      <c r="I85" s="4">
        <v>3</v>
      </c>
      <c r="J85" s="4" t="str">
        <f t="shared" si="32"/>
        <v>14:20:1:3,</v>
      </c>
      <c r="M85" s="4" t="str">
        <f t="shared" si="34"/>
        <v>21级品质5手镯</v>
      </c>
      <c r="N85" s="4" t="str">
        <f t="shared" si="35"/>
        <v>21级橙手镯</v>
      </c>
      <c r="O85" s="33">
        <f t="shared" si="15"/>
        <v>41005</v>
      </c>
      <c r="P85" s="34" t="str">
        <f t="shared" si="36"/>
        <v>1:100:15:45,2:100:12:24,3:100:6:18,4:100:6:18,5:100:6:18,6:100:6:18,7:20:1:3,9:50:5:15,10:50:5:15,11:50:4:12,12:50:4:12,13:20:150:300,14:20:5:10,15:10:150:300,16:10:150:300,17:60:4:12,18:60:4:12</v>
      </c>
      <c r="Q85" s="4">
        <v>21</v>
      </c>
      <c r="R85" s="4" t="s">
        <v>218</v>
      </c>
      <c r="S85" s="4" t="str">
        <f>IF(T85=1,"绿",VLOOKUP(T85,{1,"白";2,"绿";3,"蓝";4,"紫";5,"橙";6,"红"},2,0))</f>
        <v>橙</v>
      </c>
      <c r="T85" s="4">
        <v>5</v>
      </c>
      <c r="U85" s="35" t="str">
        <f t="shared" si="43"/>
        <v>1:100:15:45,</v>
      </c>
      <c r="V85" s="35" t="str">
        <f t="shared" si="43"/>
        <v>2:100:12:24,</v>
      </c>
      <c r="W85" s="35" t="str">
        <f t="shared" si="43"/>
        <v>3:100:6:18,</v>
      </c>
      <c r="X85" s="35" t="str">
        <f t="shared" si="43"/>
        <v>4:100:6:18,</v>
      </c>
      <c r="Y85" s="35" t="str">
        <f t="shared" si="43"/>
        <v>5:100:6:18,</v>
      </c>
      <c r="Z85" s="35" t="str">
        <f t="shared" si="43"/>
        <v>6:100:6:18,</v>
      </c>
      <c r="AA85" s="35" t="str">
        <f t="shared" si="43"/>
        <v>7:20:1:3,</v>
      </c>
      <c r="AB85" s="35" t="str">
        <f t="shared" si="43"/>
        <v/>
      </c>
      <c r="AC85" s="35" t="str">
        <f t="shared" si="43"/>
        <v>9:50:5:15,</v>
      </c>
      <c r="AD85" s="35" t="str">
        <f t="shared" si="43"/>
        <v>10:50:5:15,</v>
      </c>
      <c r="AE85" s="35" t="str">
        <f t="shared" si="44"/>
        <v>11:50:4:12,</v>
      </c>
      <c r="AF85" s="35" t="str">
        <f t="shared" si="44"/>
        <v>12:50:4:12,</v>
      </c>
      <c r="AG85" s="35" t="str">
        <f t="shared" si="44"/>
        <v>13:20:150:300,</v>
      </c>
      <c r="AH85" s="35" t="str">
        <f t="shared" si="44"/>
        <v>14:20:5:10,</v>
      </c>
      <c r="AI85" s="35" t="str">
        <f t="shared" si="44"/>
        <v>15:10:150:300,</v>
      </c>
      <c r="AJ85" s="35" t="str">
        <f t="shared" si="44"/>
        <v>16:10:150:300,</v>
      </c>
      <c r="AK85" s="35" t="str">
        <f t="shared" si="44"/>
        <v>17:60:4:12,</v>
      </c>
      <c r="AL85" s="35" t="str">
        <f t="shared" si="44"/>
        <v>18:60:4:12,</v>
      </c>
      <c r="AM85" s="35" t="str">
        <f t="shared" si="44"/>
        <v/>
      </c>
      <c r="AN85" s="35" t="str">
        <f t="shared" si="44"/>
        <v/>
      </c>
    </row>
    <row r="86" spans="1:40">
      <c r="A86" s="4" t="str">
        <f t="shared" si="33"/>
        <v>21级绿武器伤害增加</v>
      </c>
      <c r="B86" s="4" t="s">
        <v>198</v>
      </c>
      <c r="C86" s="4" t="s">
        <v>117</v>
      </c>
      <c r="D86" s="4">
        <v>21</v>
      </c>
      <c r="E86" s="4" t="s">
        <v>26</v>
      </c>
      <c r="F86" s="4">
        <f>VLOOKUP(E86,基础属性ID!A:B,2,0)</f>
        <v>15</v>
      </c>
      <c r="G86" s="4">
        <f>VLOOKUP(E86,基础属性ID!$A:$E,5,0)</f>
        <v>10</v>
      </c>
      <c r="H86" s="4">
        <v>50</v>
      </c>
      <c r="I86" s="4">
        <v>100</v>
      </c>
      <c r="J86" s="4" t="str">
        <f t="shared" si="32"/>
        <v>15:10:50:100,</v>
      </c>
      <c r="M86" s="4" t="str">
        <f t="shared" si="34"/>
        <v>21级品质6手镯</v>
      </c>
      <c r="N86" s="4" t="str">
        <f t="shared" si="35"/>
        <v>21级红手镯</v>
      </c>
      <c r="O86" s="33">
        <f t="shared" si="15"/>
        <v>41006</v>
      </c>
      <c r="P86" s="34" t="str">
        <f t="shared" si="36"/>
        <v>1:100:20:60,2:100:18:36,3:100:8:24,4:100:8:24,5:100:8:24,6:100:8:24,7:20:1:5,9:50:6:18,10:50:6:18,11:50:6:18,12:50:6:18,13:20:300:500,14:20:10:20,15:10:2:5,16:10:2:5,17:60:5:15,18:60:5:15</v>
      </c>
      <c r="Q86" s="4">
        <v>21</v>
      </c>
      <c r="R86" s="4" t="s">
        <v>218</v>
      </c>
      <c r="S86" s="4" t="str">
        <f>IF(T86=1,"绿",VLOOKUP(T86,{1,"白";2,"绿";3,"蓝";4,"紫";5,"橙";6,"红"},2,0))</f>
        <v>红</v>
      </c>
      <c r="T86" s="4">
        <v>6</v>
      </c>
      <c r="U86" s="35" t="str">
        <f t="shared" si="43"/>
        <v>1:100:20:60,</v>
      </c>
      <c r="V86" s="35" t="str">
        <f t="shared" si="43"/>
        <v>2:100:18:36,</v>
      </c>
      <c r="W86" s="35" t="str">
        <f t="shared" si="43"/>
        <v>3:100:8:24,</v>
      </c>
      <c r="X86" s="35" t="str">
        <f t="shared" si="43"/>
        <v>4:100:8:24,</v>
      </c>
      <c r="Y86" s="35" t="str">
        <f t="shared" si="43"/>
        <v>5:100:8:24,</v>
      </c>
      <c r="Z86" s="35" t="str">
        <f t="shared" si="43"/>
        <v>6:100:8:24,</v>
      </c>
      <c r="AA86" s="35" t="str">
        <f t="shared" si="43"/>
        <v>7:20:1:5,</v>
      </c>
      <c r="AB86" s="35" t="str">
        <f t="shared" si="43"/>
        <v/>
      </c>
      <c r="AC86" s="35" t="str">
        <f t="shared" si="43"/>
        <v>9:50:6:18,</v>
      </c>
      <c r="AD86" s="35" t="str">
        <f t="shared" si="43"/>
        <v>10:50:6:18,</v>
      </c>
      <c r="AE86" s="35" t="str">
        <f t="shared" si="44"/>
        <v>11:50:6:18,</v>
      </c>
      <c r="AF86" s="35" t="str">
        <f t="shared" si="44"/>
        <v>12:50:6:18,</v>
      </c>
      <c r="AG86" s="35" t="str">
        <f t="shared" si="44"/>
        <v>13:20:300:500,</v>
      </c>
      <c r="AH86" s="35" t="str">
        <f t="shared" si="44"/>
        <v>14:20:10:20,</v>
      </c>
      <c r="AI86" s="35" t="str">
        <f t="shared" si="44"/>
        <v>15:10:2:5,</v>
      </c>
      <c r="AJ86" s="35" t="str">
        <f t="shared" si="44"/>
        <v>16:10:2:5,</v>
      </c>
      <c r="AK86" s="35" t="str">
        <f t="shared" si="44"/>
        <v>17:60:5:15,</v>
      </c>
      <c r="AL86" s="35" t="str">
        <f t="shared" si="44"/>
        <v>18:60:5:15,</v>
      </c>
      <c r="AM86" s="35" t="str">
        <f t="shared" si="44"/>
        <v/>
      </c>
      <c r="AN86" s="35" t="str">
        <f t="shared" si="44"/>
        <v/>
      </c>
    </row>
    <row r="87" spans="1:40">
      <c r="A87" s="4" t="str">
        <f t="shared" si="33"/>
        <v>21级绿武器伤害减免</v>
      </c>
      <c r="B87" s="4" t="s">
        <v>198</v>
      </c>
      <c r="C87" s="4" t="s">
        <v>117</v>
      </c>
      <c r="D87" s="4">
        <v>21</v>
      </c>
      <c r="E87" s="4" t="s">
        <v>27</v>
      </c>
      <c r="F87" s="4">
        <f>VLOOKUP(E87,基础属性ID!A:B,2,0)</f>
        <v>16</v>
      </c>
      <c r="G87" s="4">
        <f>VLOOKUP(E87,基础属性ID!$A:$E,5,0)</f>
        <v>10</v>
      </c>
      <c r="H87" s="4">
        <v>50</v>
      </c>
      <c r="I87" s="4">
        <v>100</v>
      </c>
      <c r="J87" s="4" t="str">
        <f t="shared" si="32"/>
        <v>16:10:50:100,</v>
      </c>
      <c r="M87" s="4" t="str">
        <f t="shared" si="34"/>
        <v>41级品质1手镯</v>
      </c>
      <c r="N87" s="4" t="str">
        <f t="shared" si="35"/>
        <v>41级绿手镯</v>
      </c>
      <c r="O87" s="33">
        <f t="shared" si="15"/>
        <v>42001</v>
      </c>
      <c r="P87" s="34" t="str">
        <f t="shared" si="36"/>
        <v>1:100:10:30,2:100:4:8,3:100:3:9,4:100:3:9,5:100:3:9,6:100:3:9,7:20:1:1,9:50:3:9,10:50:3:9,11:50:2:6,12:50:2:6,13:20:10:30,14:20:1:3,15:10:50:100,16:10:50:100,17:60:1:3,18:60:1:3</v>
      </c>
      <c r="Q87" s="4">
        <v>41</v>
      </c>
      <c r="R87" s="4" t="s">
        <v>218</v>
      </c>
      <c r="S87" s="4" t="str">
        <f>IF(T87=1,"绿",VLOOKUP(T87,{1,"白";2,"绿";3,"蓝";4,"紫";5,"橙";6,"红"},2,0))</f>
        <v>绿</v>
      </c>
      <c r="T87" s="4">
        <v>1</v>
      </c>
      <c r="U87" s="35" t="str">
        <f t="shared" si="43"/>
        <v>1:100:10:30,</v>
      </c>
      <c r="V87" s="35" t="str">
        <f t="shared" si="43"/>
        <v>2:100:4:8,</v>
      </c>
      <c r="W87" s="35" t="str">
        <f t="shared" si="43"/>
        <v>3:100:3:9,</v>
      </c>
      <c r="X87" s="35" t="str">
        <f t="shared" si="43"/>
        <v>4:100:3:9,</v>
      </c>
      <c r="Y87" s="35" t="str">
        <f t="shared" si="43"/>
        <v>5:100:3:9,</v>
      </c>
      <c r="Z87" s="35" t="str">
        <f t="shared" si="43"/>
        <v>6:100:3:9,</v>
      </c>
      <c r="AA87" s="35" t="str">
        <f t="shared" si="43"/>
        <v>7:20:1:1,</v>
      </c>
      <c r="AB87" s="35" t="str">
        <f t="shared" si="43"/>
        <v/>
      </c>
      <c r="AC87" s="35" t="str">
        <f t="shared" si="43"/>
        <v>9:50:3:9,</v>
      </c>
      <c r="AD87" s="35" t="str">
        <f t="shared" si="43"/>
        <v>10:50:3:9,</v>
      </c>
      <c r="AE87" s="35" t="str">
        <f t="shared" si="44"/>
        <v>11:50:2:6,</v>
      </c>
      <c r="AF87" s="35" t="str">
        <f t="shared" si="44"/>
        <v>12:50:2:6,</v>
      </c>
      <c r="AG87" s="35" t="str">
        <f t="shared" si="44"/>
        <v>13:20:10:30,</v>
      </c>
      <c r="AH87" s="35" t="str">
        <f t="shared" si="44"/>
        <v>14:20:1:3,</v>
      </c>
      <c r="AI87" s="35" t="str">
        <f t="shared" si="44"/>
        <v>15:10:50:100,</v>
      </c>
      <c r="AJ87" s="35" t="str">
        <f t="shared" si="44"/>
        <v>16:10:50:100,</v>
      </c>
      <c r="AK87" s="35" t="str">
        <f t="shared" si="44"/>
        <v>17:60:1:3,</v>
      </c>
      <c r="AL87" s="35" t="str">
        <f t="shared" si="44"/>
        <v>18:60:1:3,</v>
      </c>
      <c r="AM87" s="35" t="str">
        <f t="shared" si="44"/>
        <v/>
      </c>
      <c r="AN87" s="35" t="str">
        <f t="shared" si="44"/>
        <v/>
      </c>
    </row>
    <row r="88" spans="1:40">
      <c r="A88" s="4" t="str">
        <f t="shared" si="33"/>
        <v>21级绿武器装备掉率</v>
      </c>
      <c r="B88" s="4" t="s">
        <v>198</v>
      </c>
      <c r="C88" s="4" t="s">
        <v>117</v>
      </c>
      <c r="D88" s="4">
        <v>21</v>
      </c>
      <c r="E88" s="4" t="s">
        <v>30</v>
      </c>
      <c r="F88" s="4">
        <f>VLOOKUP(E88,基础属性ID!A:B,2,0)</f>
        <v>17</v>
      </c>
      <c r="G88" s="4">
        <f>VLOOKUP(E88,基础属性ID!$A:$E,5,0)</f>
        <v>60</v>
      </c>
      <c r="H88" s="4">
        <v>1</v>
      </c>
      <c r="I88" s="4">
        <f t="shared" ref="I88:I90" si="45">H88*3</f>
        <v>3</v>
      </c>
      <c r="J88" s="4" t="str">
        <f t="shared" si="32"/>
        <v>17:60:1:3,</v>
      </c>
      <c r="M88" s="4" t="str">
        <f t="shared" si="34"/>
        <v>41级品质2手镯</v>
      </c>
      <c r="N88" s="4" t="str">
        <f t="shared" si="35"/>
        <v>41级绿手镯</v>
      </c>
      <c r="O88" s="33">
        <f t="shared" si="15"/>
        <v>42002</v>
      </c>
      <c r="P88" s="34" t="str">
        <f t="shared" si="36"/>
        <v>1:100:10:30,2:100:4:8,3:100:3:9,4:100:3:9,5:100:3:9,6:100:3:9,7:20:1:1,9:50:3:9,10:50:3:9,11:50:2:6,12:50:2:6,13:20:10:30,14:20:1:3,15:10:50:100,16:10:50:100,17:60:1:3,18:60:1:3</v>
      </c>
      <c r="Q88" s="4">
        <v>41</v>
      </c>
      <c r="R88" s="4" t="s">
        <v>218</v>
      </c>
      <c r="S88" s="4" t="str">
        <f>IF(T88=1,"绿",VLOOKUP(T88,{1,"白";2,"绿";3,"蓝";4,"紫";5,"橙";6,"红"},2,0))</f>
        <v>绿</v>
      </c>
      <c r="T88" s="4">
        <v>2</v>
      </c>
      <c r="U88" s="35" t="str">
        <f t="shared" si="43"/>
        <v>1:100:10:30,</v>
      </c>
      <c r="V88" s="35" t="str">
        <f t="shared" si="43"/>
        <v>2:100:4:8,</v>
      </c>
      <c r="W88" s="35" t="str">
        <f t="shared" si="43"/>
        <v>3:100:3:9,</v>
      </c>
      <c r="X88" s="35" t="str">
        <f t="shared" si="43"/>
        <v>4:100:3:9,</v>
      </c>
      <c r="Y88" s="35" t="str">
        <f t="shared" si="43"/>
        <v>5:100:3:9,</v>
      </c>
      <c r="Z88" s="35" t="str">
        <f t="shared" si="43"/>
        <v>6:100:3:9,</v>
      </c>
      <c r="AA88" s="35" t="str">
        <f t="shared" si="43"/>
        <v>7:20:1:1,</v>
      </c>
      <c r="AB88" s="35" t="str">
        <f t="shared" si="43"/>
        <v/>
      </c>
      <c r="AC88" s="35" t="str">
        <f t="shared" si="43"/>
        <v>9:50:3:9,</v>
      </c>
      <c r="AD88" s="35" t="str">
        <f t="shared" si="43"/>
        <v>10:50:3:9,</v>
      </c>
      <c r="AE88" s="35" t="str">
        <f t="shared" si="44"/>
        <v>11:50:2:6,</v>
      </c>
      <c r="AF88" s="35" t="str">
        <f t="shared" si="44"/>
        <v>12:50:2:6,</v>
      </c>
      <c r="AG88" s="35" t="str">
        <f t="shared" si="44"/>
        <v>13:20:10:30,</v>
      </c>
      <c r="AH88" s="35" t="str">
        <f t="shared" si="44"/>
        <v>14:20:1:3,</v>
      </c>
      <c r="AI88" s="35" t="str">
        <f t="shared" si="44"/>
        <v>15:10:50:100,</v>
      </c>
      <c r="AJ88" s="35" t="str">
        <f t="shared" si="44"/>
        <v>16:10:50:100,</v>
      </c>
      <c r="AK88" s="35" t="str">
        <f t="shared" si="44"/>
        <v>17:60:1:3,</v>
      </c>
      <c r="AL88" s="35" t="str">
        <f t="shared" si="44"/>
        <v>18:60:1:3,</v>
      </c>
      <c r="AM88" s="35" t="str">
        <f t="shared" si="44"/>
        <v/>
      </c>
      <c r="AN88" s="35" t="str">
        <f t="shared" si="44"/>
        <v/>
      </c>
    </row>
    <row r="89" spans="1:40">
      <c r="A89" s="4" t="str">
        <f t="shared" si="33"/>
        <v>21级绿武器极品掉率</v>
      </c>
      <c r="B89" s="4" t="s">
        <v>198</v>
      </c>
      <c r="C89" s="4" t="s">
        <v>117</v>
      </c>
      <c r="D89" s="4">
        <v>21</v>
      </c>
      <c r="E89" s="4" t="s">
        <v>31</v>
      </c>
      <c r="F89" s="4">
        <f>VLOOKUP(E89,基础属性ID!A:B,2,0)</f>
        <v>18</v>
      </c>
      <c r="G89" s="4">
        <f>VLOOKUP(E89,基础属性ID!$A:$E,5,0)</f>
        <v>60</v>
      </c>
      <c r="H89" s="4">
        <v>1</v>
      </c>
      <c r="I89" s="4">
        <f t="shared" si="45"/>
        <v>3</v>
      </c>
      <c r="J89" s="4" t="str">
        <f t="shared" si="32"/>
        <v>18:60:1:3,</v>
      </c>
      <c r="M89" s="4" t="str">
        <f t="shared" si="34"/>
        <v>41级品质3手镯</v>
      </c>
      <c r="N89" s="4" t="str">
        <f t="shared" si="35"/>
        <v>41级蓝手镯</v>
      </c>
      <c r="O89" s="33">
        <f t="shared" si="15"/>
        <v>42003</v>
      </c>
      <c r="P89" s="34" t="str">
        <f t="shared" si="36"/>
        <v>1:100:15:45,2:100:10:20,3:100:4:12,4:100:4:12,5:100:4:12,6:100:4:12,7:20:1:1,9:50:4:12,10:50:4:12,11:50:2:6,12:50:2:6,13:20:20:50,14:20:2:5,15:10:80:150,16:10:80:150,17:60:2:6,18:60:2:6</v>
      </c>
      <c r="Q89" s="4">
        <v>41</v>
      </c>
      <c r="R89" s="4" t="s">
        <v>218</v>
      </c>
      <c r="S89" s="4" t="str">
        <f>IF(T89=1,"绿",VLOOKUP(T89,{1,"白";2,"绿";3,"蓝";4,"紫";5,"橙";6,"红"},2,0))</f>
        <v>蓝</v>
      </c>
      <c r="T89" s="4">
        <v>3</v>
      </c>
      <c r="U89" s="35" t="str">
        <f t="shared" si="43"/>
        <v>1:100:15:45,</v>
      </c>
      <c r="V89" s="35" t="str">
        <f t="shared" si="43"/>
        <v>2:100:10:20,</v>
      </c>
      <c r="W89" s="35" t="str">
        <f t="shared" si="43"/>
        <v>3:100:4:12,</v>
      </c>
      <c r="X89" s="35" t="str">
        <f t="shared" si="43"/>
        <v>4:100:4:12,</v>
      </c>
      <c r="Y89" s="35" t="str">
        <f t="shared" si="43"/>
        <v>5:100:4:12,</v>
      </c>
      <c r="Z89" s="35" t="str">
        <f t="shared" si="43"/>
        <v>6:100:4:12,</v>
      </c>
      <c r="AA89" s="35" t="str">
        <f t="shared" si="43"/>
        <v>7:20:1:1,</v>
      </c>
      <c r="AB89" s="35" t="str">
        <f t="shared" si="43"/>
        <v/>
      </c>
      <c r="AC89" s="35" t="str">
        <f t="shared" si="43"/>
        <v>9:50:4:12,</v>
      </c>
      <c r="AD89" s="35" t="str">
        <f t="shared" si="43"/>
        <v>10:50:4:12,</v>
      </c>
      <c r="AE89" s="35" t="str">
        <f t="shared" si="44"/>
        <v>11:50:2:6,</v>
      </c>
      <c r="AF89" s="35" t="str">
        <f t="shared" si="44"/>
        <v>12:50:2:6,</v>
      </c>
      <c r="AG89" s="35" t="str">
        <f t="shared" si="44"/>
        <v>13:20:20:50,</v>
      </c>
      <c r="AH89" s="35" t="str">
        <f t="shared" si="44"/>
        <v>14:20:2:5,</v>
      </c>
      <c r="AI89" s="35" t="str">
        <f t="shared" si="44"/>
        <v>15:10:80:150,</v>
      </c>
      <c r="AJ89" s="35" t="str">
        <f t="shared" si="44"/>
        <v>16:10:80:150,</v>
      </c>
      <c r="AK89" s="35" t="str">
        <f t="shared" si="44"/>
        <v>17:60:2:6,</v>
      </c>
      <c r="AL89" s="35" t="str">
        <f t="shared" si="44"/>
        <v>18:60:2:6,</v>
      </c>
      <c r="AM89" s="35" t="str">
        <f t="shared" si="44"/>
        <v/>
      </c>
      <c r="AN89" s="35" t="str">
        <f t="shared" si="44"/>
        <v/>
      </c>
    </row>
    <row r="90" spans="1:40">
      <c r="A90" s="4" t="str">
        <f t="shared" si="33"/>
        <v>41级绿武器生命值</v>
      </c>
      <c r="B90" s="4" t="s">
        <v>198</v>
      </c>
      <c r="C90" s="4" t="s">
        <v>117</v>
      </c>
      <c r="D90" s="4">
        <v>41</v>
      </c>
      <c r="E90" s="4" t="s">
        <v>74</v>
      </c>
      <c r="F90" s="4">
        <f>VLOOKUP(E90,基础属性ID!A:B,2,0)</f>
        <v>1</v>
      </c>
      <c r="G90" s="4">
        <f>VLOOKUP(E90,基础属性ID!$A:$E,5,0)</f>
        <v>100</v>
      </c>
      <c r="H90" s="4">
        <v>10</v>
      </c>
      <c r="I90" s="4">
        <f t="shared" si="45"/>
        <v>30</v>
      </c>
      <c r="J90" s="4" t="str">
        <f t="shared" si="32"/>
        <v>1:100:10:30,</v>
      </c>
      <c r="M90" s="4" t="str">
        <f t="shared" si="34"/>
        <v>41级品质4手镯</v>
      </c>
      <c r="N90" s="4" t="str">
        <f t="shared" si="35"/>
        <v>41级紫手镯</v>
      </c>
      <c r="O90" s="33">
        <f t="shared" si="15"/>
        <v>42004</v>
      </c>
      <c r="P90" s="34" t="str">
        <f t="shared" si="36"/>
        <v>1:100:20:60,2:100:10:20,3:100:7:21,4:100:7:21,5:100:7:21,6:100:7:21,7:20:1:2,9:50:5:15,10:50:5:15,11:50:4:12,12:50:4:12,13:20:50:150,14:20:3:8,15:10:1:2,16:10:1:2,17:60:3:9,18:60:3:9</v>
      </c>
      <c r="Q90" s="4">
        <v>41</v>
      </c>
      <c r="R90" s="4" t="s">
        <v>218</v>
      </c>
      <c r="S90" s="4" t="str">
        <f>IF(T90=1,"绿",VLOOKUP(T90,{1,"白";2,"绿";3,"蓝";4,"紫";5,"橙";6,"红"},2,0))</f>
        <v>紫</v>
      </c>
      <c r="T90" s="4">
        <v>4</v>
      </c>
      <c r="U90" s="35" t="str">
        <f t="shared" si="43"/>
        <v>1:100:20:60,</v>
      </c>
      <c r="V90" s="35" t="str">
        <f t="shared" si="43"/>
        <v>2:100:10:20,</v>
      </c>
      <c r="W90" s="35" t="str">
        <f t="shared" si="43"/>
        <v>3:100:7:21,</v>
      </c>
      <c r="X90" s="35" t="str">
        <f t="shared" si="43"/>
        <v>4:100:7:21,</v>
      </c>
      <c r="Y90" s="35" t="str">
        <f t="shared" si="43"/>
        <v>5:100:7:21,</v>
      </c>
      <c r="Z90" s="35" t="str">
        <f t="shared" si="43"/>
        <v>6:100:7:21,</v>
      </c>
      <c r="AA90" s="35" t="str">
        <f t="shared" si="43"/>
        <v>7:20:1:2,</v>
      </c>
      <c r="AB90" s="35" t="str">
        <f t="shared" si="43"/>
        <v/>
      </c>
      <c r="AC90" s="35" t="str">
        <f t="shared" si="43"/>
        <v>9:50:5:15,</v>
      </c>
      <c r="AD90" s="35" t="str">
        <f t="shared" si="43"/>
        <v>10:50:5:15,</v>
      </c>
      <c r="AE90" s="35" t="str">
        <f t="shared" si="44"/>
        <v>11:50:4:12,</v>
      </c>
      <c r="AF90" s="35" t="str">
        <f t="shared" si="44"/>
        <v>12:50:4:12,</v>
      </c>
      <c r="AG90" s="35" t="str">
        <f t="shared" si="44"/>
        <v>13:20:50:150,</v>
      </c>
      <c r="AH90" s="35" t="str">
        <f t="shared" si="44"/>
        <v>14:20:3:8,</v>
      </c>
      <c r="AI90" s="35" t="str">
        <f t="shared" si="44"/>
        <v>15:10:1:2,</v>
      </c>
      <c r="AJ90" s="35" t="str">
        <f t="shared" si="44"/>
        <v>16:10:1:2,</v>
      </c>
      <c r="AK90" s="35" t="str">
        <f t="shared" si="44"/>
        <v>17:60:3:9,</v>
      </c>
      <c r="AL90" s="35" t="str">
        <f t="shared" si="44"/>
        <v>18:60:3:9,</v>
      </c>
      <c r="AM90" s="35" t="str">
        <f t="shared" si="44"/>
        <v/>
      </c>
      <c r="AN90" s="35" t="str">
        <f t="shared" si="44"/>
        <v/>
      </c>
    </row>
    <row r="91" spans="1:40">
      <c r="A91" s="4" t="str">
        <f t="shared" si="33"/>
        <v>41级绿武器法力值</v>
      </c>
      <c r="B91" s="4" t="s">
        <v>198</v>
      </c>
      <c r="C91" s="4" t="s">
        <v>117</v>
      </c>
      <c r="D91" s="4">
        <v>41</v>
      </c>
      <c r="E91" s="4" t="s">
        <v>75</v>
      </c>
      <c r="F91" s="4">
        <f>VLOOKUP(E91,基础属性ID!A:B,2,0)</f>
        <v>2</v>
      </c>
      <c r="G91" s="4">
        <f>VLOOKUP(E91,基础属性ID!$A:$E,5,0)</f>
        <v>100</v>
      </c>
      <c r="H91" s="4">
        <v>4</v>
      </c>
      <c r="I91" s="4">
        <v>8</v>
      </c>
      <c r="J91" s="4" t="str">
        <f t="shared" si="32"/>
        <v>2:100:4:8,</v>
      </c>
      <c r="M91" s="4" t="str">
        <f t="shared" si="34"/>
        <v>41级品质5手镯</v>
      </c>
      <c r="N91" s="4" t="str">
        <f t="shared" si="35"/>
        <v>41级橙手镯</v>
      </c>
      <c r="O91" s="33">
        <f t="shared" si="15"/>
        <v>42005</v>
      </c>
      <c r="P91" s="34" t="str">
        <f t="shared" si="36"/>
        <v>1:100:25:75,2:100:14:28,3:100:8:24,4:100:8:24,5:100:8:24,6:100:8:24,7:20:1:3,9:50:6:18,10:50:6:18,11:50:6:18,12:50:6:18,13:20:150:300,14:20:5:10,15:10:150:300,16:10:150:300,17:60:4:12,18:60:4:12</v>
      </c>
      <c r="Q91" s="4">
        <v>41</v>
      </c>
      <c r="R91" s="4" t="s">
        <v>218</v>
      </c>
      <c r="S91" s="4" t="str">
        <f>IF(T91=1,"绿",VLOOKUP(T91,{1,"白";2,"绿";3,"蓝";4,"紫";5,"橙";6,"红"},2,0))</f>
        <v>橙</v>
      </c>
      <c r="T91" s="4">
        <v>5</v>
      </c>
      <c r="U91" s="35" t="str">
        <f t="shared" si="43"/>
        <v>1:100:25:75,</v>
      </c>
      <c r="V91" s="35" t="str">
        <f t="shared" si="43"/>
        <v>2:100:14:28,</v>
      </c>
      <c r="W91" s="35" t="str">
        <f t="shared" si="43"/>
        <v>3:100:8:24,</v>
      </c>
      <c r="X91" s="35" t="str">
        <f t="shared" si="43"/>
        <v>4:100:8:24,</v>
      </c>
      <c r="Y91" s="35" t="str">
        <f t="shared" si="43"/>
        <v>5:100:8:24,</v>
      </c>
      <c r="Z91" s="35" t="str">
        <f t="shared" si="43"/>
        <v>6:100:8:24,</v>
      </c>
      <c r="AA91" s="35" t="str">
        <f t="shared" si="43"/>
        <v>7:20:1:3,</v>
      </c>
      <c r="AB91" s="35" t="str">
        <f t="shared" si="43"/>
        <v/>
      </c>
      <c r="AC91" s="35" t="str">
        <f t="shared" si="43"/>
        <v>9:50:6:18,</v>
      </c>
      <c r="AD91" s="35" t="str">
        <f t="shared" si="43"/>
        <v>10:50:6:18,</v>
      </c>
      <c r="AE91" s="35" t="str">
        <f t="shared" si="44"/>
        <v>11:50:6:18,</v>
      </c>
      <c r="AF91" s="35" t="str">
        <f t="shared" si="44"/>
        <v>12:50:6:18,</v>
      </c>
      <c r="AG91" s="35" t="str">
        <f t="shared" si="44"/>
        <v>13:20:150:300,</v>
      </c>
      <c r="AH91" s="35" t="str">
        <f t="shared" si="44"/>
        <v>14:20:5:10,</v>
      </c>
      <c r="AI91" s="35" t="str">
        <f t="shared" si="44"/>
        <v>15:10:150:300,</v>
      </c>
      <c r="AJ91" s="35" t="str">
        <f t="shared" si="44"/>
        <v>16:10:150:300,</v>
      </c>
      <c r="AK91" s="35" t="str">
        <f t="shared" si="44"/>
        <v>17:60:4:12,</v>
      </c>
      <c r="AL91" s="35" t="str">
        <f t="shared" si="44"/>
        <v>18:60:4:12,</v>
      </c>
      <c r="AM91" s="35" t="str">
        <f t="shared" si="44"/>
        <v/>
      </c>
      <c r="AN91" s="35" t="str">
        <f t="shared" si="44"/>
        <v/>
      </c>
    </row>
    <row r="92" spans="1:40">
      <c r="A92" s="4" t="str">
        <f t="shared" si="33"/>
        <v>41级绿武器物理攻击</v>
      </c>
      <c r="B92" s="4" t="s">
        <v>198</v>
      </c>
      <c r="C92" s="4" t="s">
        <v>117</v>
      </c>
      <c r="D92" s="4">
        <v>41</v>
      </c>
      <c r="E92" s="4" t="s">
        <v>13</v>
      </c>
      <c r="F92" s="4">
        <f>VLOOKUP(E92,基础属性ID!A:B,2,0)</f>
        <v>3</v>
      </c>
      <c r="G92" s="4">
        <f>VLOOKUP(E92,基础属性ID!$A:$E,5,0)</f>
        <v>100</v>
      </c>
      <c r="H92" s="4">
        <v>3</v>
      </c>
      <c r="I92" s="4">
        <f t="shared" ref="I92:I95" si="46">H92*3</f>
        <v>9</v>
      </c>
      <c r="J92" s="4" t="str">
        <f t="shared" si="32"/>
        <v>3:100:3:9,</v>
      </c>
      <c r="M92" s="4" t="str">
        <f t="shared" si="34"/>
        <v>41级品质6手镯</v>
      </c>
      <c r="N92" s="4" t="str">
        <f t="shared" si="35"/>
        <v>41级红手镯</v>
      </c>
      <c r="O92" s="33">
        <f t="shared" ref="O92:O122" si="47">O68+10000</f>
        <v>42006</v>
      </c>
      <c r="P92" s="34" t="str">
        <f t="shared" si="36"/>
        <v>1:100:40:120,2:100:21:42,3:100:11:33,4:100:11:33,5:100:11:33,6:100:11:33,7:20:1:5,9:50:8:24,10:50:8:24,11:50:8:24,12:50:8:24,13:20:300:500,14:20:10:20,15:10:2:5,16:10:2:5,17:60:5:15,18:60:5:15</v>
      </c>
      <c r="Q92" s="4">
        <v>41</v>
      </c>
      <c r="R92" s="4" t="s">
        <v>218</v>
      </c>
      <c r="S92" s="4" t="str">
        <f>IF(T92=1,"绿",VLOOKUP(T92,{1,"白";2,"绿";3,"蓝";4,"紫";5,"橙";6,"红"},2,0))</f>
        <v>红</v>
      </c>
      <c r="T92" s="4">
        <v>6</v>
      </c>
      <c r="U92" s="35" t="str">
        <f t="shared" si="43"/>
        <v>1:100:40:120,</v>
      </c>
      <c r="V92" s="35" t="str">
        <f t="shared" si="43"/>
        <v>2:100:21:42,</v>
      </c>
      <c r="W92" s="35" t="str">
        <f t="shared" si="43"/>
        <v>3:100:11:33,</v>
      </c>
      <c r="X92" s="35" t="str">
        <f t="shared" si="43"/>
        <v>4:100:11:33,</v>
      </c>
      <c r="Y92" s="35" t="str">
        <f t="shared" si="43"/>
        <v>5:100:11:33,</v>
      </c>
      <c r="Z92" s="35" t="str">
        <f t="shared" si="43"/>
        <v>6:100:11:33,</v>
      </c>
      <c r="AA92" s="35" t="str">
        <f t="shared" si="43"/>
        <v>7:20:1:5,</v>
      </c>
      <c r="AB92" s="35" t="str">
        <f t="shared" si="43"/>
        <v/>
      </c>
      <c r="AC92" s="35" t="str">
        <f t="shared" si="43"/>
        <v>9:50:8:24,</v>
      </c>
      <c r="AD92" s="35" t="str">
        <f t="shared" si="43"/>
        <v>10:50:8:24,</v>
      </c>
      <c r="AE92" s="35" t="str">
        <f t="shared" si="44"/>
        <v>11:50:8:24,</v>
      </c>
      <c r="AF92" s="35" t="str">
        <f t="shared" si="44"/>
        <v>12:50:8:24,</v>
      </c>
      <c r="AG92" s="35" t="str">
        <f t="shared" si="44"/>
        <v>13:20:300:500,</v>
      </c>
      <c r="AH92" s="35" t="str">
        <f t="shared" si="44"/>
        <v>14:20:10:20,</v>
      </c>
      <c r="AI92" s="35" t="str">
        <f t="shared" si="44"/>
        <v>15:10:2:5,</v>
      </c>
      <c r="AJ92" s="35" t="str">
        <f t="shared" si="44"/>
        <v>16:10:2:5,</v>
      </c>
      <c r="AK92" s="35" t="str">
        <f t="shared" si="44"/>
        <v>17:60:5:15,</v>
      </c>
      <c r="AL92" s="35" t="str">
        <f t="shared" si="44"/>
        <v>18:60:5:15,</v>
      </c>
      <c r="AM92" s="35" t="str">
        <f t="shared" si="44"/>
        <v/>
      </c>
      <c r="AN92" s="35" t="str">
        <f t="shared" si="44"/>
        <v/>
      </c>
    </row>
    <row r="93" spans="1:40">
      <c r="A93" s="4" t="str">
        <f t="shared" si="33"/>
        <v>41级绿武器魔法攻击</v>
      </c>
      <c r="B93" s="4" t="s">
        <v>198</v>
      </c>
      <c r="C93" s="4" t="s">
        <v>117</v>
      </c>
      <c r="D93" s="4">
        <v>41</v>
      </c>
      <c r="E93" s="4" t="s">
        <v>14</v>
      </c>
      <c r="F93" s="4">
        <f>VLOOKUP(E93,基础属性ID!A:B,2,0)</f>
        <v>4</v>
      </c>
      <c r="G93" s="4">
        <f>VLOOKUP(E93,基础属性ID!$A:$E,5,0)</f>
        <v>100</v>
      </c>
      <c r="H93" s="4">
        <v>3</v>
      </c>
      <c r="I93" s="4">
        <f t="shared" si="46"/>
        <v>9</v>
      </c>
      <c r="J93" s="4" t="str">
        <f t="shared" si="32"/>
        <v>4:100:3:9,</v>
      </c>
      <c r="M93" s="4" t="str">
        <f t="shared" si="34"/>
        <v>61级品质1手镯</v>
      </c>
      <c r="N93" s="4" t="str">
        <f t="shared" si="35"/>
        <v>61级绿手镯</v>
      </c>
      <c r="O93" s="33">
        <f t="shared" si="47"/>
        <v>43001</v>
      </c>
      <c r="P93" s="34" t="str">
        <f t="shared" si="36"/>
        <v>1:100:15:45,2:100:5:10,3:100:5:15,4:100:5:15,5:100:5:15,6:100:5:15,7:20:1:1,9:50:4:12,10:50:4:12,11:50:3:9,12:50:3:9,13:20:10:30,14:20:1:3,15:10:50:100,16:10:50:100,17:60:1:3,18:60:1:3</v>
      </c>
      <c r="Q93" s="4">
        <v>61</v>
      </c>
      <c r="R93" s="4" t="s">
        <v>218</v>
      </c>
      <c r="S93" s="4" t="str">
        <f>IF(T93=1,"绿",VLOOKUP(T93,{1,"白";2,"绿";3,"蓝";4,"紫";5,"橙";6,"红"},2,0))</f>
        <v>绿</v>
      </c>
      <c r="T93" s="4">
        <v>1</v>
      </c>
      <c r="U93" s="35" t="str">
        <f t="shared" ref="U93:AD102" si="48">IFERROR(VLOOKUP($N93&amp;U$2,$A:$J,10,0),"")</f>
        <v>1:100:15:45,</v>
      </c>
      <c r="V93" s="35" t="str">
        <f t="shared" si="48"/>
        <v>2:100:5:10,</v>
      </c>
      <c r="W93" s="35" t="str">
        <f t="shared" si="48"/>
        <v>3:100:5:15,</v>
      </c>
      <c r="X93" s="35" t="str">
        <f t="shared" si="48"/>
        <v>4:100:5:15,</v>
      </c>
      <c r="Y93" s="35" t="str">
        <f t="shared" si="48"/>
        <v>5:100:5:15,</v>
      </c>
      <c r="Z93" s="35" t="str">
        <f t="shared" si="48"/>
        <v>6:100:5:15,</v>
      </c>
      <c r="AA93" s="35" t="str">
        <f t="shared" si="48"/>
        <v>7:20:1:1,</v>
      </c>
      <c r="AB93" s="35" t="str">
        <f t="shared" si="48"/>
        <v/>
      </c>
      <c r="AC93" s="35" t="str">
        <f t="shared" si="48"/>
        <v>9:50:4:12,</v>
      </c>
      <c r="AD93" s="35" t="str">
        <f t="shared" si="48"/>
        <v>10:50:4:12,</v>
      </c>
      <c r="AE93" s="35" t="str">
        <f t="shared" ref="AE93:AN102" si="49">IFERROR(VLOOKUP($N93&amp;AE$2,$A:$J,10,0),"")</f>
        <v>11:50:3:9,</v>
      </c>
      <c r="AF93" s="35" t="str">
        <f t="shared" si="49"/>
        <v>12:50:3:9,</v>
      </c>
      <c r="AG93" s="35" t="str">
        <f t="shared" si="49"/>
        <v>13:20:10:30,</v>
      </c>
      <c r="AH93" s="35" t="str">
        <f t="shared" si="49"/>
        <v>14:20:1:3,</v>
      </c>
      <c r="AI93" s="35" t="str">
        <f t="shared" si="49"/>
        <v>15:10:50:100,</v>
      </c>
      <c r="AJ93" s="35" t="str">
        <f t="shared" si="49"/>
        <v>16:10:50:100,</v>
      </c>
      <c r="AK93" s="35" t="str">
        <f t="shared" si="49"/>
        <v>17:60:1:3,</v>
      </c>
      <c r="AL93" s="35" t="str">
        <f t="shared" si="49"/>
        <v>18:60:1:3,</v>
      </c>
      <c r="AM93" s="35" t="str">
        <f t="shared" si="49"/>
        <v/>
      </c>
      <c r="AN93" s="35" t="str">
        <f t="shared" si="49"/>
        <v/>
      </c>
    </row>
    <row r="94" spans="1:40">
      <c r="A94" s="4" t="str">
        <f t="shared" si="33"/>
        <v>41级绿武器道术攻击</v>
      </c>
      <c r="B94" s="4" t="s">
        <v>198</v>
      </c>
      <c r="C94" s="4" t="s">
        <v>117</v>
      </c>
      <c r="D94" s="4">
        <v>41</v>
      </c>
      <c r="E94" s="4" t="s">
        <v>15</v>
      </c>
      <c r="F94" s="4">
        <f>VLOOKUP(E94,基础属性ID!A:B,2,0)</f>
        <v>5</v>
      </c>
      <c r="G94" s="4">
        <f>VLOOKUP(E94,基础属性ID!$A:$E,5,0)</f>
        <v>100</v>
      </c>
      <c r="H94" s="4">
        <v>3</v>
      </c>
      <c r="I94" s="4">
        <f t="shared" si="46"/>
        <v>9</v>
      </c>
      <c r="J94" s="4" t="str">
        <f t="shared" si="32"/>
        <v>5:100:3:9,</v>
      </c>
      <c r="M94" s="4" t="str">
        <f t="shared" si="34"/>
        <v>61级品质2手镯</v>
      </c>
      <c r="N94" s="4" t="str">
        <f t="shared" si="35"/>
        <v>61级绿手镯</v>
      </c>
      <c r="O94" s="33">
        <f t="shared" si="47"/>
        <v>43002</v>
      </c>
      <c r="P94" s="34" t="str">
        <f t="shared" si="36"/>
        <v>1:100:15:45,2:100:5:10,3:100:5:15,4:100:5:15,5:100:5:15,6:100:5:15,7:20:1:1,9:50:4:12,10:50:4:12,11:50:3:9,12:50:3:9,13:20:10:30,14:20:1:3,15:10:50:100,16:10:50:100,17:60:1:3,18:60:1:3</v>
      </c>
      <c r="Q94" s="4">
        <v>61</v>
      </c>
      <c r="R94" s="4" t="s">
        <v>218</v>
      </c>
      <c r="S94" s="4" t="str">
        <f>IF(T94=1,"绿",VLOOKUP(T94,{1,"白";2,"绿";3,"蓝";4,"紫";5,"橙";6,"红"},2,0))</f>
        <v>绿</v>
      </c>
      <c r="T94" s="4">
        <v>2</v>
      </c>
      <c r="U94" s="35" t="str">
        <f t="shared" si="48"/>
        <v>1:100:15:45,</v>
      </c>
      <c r="V94" s="35" t="str">
        <f t="shared" si="48"/>
        <v>2:100:5:10,</v>
      </c>
      <c r="W94" s="35" t="str">
        <f t="shared" si="48"/>
        <v>3:100:5:15,</v>
      </c>
      <c r="X94" s="35" t="str">
        <f t="shared" si="48"/>
        <v>4:100:5:15,</v>
      </c>
      <c r="Y94" s="35" t="str">
        <f t="shared" si="48"/>
        <v>5:100:5:15,</v>
      </c>
      <c r="Z94" s="35" t="str">
        <f t="shared" si="48"/>
        <v>6:100:5:15,</v>
      </c>
      <c r="AA94" s="35" t="str">
        <f t="shared" si="48"/>
        <v>7:20:1:1,</v>
      </c>
      <c r="AB94" s="35" t="str">
        <f t="shared" si="48"/>
        <v/>
      </c>
      <c r="AC94" s="35" t="str">
        <f t="shared" si="48"/>
        <v>9:50:4:12,</v>
      </c>
      <c r="AD94" s="35" t="str">
        <f t="shared" si="48"/>
        <v>10:50:4:12,</v>
      </c>
      <c r="AE94" s="35" t="str">
        <f t="shared" si="49"/>
        <v>11:50:3:9,</v>
      </c>
      <c r="AF94" s="35" t="str">
        <f t="shared" si="49"/>
        <v>12:50:3:9,</v>
      </c>
      <c r="AG94" s="35" t="str">
        <f t="shared" si="49"/>
        <v>13:20:10:30,</v>
      </c>
      <c r="AH94" s="35" t="str">
        <f t="shared" si="49"/>
        <v>14:20:1:3,</v>
      </c>
      <c r="AI94" s="35" t="str">
        <f t="shared" si="49"/>
        <v>15:10:50:100,</v>
      </c>
      <c r="AJ94" s="35" t="str">
        <f t="shared" si="49"/>
        <v>16:10:50:100,</v>
      </c>
      <c r="AK94" s="35" t="str">
        <f t="shared" si="49"/>
        <v>17:60:1:3,</v>
      </c>
      <c r="AL94" s="35" t="str">
        <f t="shared" si="49"/>
        <v>18:60:1:3,</v>
      </c>
      <c r="AM94" s="35" t="str">
        <f t="shared" si="49"/>
        <v/>
      </c>
      <c r="AN94" s="35" t="str">
        <f t="shared" si="49"/>
        <v/>
      </c>
    </row>
    <row r="95" spans="1:40">
      <c r="A95" s="4" t="str">
        <f t="shared" si="33"/>
        <v>41级绿武器防御</v>
      </c>
      <c r="B95" s="4" t="s">
        <v>198</v>
      </c>
      <c r="C95" s="4" t="s">
        <v>117</v>
      </c>
      <c r="D95" s="4">
        <v>41</v>
      </c>
      <c r="E95" s="4" t="s">
        <v>17</v>
      </c>
      <c r="F95" s="4">
        <f>VLOOKUP(E95,基础属性ID!A:B,2,0)</f>
        <v>6</v>
      </c>
      <c r="G95" s="4">
        <f>VLOOKUP(E95,基础属性ID!$A:$E,5,0)</f>
        <v>100</v>
      </c>
      <c r="H95" s="4">
        <v>3</v>
      </c>
      <c r="I95" s="4">
        <f t="shared" si="46"/>
        <v>9</v>
      </c>
      <c r="J95" s="4" t="str">
        <f t="shared" si="32"/>
        <v>6:100:3:9,</v>
      </c>
      <c r="M95" s="4" t="str">
        <f t="shared" si="34"/>
        <v>61级品质3手镯</v>
      </c>
      <c r="N95" s="4" t="str">
        <f t="shared" si="35"/>
        <v>61级蓝手镯</v>
      </c>
      <c r="O95" s="33">
        <f t="shared" si="47"/>
        <v>43003</v>
      </c>
      <c r="P95" s="34" t="str">
        <f t="shared" si="36"/>
        <v>1:100:20:60,2:100:4:10,3:100:6:18,4:100:6:18,5:100:6:18,6:100:6:18,7:20:1:1,9:50:5:15,10:50:5:15,11:50:4:12,12:50:4:12,13:20:20:50,14:20:2:5,15:10:80:150,16:10:80:150,17:60:2:6,18:60:2:6</v>
      </c>
      <c r="Q95" s="4">
        <v>61</v>
      </c>
      <c r="R95" s="4" t="s">
        <v>218</v>
      </c>
      <c r="S95" s="4" t="str">
        <f>IF(T95=1,"绿",VLOOKUP(T95,{1,"白";2,"绿";3,"蓝";4,"紫";5,"橙";6,"红"},2,0))</f>
        <v>蓝</v>
      </c>
      <c r="T95" s="4">
        <v>3</v>
      </c>
      <c r="U95" s="35" t="str">
        <f t="shared" si="48"/>
        <v>1:100:20:60,</v>
      </c>
      <c r="V95" s="35" t="str">
        <f t="shared" si="48"/>
        <v>2:100:4:10,</v>
      </c>
      <c r="W95" s="35" t="str">
        <f t="shared" si="48"/>
        <v>3:100:6:18,</v>
      </c>
      <c r="X95" s="35" t="str">
        <f t="shared" si="48"/>
        <v>4:100:6:18,</v>
      </c>
      <c r="Y95" s="35" t="str">
        <f t="shared" si="48"/>
        <v>5:100:6:18,</v>
      </c>
      <c r="Z95" s="35" t="str">
        <f t="shared" si="48"/>
        <v>6:100:6:18,</v>
      </c>
      <c r="AA95" s="35" t="str">
        <f t="shared" si="48"/>
        <v>7:20:1:1,</v>
      </c>
      <c r="AB95" s="35" t="str">
        <f t="shared" si="48"/>
        <v/>
      </c>
      <c r="AC95" s="35" t="str">
        <f t="shared" si="48"/>
        <v>9:50:5:15,</v>
      </c>
      <c r="AD95" s="35" t="str">
        <f t="shared" si="48"/>
        <v>10:50:5:15,</v>
      </c>
      <c r="AE95" s="35" t="str">
        <f t="shared" si="49"/>
        <v>11:50:4:12,</v>
      </c>
      <c r="AF95" s="35" t="str">
        <f t="shared" si="49"/>
        <v>12:50:4:12,</v>
      </c>
      <c r="AG95" s="35" t="str">
        <f t="shared" si="49"/>
        <v>13:20:20:50,</v>
      </c>
      <c r="AH95" s="35" t="str">
        <f t="shared" si="49"/>
        <v>14:20:2:5,</v>
      </c>
      <c r="AI95" s="35" t="str">
        <f t="shared" si="49"/>
        <v>15:10:80:150,</v>
      </c>
      <c r="AJ95" s="35" t="str">
        <f t="shared" si="49"/>
        <v>16:10:80:150,</v>
      </c>
      <c r="AK95" s="35" t="str">
        <f t="shared" si="49"/>
        <v>17:60:2:6,</v>
      </c>
      <c r="AL95" s="35" t="str">
        <f t="shared" si="49"/>
        <v>18:60:2:6,</v>
      </c>
      <c r="AM95" s="35" t="str">
        <f t="shared" si="49"/>
        <v/>
      </c>
      <c r="AN95" s="35" t="str">
        <f t="shared" si="49"/>
        <v/>
      </c>
    </row>
    <row r="96" spans="1:40">
      <c r="A96" s="4" t="str">
        <f t="shared" si="33"/>
        <v>41级绿武器攻速</v>
      </c>
      <c r="B96" s="4" t="s">
        <v>198</v>
      </c>
      <c r="C96" s="4" t="s">
        <v>117</v>
      </c>
      <c r="D96" s="4">
        <v>41</v>
      </c>
      <c r="E96" s="4" t="s">
        <v>18</v>
      </c>
      <c r="F96" s="4">
        <f>VLOOKUP(E96,基础属性ID!A:B,2,0)</f>
        <v>7</v>
      </c>
      <c r="G96" s="4">
        <f>VLOOKUP(E96,基础属性ID!$A:$E,5,0)</f>
        <v>20</v>
      </c>
      <c r="H96" s="4">
        <v>1</v>
      </c>
      <c r="I96" s="4">
        <v>1</v>
      </c>
      <c r="J96" s="4" t="str">
        <f t="shared" si="32"/>
        <v>7:20:1:1,</v>
      </c>
      <c r="M96" s="4" t="str">
        <f t="shared" si="34"/>
        <v>61级品质4手镯</v>
      </c>
      <c r="N96" s="4" t="str">
        <f t="shared" si="35"/>
        <v>61级紫手镯</v>
      </c>
      <c r="O96" s="33">
        <f t="shared" si="47"/>
        <v>43004</v>
      </c>
      <c r="P96" s="34" t="str">
        <f t="shared" si="36"/>
        <v>1:100:30:90,2:100:12:25,3:100:10:30,4:100:10:30,5:100:10:30,6:100:10:30,7:20:1:2,9:50:6:18,10:50:6:18,11:50:5:15,12:50:5:15,13:20:50:150,14:20:3:8,15:10:1:2,16:10:1:2,17:60:3:9,18:60:3:9</v>
      </c>
      <c r="Q96" s="4">
        <v>61</v>
      </c>
      <c r="R96" s="4" t="s">
        <v>218</v>
      </c>
      <c r="S96" s="4" t="str">
        <f>IF(T96=1,"绿",VLOOKUP(T96,{1,"白";2,"绿";3,"蓝";4,"紫";5,"橙";6,"红"},2,0))</f>
        <v>紫</v>
      </c>
      <c r="T96" s="4">
        <v>4</v>
      </c>
      <c r="U96" s="35" t="str">
        <f t="shared" si="48"/>
        <v>1:100:30:90,</v>
      </c>
      <c r="V96" s="35" t="str">
        <f t="shared" si="48"/>
        <v>2:100:12:25,</v>
      </c>
      <c r="W96" s="35" t="str">
        <f t="shared" si="48"/>
        <v>3:100:10:30,</v>
      </c>
      <c r="X96" s="35" t="str">
        <f t="shared" si="48"/>
        <v>4:100:10:30,</v>
      </c>
      <c r="Y96" s="35" t="str">
        <f t="shared" si="48"/>
        <v>5:100:10:30,</v>
      </c>
      <c r="Z96" s="35" t="str">
        <f t="shared" si="48"/>
        <v>6:100:10:30,</v>
      </c>
      <c r="AA96" s="35" t="str">
        <f t="shared" si="48"/>
        <v>7:20:1:2,</v>
      </c>
      <c r="AB96" s="35" t="str">
        <f t="shared" si="48"/>
        <v/>
      </c>
      <c r="AC96" s="35" t="str">
        <f t="shared" si="48"/>
        <v>9:50:6:18,</v>
      </c>
      <c r="AD96" s="35" t="str">
        <f t="shared" si="48"/>
        <v>10:50:6:18,</v>
      </c>
      <c r="AE96" s="35" t="str">
        <f t="shared" si="49"/>
        <v>11:50:5:15,</v>
      </c>
      <c r="AF96" s="35" t="str">
        <f t="shared" si="49"/>
        <v>12:50:5:15,</v>
      </c>
      <c r="AG96" s="35" t="str">
        <f t="shared" si="49"/>
        <v>13:20:50:150,</v>
      </c>
      <c r="AH96" s="35" t="str">
        <f t="shared" si="49"/>
        <v>14:20:3:8,</v>
      </c>
      <c r="AI96" s="35" t="str">
        <f t="shared" si="49"/>
        <v>15:10:1:2,</v>
      </c>
      <c r="AJ96" s="35" t="str">
        <f t="shared" si="49"/>
        <v>16:10:1:2,</v>
      </c>
      <c r="AK96" s="35" t="str">
        <f t="shared" si="49"/>
        <v>17:60:3:9,</v>
      </c>
      <c r="AL96" s="35" t="str">
        <f t="shared" si="49"/>
        <v>18:60:3:9,</v>
      </c>
      <c r="AM96" s="35" t="str">
        <f t="shared" si="49"/>
        <v/>
      </c>
      <c r="AN96" s="35" t="str">
        <f t="shared" si="49"/>
        <v/>
      </c>
    </row>
    <row r="97" spans="1:40">
      <c r="A97" s="4" t="str">
        <f t="shared" si="33"/>
        <v>41级绿武器幸运</v>
      </c>
      <c r="B97" s="4" t="s">
        <v>198</v>
      </c>
      <c r="C97" s="4" t="s">
        <v>117</v>
      </c>
      <c r="D97" s="4">
        <v>41</v>
      </c>
      <c r="E97" s="4" t="s">
        <v>19</v>
      </c>
      <c r="F97" s="4">
        <f>VLOOKUP(E97,基础属性ID!A:B,2,0)</f>
        <v>8</v>
      </c>
      <c r="G97" s="4">
        <f>VLOOKUP(E97,基础属性ID!$A:$E,5,0)</f>
        <v>20</v>
      </c>
      <c r="H97" s="4">
        <v>1</v>
      </c>
      <c r="I97" s="4">
        <v>1</v>
      </c>
      <c r="J97" s="4" t="str">
        <f t="shared" si="32"/>
        <v>8:20:1:1,</v>
      </c>
      <c r="M97" s="4" t="str">
        <f t="shared" si="34"/>
        <v>61级品质5手镯</v>
      </c>
      <c r="N97" s="4" t="str">
        <f t="shared" si="35"/>
        <v>61级橙手镯</v>
      </c>
      <c r="O97" s="33">
        <f t="shared" si="47"/>
        <v>43005</v>
      </c>
      <c r="P97" s="34" t="str">
        <f t="shared" si="36"/>
        <v>1:100:40:120,2:100:16:32,3:100:12:36,4:100:12:36,5:100:12:36,6:100:12:36,7:20:1:3,9:50:7:21,10:50:7:21,11:50:8:24,12:50:8:24,13:20:150:300,14:20:5:10,15:10:150:300,16:10:150:300,17:60:4:12,18:60:4:12</v>
      </c>
      <c r="Q97" s="4">
        <v>61</v>
      </c>
      <c r="R97" s="4" t="s">
        <v>218</v>
      </c>
      <c r="S97" s="4" t="str">
        <f>IF(T97=1,"绿",VLOOKUP(T97,{1,"白";2,"绿";3,"蓝";4,"紫";5,"橙";6,"红"},2,0))</f>
        <v>橙</v>
      </c>
      <c r="T97" s="4">
        <v>5</v>
      </c>
      <c r="U97" s="35" t="str">
        <f t="shared" si="48"/>
        <v>1:100:40:120,</v>
      </c>
      <c r="V97" s="35" t="str">
        <f t="shared" si="48"/>
        <v>2:100:16:32,</v>
      </c>
      <c r="W97" s="35" t="str">
        <f t="shared" si="48"/>
        <v>3:100:12:36,</v>
      </c>
      <c r="X97" s="35" t="str">
        <f t="shared" si="48"/>
        <v>4:100:12:36,</v>
      </c>
      <c r="Y97" s="35" t="str">
        <f t="shared" si="48"/>
        <v>5:100:12:36,</v>
      </c>
      <c r="Z97" s="35" t="str">
        <f t="shared" si="48"/>
        <v>6:100:12:36,</v>
      </c>
      <c r="AA97" s="35" t="str">
        <f t="shared" si="48"/>
        <v>7:20:1:3,</v>
      </c>
      <c r="AB97" s="35" t="str">
        <f t="shared" si="48"/>
        <v/>
      </c>
      <c r="AC97" s="35" t="str">
        <f t="shared" si="48"/>
        <v>9:50:7:21,</v>
      </c>
      <c r="AD97" s="35" t="str">
        <f t="shared" si="48"/>
        <v>10:50:7:21,</v>
      </c>
      <c r="AE97" s="35" t="str">
        <f t="shared" si="49"/>
        <v>11:50:8:24,</v>
      </c>
      <c r="AF97" s="35" t="str">
        <f t="shared" si="49"/>
        <v>12:50:8:24,</v>
      </c>
      <c r="AG97" s="35" t="str">
        <f t="shared" si="49"/>
        <v>13:20:150:300,</v>
      </c>
      <c r="AH97" s="35" t="str">
        <f t="shared" si="49"/>
        <v>14:20:5:10,</v>
      </c>
      <c r="AI97" s="35" t="str">
        <f t="shared" si="49"/>
        <v>15:10:150:300,</v>
      </c>
      <c r="AJ97" s="35" t="str">
        <f t="shared" si="49"/>
        <v>16:10:150:300,</v>
      </c>
      <c r="AK97" s="35" t="str">
        <f t="shared" si="49"/>
        <v>17:60:4:12,</v>
      </c>
      <c r="AL97" s="35" t="str">
        <f t="shared" si="49"/>
        <v>18:60:4:12,</v>
      </c>
      <c r="AM97" s="35" t="str">
        <f t="shared" si="49"/>
        <v/>
      </c>
      <c r="AN97" s="35" t="str">
        <f t="shared" si="49"/>
        <v/>
      </c>
    </row>
    <row r="98" spans="1:40">
      <c r="A98" s="4" t="str">
        <f t="shared" si="33"/>
        <v>41级绿武器固定伤害</v>
      </c>
      <c r="B98" s="4" t="s">
        <v>198</v>
      </c>
      <c r="C98" s="4" t="s">
        <v>117</v>
      </c>
      <c r="D98" s="4">
        <v>41</v>
      </c>
      <c r="E98" s="4" t="s">
        <v>24</v>
      </c>
      <c r="F98" s="4">
        <f>VLOOKUP(E98,基础属性ID!A:B,2,0)</f>
        <v>9</v>
      </c>
      <c r="G98" s="4">
        <f>VLOOKUP(E98,基础属性ID!$A:$E,5,0)</f>
        <v>50</v>
      </c>
      <c r="H98" s="4">
        <v>3</v>
      </c>
      <c r="I98" s="4">
        <f t="shared" ref="I98:I99" si="50">H98*3</f>
        <v>9</v>
      </c>
      <c r="J98" s="4" t="str">
        <f t="shared" si="32"/>
        <v>9:50:3:9,</v>
      </c>
      <c r="M98" s="4" t="str">
        <f t="shared" si="34"/>
        <v>61级品质6手镯</v>
      </c>
      <c r="N98" s="4" t="str">
        <f t="shared" si="35"/>
        <v>61级红手镯</v>
      </c>
      <c r="O98" s="33">
        <f t="shared" si="47"/>
        <v>43006</v>
      </c>
      <c r="P98" s="34" t="str">
        <f t="shared" si="36"/>
        <v>1:100:60:180,2:100:24:48,3:100:15:45,4:100:15:45,5:100:15:45,6:100:15:45,7:20:1:5,9:50:10:30,10:50:10:30,11:50:10:30,12:50:10:30,13:20:300:500,14:20:10:20,15:10:2:5,16:10:2:5,17:60:5:15,18:60:5:15</v>
      </c>
      <c r="Q98" s="4">
        <v>61</v>
      </c>
      <c r="R98" s="4" t="s">
        <v>218</v>
      </c>
      <c r="S98" s="4" t="str">
        <f>IF(T98=1,"绿",VLOOKUP(T98,{1,"白";2,"绿";3,"蓝";4,"紫";5,"橙";6,"红"},2,0))</f>
        <v>红</v>
      </c>
      <c r="T98" s="4">
        <v>6</v>
      </c>
      <c r="U98" s="35" t="str">
        <f t="shared" si="48"/>
        <v>1:100:60:180,</v>
      </c>
      <c r="V98" s="35" t="str">
        <f t="shared" si="48"/>
        <v>2:100:24:48,</v>
      </c>
      <c r="W98" s="35" t="str">
        <f t="shared" si="48"/>
        <v>3:100:15:45,</v>
      </c>
      <c r="X98" s="35" t="str">
        <f t="shared" si="48"/>
        <v>4:100:15:45,</v>
      </c>
      <c r="Y98" s="35" t="str">
        <f t="shared" si="48"/>
        <v>5:100:15:45,</v>
      </c>
      <c r="Z98" s="35" t="str">
        <f t="shared" si="48"/>
        <v>6:100:15:45,</v>
      </c>
      <c r="AA98" s="35" t="str">
        <f t="shared" si="48"/>
        <v>7:20:1:5,</v>
      </c>
      <c r="AB98" s="35" t="str">
        <f t="shared" si="48"/>
        <v/>
      </c>
      <c r="AC98" s="35" t="str">
        <f t="shared" si="48"/>
        <v>9:50:10:30,</v>
      </c>
      <c r="AD98" s="35" t="str">
        <f t="shared" si="48"/>
        <v>10:50:10:30,</v>
      </c>
      <c r="AE98" s="35" t="str">
        <f t="shared" si="49"/>
        <v>11:50:10:30,</v>
      </c>
      <c r="AF98" s="35" t="str">
        <f t="shared" si="49"/>
        <v>12:50:10:30,</v>
      </c>
      <c r="AG98" s="35" t="str">
        <f t="shared" si="49"/>
        <v>13:20:300:500,</v>
      </c>
      <c r="AH98" s="35" t="str">
        <f t="shared" si="49"/>
        <v>14:20:10:20,</v>
      </c>
      <c r="AI98" s="35" t="str">
        <f t="shared" si="49"/>
        <v>15:10:2:5,</v>
      </c>
      <c r="AJ98" s="35" t="str">
        <f t="shared" si="49"/>
        <v>16:10:2:5,</v>
      </c>
      <c r="AK98" s="35" t="str">
        <f t="shared" si="49"/>
        <v>17:60:5:15,</v>
      </c>
      <c r="AL98" s="35" t="str">
        <f t="shared" si="49"/>
        <v>18:60:5:15,</v>
      </c>
      <c r="AM98" s="35" t="str">
        <f t="shared" si="49"/>
        <v/>
      </c>
      <c r="AN98" s="35" t="str">
        <f t="shared" si="49"/>
        <v/>
      </c>
    </row>
    <row r="99" spans="1:40">
      <c r="A99" s="4" t="str">
        <f t="shared" si="33"/>
        <v>41级绿武器固定减伤</v>
      </c>
      <c r="B99" s="4" t="s">
        <v>198</v>
      </c>
      <c r="C99" s="4" t="s">
        <v>117</v>
      </c>
      <c r="D99" s="4">
        <v>41</v>
      </c>
      <c r="E99" s="4" t="s">
        <v>25</v>
      </c>
      <c r="F99" s="4">
        <f>VLOOKUP(E99,基础属性ID!A:B,2,0)</f>
        <v>10</v>
      </c>
      <c r="G99" s="4">
        <f>VLOOKUP(E99,基础属性ID!$A:$E,5,0)</f>
        <v>50</v>
      </c>
      <c r="H99" s="4">
        <v>3</v>
      </c>
      <c r="I99" s="4">
        <f t="shared" si="50"/>
        <v>9</v>
      </c>
      <c r="J99" s="4" t="str">
        <f t="shared" si="32"/>
        <v>10:50:3:9,</v>
      </c>
      <c r="M99" s="4" t="str">
        <f t="shared" si="34"/>
        <v>1级品质1项链</v>
      </c>
      <c r="N99" s="4" t="str">
        <f t="shared" si="35"/>
        <v>1级绿项链</v>
      </c>
      <c r="O99" s="33">
        <f t="shared" si="47"/>
        <v>50001</v>
      </c>
      <c r="P99" s="34" t="str">
        <f t="shared" si="36"/>
        <v>1:100:1:5,2:100:2:5,3:100:1:3,4:100:1:3,5:100:1:3,6:100:1:3,9:50:1:3,10:50:1:3,11:50:1:3,12:50:1:3,13:20:10:30,14:20:1:3,17:60:1:3,18:60:1:3</v>
      </c>
      <c r="Q99" s="4">
        <v>1</v>
      </c>
      <c r="R99" s="4" t="s">
        <v>215</v>
      </c>
      <c r="S99" s="4" t="str">
        <f>IF(T99=1,"绿",VLOOKUP(T99,{1,"白";2,"绿";3,"蓝";4,"紫";5,"橙";6,"红"},2,0))</f>
        <v>绿</v>
      </c>
      <c r="T99" s="4">
        <v>1</v>
      </c>
      <c r="U99" s="35" t="str">
        <f t="shared" si="48"/>
        <v>1:100:1:5,</v>
      </c>
      <c r="V99" s="35" t="str">
        <f t="shared" si="48"/>
        <v>2:100:2:5,</v>
      </c>
      <c r="W99" s="35" t="str">
        <f t="shared" si="48"/>
        <v>3:100:1:3,</v>
      </c>
      <c r="X99" s="35" t="str">
        <f t="shared" si="48"/>
        <v>4:100:1:3,</v>
      </c>
      <c r="Y99" s="35" t="str">
        <f t="shared" si="48"/>
        <v>5:100:1:3,</v>
      </c>
      <c r="Z99" s="35" t="str">
        <f t="shared" si="48"/>
        <v>6:100:1:3,</v>
      </c>
      <c r="AA99" s="35" t="str">
        <f t="shared" si="48"/>
        <v/>
      </c>
      <c r="AB99" s="35" t="str">
        <f t="shared" si="48"/>
        <v/>
      </c>
      <c r="AC99" s="35" t="str">
        <f t="shared" si="48"/>
        <v>9:50:1:3,</v>
      </c>
      <c r="AD99" s="35" t="str">
        <f t="shared" si="48"/>
        <v>10:50:1:3,</v>
      </c>
      <c r="AE99" s="35" t="str">
        <f t="shared" si="49"/>
        <v>11:50:1:3,</v>
      </c>
      <c r="AF99" s="35" t="str">
        <f t="shared" si="49"/>
        <v>12:50:1:3,</v>
      </c>
      <c r="AG99" s="35" t="str">
        <f t="shared" si="49"/>
        <v>13:20:10:30,</v>
      </c>
      <c r="AH99" s="35" t="str">
        <f t="shared" si="49"/>
        <v>14:20:1:3,</v>
      </c>
      <c r="AI99" s="35" t="str">
        <f t="shared" si="49"/>
        <v/>
      </c>
      <c r="AJ99" s="35" t="str">
        <f t="shared" si="49"/>
        <v/>
      </c>
      <c r="AK99" s="35" t="str">
        <f t="shared" si="49"/>
        <v>17:60:1:3,</v>
      </c>
      <c r="AL99" s="35" t="str">
        <f t="shared" si="49"/>
        <v>18:60:1:3,</v>
      </c>
      <c r="AM99" s="35" t="str">
        <f t="shared" si="49"/>
        <v/>
      </c>
      <c r="AN99" s="35" t="str">
        <f t="shared" si="49"/>
        <v/>
      </c>
    </row>
    <row r="100" spans="1:40">
      <c r="A100" s="4" t="str">
        <f t="shared" si="33"/>
        <v>41级绿武器生命吸取</v>
      </c>
      <c r="B100" s="4" t="s">
        <v>198</v>
      </c>
      <c r="C100" s="4" t="s">
        <v>117</v>
      </c>
      <c r="D100" s="4">
        <v>41</v>
      </c>
      <c r="E100" s="4" t="s">
        <v>28</v>
      </c>
      <c r="F100" s="4">
        <f>VLOOKUP(E100,基础属性ID!A:B,2,0)</f>
        <v>11</v>
      </c>
      <c r="G100" s="4">
        <f>VLOOKUP(E100,基础属性ID!$A:$E,5,0)</f>
        <v>50</v>
      </c>
      <c r="H100" s="4">
        <v>2</v>
      </c>
      <c r="I100" s="4">
        <f t="shared" ref="I100:I101" si="51">H100*3</f>
        <v>6</v>
      </c>
      <c r="J100" s="4" t="str">
        <f t="shared" si="32"/>
        <v>11:50:2:6,</v>
      </c>
      <c r="M100" s="4" t="str">
        <f t="shared" si="34"/>
        <v>1级品质2项链</v>
      </c>
      <c r="N100" s="4" t="str">
        <f t="shared" si="35"/>
        <v>1级绿项链</v>
      </c>
      <c r="O100" s="33">
        <f t="shared" si="47"/>
        <v>50002</v>
      </c>
      <c r="P100" s="34" t="str">
        <f t="shared" si="36"/>
        <v>1:100:1:5,2:100:2:5,3:100:1:3,4:100:1:3,5:100:1:3,6:100:1:3,9:50:1:3,10:50:1:3,11:50:1:3,12:50:1:3,13:20:10:30,14:20:1:3,17:60:1:3,18:60:1:3</v>
      </c>
      <c r="Q100" s="4">
        <v>1</v>
      </c>
      <c r="R100" s="4" t="s">
        <v>215</v>
      </c>
      <c r="S100" s="4" t="str">
        <f>IF(T100=1,"绿",VLOOKUP(T100,{1,"白";2,"绿";3,"蓝";4,"紫";5,"橙";6,"红"},2,0))</f>
        <v>绿</v>
      </c>
      <c r="T100" s="4">
        <v>2</v>
      </c>
      <c r="U100" s="35" t="str">
        <f t="shared" si="48"/>
        <v>1:100:1:5,</v>
      </c>
      <c r="V100" s="35" t="str">
        <f t="shared" si="48"/>
        <v>2:100:2:5,</v>
      </c>
      <c r="W100" s="35" t="str">
        <f t="shared" si="48"/>
        <v>3:100:1:3,</v>
      </c>
      <c r="X100" s="35" t="str">
        <f t="shared" si="48"/>
        <v>4:100:1:3,</v>
      </c>
      <c r="Y100" s="35" t="str">
        <f t="shared" si="48"/>
        <v>5:100:1:3,</v>
      </c>
      <c r="Z100" s="35" t="str">
        <f t="shared" si="48"/>
        <v>6:100:1:3,</v>
      </c>
      <c r="AA100" s="35" t="str">
        <f t="shared" si="48"/>
        <v/>
      </c>
      <c r="AB100" s="35" t="str">
        <f t="shared" si="48"/>
        <v/>
      </c>
      <c r="AC100" s="35" t="str">
        <f t="shared" si="48"/>
        <v>9:50:1:3,</v>
      </c>
      <c r="AD100" s="35" t="str">
        <f t="shared" si="48"/>
        <v>10:50:1:3,</v>
      </c>
      <c r="AE100" s="35" t="str">
        <f t="shared" si="49"/>
        <v>11:50:1:3,</v>
      </c>
      <c r="AF100" s="35" t="str">
        <f t="shared" si="49"/>
        <v>12:50:1:3,</v>
      </c>
      <c r="AG100" s="35" t="str">
        <f t="shared" si="49"/>
        <v>13:20:10:30,</v>
      </c>
      <c r="AH100" s="35" t="str">
        <f t="shared" si="49"/>
        <v>14:20:1:3,</v>
      </c>
      <c r="AI100" s="35" t="str">
        <f t="shared" si="49"/>
        <v/>
      </c>
      <c r="AJ100" s="35" t="str">
        <f t="shared" si="49"/>
        <v/>
      </c>
      <c r="AK100" s="35" t="str">
        <f t="shared" si="49"/>
        <v>17:60:1:3,</v>
      </c>
      <c r="AL100" s="35" t="str">
        <f t="shared" si="49"/>
        <v>18:60:1:3,</v>
      </c>
      <c r="AM100" s="35" t="str">
        <f t="shared" si="49"/>
        <v/>
      </c>
      <c r="AN100" s="35" t="str">
        <f t="shared" si="49"/>
        <v/>
      </c>
    </row>
    <row r="101" spans="1:40">
      <c r="A101" s="4" t="str">
        <f t="shared" si="33"/>
        <v>41级绿武器法力吸取</v>
      </c>
      <c r="B101" s="4" t="s">
        <v>198</v>
      </c>
      <c r="C101" s="4" t="s">
        <v>117</v>
      </c>
      <c r="D101" s="4">
        <v>41</v>
      </c>
      <c r="E101" s="4" t="s">
        <v>29</v>
      </c>
      <c r="F101" s="4">
        <f>VLOOKUP(E101,基础属性ID!A:B,2,0)</f>
        <v>12</v>
      </c>
      <c r="G101" s="4">
        <f>VLOOKUP(E101,基础属性ID!$A:$E,5,0)</f>
        <v>50</v>
      </c>
      <c r="H101" s="4">
        <v>2</v>
      </c>
      <c r="I101" s="4">
        <f t="shared" si="51"/>
        <v>6</v>
      </c>
      <c r="J101" s="4" t="str">
        <f t="shared" si="32"/>
        <v>12:50:2:6,</v>
      </c>
      <c r="M101" s="4" t="str">
        <f t="shared" si="34"/>
        <v>1级品质3项链</v>
      </c>
      <c r="N101" s="4" t="str">
        <f t="shared" si="35"/>
        <v>1级蓝项链</v>
      </c>
      <c r="O101" s="33">
        <f t="shared" si="47"/>
        <v>50003</v>
      </c>
      <c r="P101" s="34" t="str">
        <f t="shared" si="36"/>
        <v>1:100:4:12,2:100:4:10,3:100:2:6,4:100:2:6,5:100:2:6,6:100:2:6,9:50:2:6,10:50:2:6,11:50:1:3,12:50:1:3,13:20:20:50,14:20:2:5,17:60:2:6,18:60:2:6</v>
      </c>
      <c r="Q101" s="4">
        <v>1</v>
      </c>
      <c r="R101" s="4" t="s">
        <v>215</v>
      </c>
      <c r="S101" s="4" t="str">
        <f>IF(T101=1,"绿",VLOOKUP(T101,{1,"白";2,"绿";3,"蓝";4,"紫";5,"橙";6,"红"},2,0))</f>
        <v>蓝</v>
      </c>
      <c r="T101" s="4">
        <v>3</v>
      </c>
      <c r="U101" s="35" t="str">
        <f t="shared" si="48"/>
        <v>1:100:4:12,</v>
      </c>
      <c r="V101" s="35" t="str">
        <f t="shared" si="48"/>
        <v>2:100:4:10,</v>
      </c>
      <c r="W101" s="35" t="str">
        <f t="shared" si="48"/>
        <v>3:100:2:6,</v>
      </c>
      <c r="X101" s="35" t="str">
        <f t="shared" si="48"/>
        <v>4:100:2:6,</v>
      </c>
      <c r="Y101" s="35" t="str">
        <f t="shared" si="48"/>
        <v>5:100:2:6,</v>
      </c>
      <c r="Z101" s="35" t="str">
        <f t="shared" si="48"/>
        <v>6:100:2:6,</v>
      </c>
      <c r="AA101" s="35" t="str">
        <f t="shared" si="48"/>
        <v/>
      </c>
      <c r="AB101" s="35" t="str">
        <f t="shared" si="48"/>
        <v/>
      </c>
      <c r="AC101" s="35" t="str">
        <f t="shared" si="48"/>
        <v>9:50:2:6,</v>
      </c>
      <c r="AD101" s="35" t="str">
        <f t="shared" si="48"/>
        <v>10:50:2:6,</v>
      </c>
      <c r="AE101" s="35" t="str">
        <f t="shared" si="49"/>
        <v>11:50:1:3,</v>
      </c>
      <c r="AF101" s="35" t="str">
        <f t="shared" si="49"/>
        <v>12:50:1:3,</v>
      </c>
      <c r="AG101" s="35" t="str">
        <f t="shared" si="49"/>
        <v>13:20:20:50,</v>
      </c>
      <c r="AH101" s="35" t="str">
        <f t="shared" si="49"/>
        <v>14:20:2:5,</v>
      </c>
      <c r="AI101" s="35" t="str">
        <f t="shared" si="49"/>
        <v/>
      </c>
      <c r="AJ101" s="35" t="str">
        <f t="shared" si="49"/>
        <v/>
      </c>
      <c r="AK101" s="35" t="str">
        <f t="shared" si="49"/>
        <v>17:60:2:6,</v>
      </c>
      <c r="AL101" s="35" t="str">
        <f t="shared" si="49"/>
        <v>18:60:2:6,</v>
      </c>
      <c r="AM101" s="35" t="str">
        <f t="shared" si="49"/>
        <v/>
      </c>
      <c r="AN101" s="35" t="str">
        <f t="shared" si="49"/>
        <v/>
      </c>
    </row>
    <row r="102" spans="1:40">
      <c r="A102" s="4" t="str">
        <f t="shared" si="33"/>
        <v>41级绿武器暴击几率</v>
      </c>
      <c r="B102" s="4" t="s">
        <v>198</v>
      </c>
      <c r="C102" s="4" t="s">
        <v>117</v>
      </c>
      <c r="D102" s="4">
        <v>41</v>
      </c>
      <c r="E102" s="4" t="s">
        <v>21</v>
      </c>
      <c r="F102" s="4">
        <f>VLOOKUP(E102,基础属性ID!A:B,2,0)</f>
        <v>13</v>
      </c>
      <c r="G102" s="4">
        <f>VLOOKUP(E102,基础属性ID!$A:$E,5,0)</f>
        <v>20</v>
      </c>
      <c r="H102" s="4">
        <v>10</v>
      </c>
      <c r="I102" s="4">
        <v>30</v>
      </c>
      <c r="J102" s="4" t="str">
        <f t="shared" si="32"/>
        <v>13:20:10:30,</v>
      </c>
      <c r="M102" s="4" t="str">
        <f t="shared" si="34"/>
        <v>1级品质4项链</v>
      </c>
      <c r="N102" s="4" t="str">
        <f t="shared" si="35"/>
        <v>1级紫项链</v>
      </c>
      <c r="O102" s="33">
        <f t="shared" si="47"/>
        <v>50004</v>
      </c>
      <c r="P102" s="34" t="str">
        <f t="shared" si="36"/>
        <v>1:100:6:18,2:100:6:15,3:100:3:9,4:100:3:9,5:100:3:9,6:100:3:9,9:50:3:9,10:50:3:9,11:50:2:6,12:50:2:6,13:20:50:150,14:20:3:8,17:60:3:9,18:60:3:9</v>
      </c>
      <c r="Q102" s="4">
        <v>1</v>
      </c>
      <c r="R102" s="4" t="s">
        <v>215</v>
      </c>
      <c r="S102" s="4" t="str">
        <f>IF(T102=1,"绿",VLOOKUP(T102,{1,"白";2,"绿";3,"蓝";4,"紫";5,"橙";6,"红"},2,0))</f>
        <v>紫</v>
      </c>
      <c r="T102" s="4">
        <v>4</v>
      </c>
      <c r="U102" s="35" t="str">
        <f t="shared" si="48"/>
        <v>1:100:6:18,</v>
      </c>
      <c r="V102" s="35" t="str">
        <f t="shared" si="48"/>
        <v>2:100:6:15,</v>
      </c>
      <c r="W102" s="35" t="str">
        <f t="shared" si="48"/>
        <v>3:100:3:9,</v>
      </c>
      <c r="X102" s="35" t="str">
        <f t="shared" si="48"/>
        <v>4:100:3:9,</v>
      </c>
      <c r="Y102" s="35" t="str">
        <f t="shared" si="48"/>
        <v>5:100:3:9,</v>
      </c>
      <c r="Z102" s="35" t="str">
        <f t="shared" si="48"/>
        <v>6:100:3:9,</v>
      </c>
      <c r="AA102" s="35" t="str">
        <f t="shared" si="48"/>
        <v/>
      </c>
      <c r="AB102" s="35" t="str">
        <f t="shared" si="48"/>
        <v/>
      </c>
      <c r="AC102" s="35" t="str">
        <f t="shared" si="48"/>
        <v>9:50:3:9,</v>
      </c>
      <c r="AD102" s="35" t="str">
        <f t="shared" si="48"/>
        <v>10:50:3:9,</v>
      </c>
      <c r="AE102" s="35" t="str">
        <f t="shared" si="49"/>
        <v>11:50:2:6,</v>
      </c>
      <c r="AF102" s="35" t="str">
        <f t="shared" si="49"/>
        <v>12:50:2:6,</v>
      </c>
      <c r="AG102" s="35" t="str">
        <f t="shared" si="49"/>
        <v>13:20:50:150,</v>
      </c>
      <c r="AH102" s="35" t="str">
        <f t="shared" si="49"/>
        <v>14:20:3:8,</v>
      </c>
      <c r="AI102" s="35" t="str">
        <f t="shared" si="49"/>
        <v/>
      </c>
      <c r="AJ102" s="35" t="str">
        <f t="shared" si="49"/>
        <v/>
      </c>
      <c r="AK102" s="35" t="str">
        <f t="shared" si="49"/>
        <v>17:60:3:9,</v>
      </c>
      <c r="AL102" s="35" t="str">
        <f t="shared" si="49"/>
        <v>18:60:3:9,</v>
      </c>
      <c r="AM102" s="35" t="str">
        <f t="shared" si="49"/>
        <v/>
      </c>
      <c r="AN102" s="35" t="str">
        <f t="shared" si="49"/>
        <v/>
      </c>
    </row>
    <row r="103" spans="1:40">
      <c r="A103" s="4" t="str">
        <f t="shared" si="33"/>
        <v>41级绿武器爆击伤害</v>
      </c>
      <c r="B103" s="4" t="s">
        <v>198</v>
      </c>
      <c r="C103" s="4" t="s">
        <v>117</v>
      </c>
      <c r="D103" s="4">
        <v>41</v>
      </c>
      <c r="E103" s="4" t="s">
        <v>76</v>
      </c>
      <c r="F103" s="4">
        <f>VLOOKUP(E103,基础属性ID!A:B,2,0)</f>
        <v>14</v>
      </c>
      <c r="G103" s="4">
        <f>VLOOKUP(E103,基础属性ID!$A:$E,5,0)</f>
        <v>20</v>
      </c>
      <c r="H103" s="4">
        <v>1</v>
      </c>
      <c r="I103" s="4">
        <v>3</v>
      </c>
      <c r="J103" s="4" t="str">
        <f t="shared" si="32"/>
        <v>14:20:1:3,</v>
      </c>
      <c r="M103" s="4" t="str">
        <f t="shared" si="34"/>
        <v>1级品质5项链</v>
      </c>
      <c r="N103" s="4" t="str">
        <f t="shared" si="35"/>
        <v>1级橙项链</v>
      </c>
      <c r="O103" s="33">
        <f t="shared" si="47"/>
        <v>50005</v>
      </c>
      <c r="P103" s="34" t="str">
        <f t="shared" si="36"/>
        <v>1:100:10:30,2:100:10:20,3:100:4:12,4:100:4:12,5:100:4:12,6:100:4:12,9:50:4:12,10:50:4:12,11:50:3:9,12:50:3:9,13:20:150:300,14:20:5:10,17:60:4:12,18:60:4:12</v>
      </c>
      <c r="Q103" s="4">
        <v>1</v>
      </c>
      <c r="R103" s="4" t="s">
        <v>215</v>
      </c>
      <c r="S103" s="4" t="str">
        <f>IF(T103=1,"绿",VLOOKUP(T103,{1,"白";2,"绿";3,"蓝";4,"紫";5,"橙";6,"红"},2,0))</f>
        <v>橙</v>
      </c>
      <c r="T103" s="4">
        <v>5</v>
      </c>
      <c r="U103" s="35" t="str">
        <f t="shared" ref="U103:AD112" si="52">IFERROR(VLOOKUP($N103&amp;U$2,$A:$J,10,0),"")</f>
        <v>1:100:10:30,</v>
      </c>
      <c r="V103" s="35" t="str">
        <f t="shared" si="52"/>
        <v>2:100:10:20,</v>
      </c>
      <c r="W103" s="35" t="str">
        <f t="shared" si="52"/>
        <v>3:100:4:12,</v>
      </c>
      <c r="X103" s="35" t="str">
        <f t="shared" si="52"/>
        <v>4:100:4:12,</v>
      </c>
      <c r="Y103" s="35" t="str">
        <f t="shared" si="52"/>
        <v>5:100:4:12,</v>
      </c>
      <c r="Z103" s="35" t="str">
        <f t="shared" si="52"/>
        <v>6:100:4:12,</v>
      </c>
      <c r="AA103" s="35" t="str">
        <f t="shared" si="52"/>
        <v/>
      </c>
      <c r="AB103" s="35" t="str">
        <f t="shared" si="52"/>
        <v/>
      </c>
      <c r="AC103" s="35" t="str">
        <f t="shared" si="52"/>
        <v>9:50:4:12,</v>
      </c>
      <c r="AD103" s="35" t="str">
        <f t="shared" si="52"/>
        <v>10:50:4:12,</v>
      </c>
      <c r="AE103" s="35" t="str">
        <f t="shared" ref="AE103:AN112" si="53">IFERROR(VLOOKUP($N103&amp;AE$2,$A:$J,10,0),"")</f>
        <v>11:50:3:9,</v>
      </c>
      <c r="AF103" s="35" t="str">
        <f t="shared" si="53"/>
        <v>12:50:3:9,</v>
      </c>
      <c r="AG103" s="35" t="str">
        <f t="shared" si="53"/>
        <v>13:20:150:300,</v>
      </c>
      <c r="AH103" s="35" t="str">
        <f t="shared" si="53"/>
        <v>14:20:5:10,</v>
      </c>
      <c r="AI103" s="35" t="str">
        <f t="shared" si="53"/>
        <v/>
      </c>
      <c r="AJ103" s="35" t="str">
        <f t="shared" si="53"/>
        <v/>
      </c>
      <c r="AK103" s="35" t="str">
        <f t="shared" si="53"/>
        <v>17:60:4:12,</v>
      </c>
      <c r="AL103" s="35" t="str">
        <f t="shared" si="53"/>
        <v>18:60:4:12,</v>
      </c>
      <c r="AM103" s="35" t="str">
        <f t="shared" si="53"/>
        <v/>
      </c>
      <c r="AN103" s="35" t="str">
        <f t="shared" si="53"/>
        <v/>
      </c>
    </row>
    <row r="104" spans="1:40">
      <c r="A104" s="4" t="str">
        <f t="shared" si="33"/>
        <v>41级绿武器伤害增加</v>
      </c>
      <c r="B104" s="4" t="s">
        <v>198</v>
      </c>
      <c r="C104" s="4" t="s">
        <v>117</v>
      </c>
      <c r="D104" s="4">
        <v>41</v>
      </c>
      <c r="E104" s="4" t="s">
        <v>26</v>
      </c>
      <c r="F104" s="4">
        <f>VLOOKUP(E104,基础属性ID!A:B,2,0)</f>
        <v>15</v>
      </c>
      <c r="G104" s="4">
        <f>VLOOKUP(E104,基础属性ID!$A:$E,5,0)</f>
        <v>10</v>
      </c>
      <c r="H104" s="4">
        <v>50</v>
      </c>
      <c r="I104" s="4">
        <v>100</v>
      </c>
      <c r="J104" s="4" t="str">
        <f t="shared" si="32"/>
        <v>15:10:50:100,</v>
      </c>
      <c r="M104" s="4" t="str">
        <f t="shared" si="34"/>
        <v>1级品质6项链</v>
      </c>
      <c r="N104" s="4" t="str">
        <f t="shared" si="35"/>
        <v>1级红项链</v>
      </c>
      <c r="O104" s="33">
        <f t="shared" si="47"/>
        <v>50006</v>
      </c>
      <c r="P104" s="34" t="str">
        <f t="shared" si="36"/>
        <v>1:100:15:45,2:100:15:30,3:100:5:15,4:100:5:15,5:100:5:15,6:100:5:15,9:50:5:15,10:50:5:15,11:50:4:12,12:50:4:12,13:20:300:500,14:20:10:20,17:60:5:15,18:60:5:15</v>
      </c>
      <c r="Q104" s="4">
        <v>1</v>
      </c>
      <c r="R104" s="4" t="s">
        <v>215</v>
      </c>
      <c r="S104" s="4" t="str">
        <f>IF(T104=1,"绿",VLOOKUP(T104,{1,"白";2,"绿";3,"蓝";4,"紫";5,"橙";6,"红"},2,0))</f>
        <v>红</v>
      </c>
      <c r="T104" s="4">
        <v>6</v>
      </c>
      <c r="U104" s="35" t="str">
        <f t="shared" si="52"/>
        <v>1:100:15:45,</v>
      </c>
      <c r="V104" s="35" t="str">
        <f t="shared" si="52"/>
        <v>2:100:15:30,</v>
      </c>
      <c r="W104" s="35" t="str">
        <f t="shared" si="52"/>
        <v>3:100:5:15,</v>
      </c>
      <c r="X104" s="35" t="str">
        <f t="shared" si="52"/>
        <v>4:100:5:15,</v>
      </c>
      <c r="Y104" s="35" t="str">
        <f t="shared" si="52"/>
        <v>5:100:5:15,</v>
      </c>
      <c r="Z104" s="35" t="str">
        <f t="shared" si="52"/>
        <v>6:100:5:15,</v>
      </c>
      <c r="AA104" s="35" t="str">
        <f t="shared" si="52"/>
        <v/>
      </c>
      <c r="AB104" s="35" t="str">
        <f t="shared" si="52"/>
        <v/>
      </c>
      <c r="AC104" s="35" t="str">
        <f t="shared" si="52"/>
        <v>9:50:5:15,</v>
      </c>
      <c r="AD104" s="35" t="str">
        <f t="shared" si="52"/>
        <v>10:50:5:15,</v>
      </c>
      <c r="AE104" s="35" t="str">
        <f t="shared" si="53"/>
        <v>11:50:4:12,</v>
      </c>
      <c r="AF104" s="35" t="str">
        <f t="shared" si="53"/>
        <v>12:50:4:12,</v>
      </c>
      <c r="AG104" s="35" t="str">
        <f t="shared" si="53"/>
        <v>13:20:300:500,</v>
      </c>
      <c r="AH104" s="35" t="str">
        <f t="shared" si="53"/>
        <v>14:20:10:20,</v>
      </c>
      <c r="AI104" s="35" t="str">
        <f t="shared" si="53"/>
        <v/>
      </c>
      <c r="AJ104" s="35" t="str">
        <f t="shared" si="53"/>
        <v/>
      </c>
      <c r="AK104" s="35" t="str">
        <f t="shared" si="53"/>
        <v>17:60:5:15,</v>
      </c>
      <c r="AL104" s="35" t="str">
        <f t="shared" si="53"/>
        <v>18:60:5:15,</v>
      </c>
      <c r="AM104" s="35" t="str">
        <f t="shared" si="53"/>
        <v/>
      </c>
      <c r="AN104" s="35" t="str">
        <f t="shared" si="53"/>
        <v/>
      </c>
    </row>
    <row r="105" spans="1:40">
      <c r="A105" s="4" t="str">
        <f t="shared" si="33"/>
        <v>41级绿武器伤害减免</v>
      </c>
      <c r="B105" s="4" t="s">
        <v>198</v>
      </c>
      <c r="C105" s="4" t="s">
        <v>117</v>
      </c>
      <c r="D105" s="4">
        <v>41</v>
      </c>
      <c r="E105" s="4" t="s">
        <v>27</v>
      </c>
      <c r="F105" s="4">
        <f>VLOOKUP(E105,基础属性ID!A:B,2,0)</f>
        <v>16</v>
      </c>
      <c r="G105" s="4">
        <f>VLOOKUP(E105,基础属性ID!$A:$E,5,0)</f>
        <v>10</v>
      </c>
      <c r="H105" s="4">
        <v>50</v>
      </c>
      <c r="I105" s="4">
        <v>100</v>
      </c>
      <c r="J105" s="4" t="str">
        <f t="shared" si="32"/>
        <v>16:10:50:100,</v>
      </c>
      <c r="M105" s="4" t="str">
        <f t="shared" si="34"/>
        <v>21级品质1项链</v>
      </c>
      <c r="N105" s="4" t="str">
        <f t="shared" si="35"/>
        <v>21级绿项链</v>
      </c>
      <c r="O105" s="33">
        <f t="shared" si="47"/>
        <v>51001</v>
      </c>
      <c r="P105" s="34" t="str">
        <f t="shared" si="36"/>
        <v>1:100:5:15,2:100:3:6,3:100:2:6,4:100:2:6,5:100:2:6,6:100:2:6,7:20:1:1,8:20:1:1,9:50:2:6,10:50:2:6,11:50:1:3,12:50:1:3,13:20:10:30,14:20:1:3,15:10:50:100,16:10:50:100,17:60:1:3,18:60:1:3</v>
      </c>
      <c r="Q105" s="4">
        <v>21</v>
      </c>
      <c r="R105" s="4" t="s">
        <v>215</v>
      </c>
      <c r="S105" s="4" t="str">
        <f>IF(T105=1,"绿",VLOOKUP(T105,{1,"白";2,"绿";3,"蓝";4,"紫";5,"橙";6,"红"},2,0))</f>
        <v>绿</v>
      </c>
      <c r="T105" s="4">
        <v>1</v>
      </c>
      <c r="U105" s="35" t="str">
        <f t="shared" si="52"/>
        <v>1:100:5:15,</v>
      </c>
      <c r="V105" s="35" t="str">
        <f t="shared" si="52"/>
        <v>2:100:3:6,</v>
      </c>
      <c r="W105" s="35" t="str">
        <f t="shared" si="52"/>
        <v>3:100:2:6,</v>
      </c>
      <c r="X105" s="35" t="str">
        <f t="shared" si="52"/>
        <v>4:100:2:6,</v>
      </c>
      <c r="Y105" s="35" t="str">
        <f t="shared" si="52"/>
        <v>5:100:2:6,</v>
      </c>
      <c r="Z105" s="35" t="str">
        <f t="shared" si="52"/>
        <v>6:100:2:6,</v>
      </c>
      <c r="AA105" s="35" t="str">
        <f t="shared" si="52"/>
        <v>7:20:1:1,</v>
      </c>
      <c r="AB105" s="35" t="str">
        <f t="shared" si="52"/>
        <v>8:20:1:1,</v>
      </c>
      <c r="AC105" s="35" t="str">
        <f t="shared" si="52"/>
        <v>9:50:2:6,</v>
      </c>
      <c r="AD105" s="35" t="str">
        <f t="shared" si="52"/>
        <v>10:50:2:6,</v>
      </c>
      <c r="AE105" s="35" t="str">
        <f t="shared" si="53"/>
        <v>11:50:1:3,</v>
      </c>
      <c r="AF105" s="35" t="str">
        <f t="shared" si="53"/>
        <v>12:50:1:3,</v>
      </c>
      <c r="AG105" s="35" t="str">
        <f t="shared" si="53"/>
        <v>13:20:10:30,</v>
      </c>
      <c r="AH105" s="35" t="str">
        <f t="shared" si="53"/>
        <v>14:20:1:3,</v>
      </c>
      <c r="AI105" s="35" t="str">
        <f t="shared" si="53"/>
        <v>15:10:50:100,</v>
      </c>
      <c r="AJ105" s="35" t="str">
        <f t="shared" si="53"/>
        <v>16:10:50:100,</v>
      </c>
      <c r="AK105" s="35" t="str">
        <f t="shared" si="53"/>
        <v>17:60:1:3,</v>
      </c>
      <c r="AL105" s="35" t="str">
        <f t="shared" si="53"/>
        <v>18:60:1:3,</v>
      </c>
      <c r="AM105" s="35" t="str">
        <f t="shared" si="53"/>
        <v/>
      </c>
      <c r="AN105" s="35" t="str">
        <f t="shared" si="53"/>
        <v/>
      </c>
    </row>
    <row r="106" spans="1:40">
      <c r="A106" s="4" t="str">
        <f t="shared" si="33"/>
        <v>41级绿武器装备掉率</v>
      </c>
      <c r="B106" s="4" t="s">
        <v>198</v>
      </c>
      <c r="C106" s="4" t="s">
        <v>117</v>
      </c>
      <c r="D106" s="4">
        <v>41</v>
      </c>
      <c r="E106" s="4" t="s">
        <v>30</v>
      </c>
      <c r="F106" s="4">
        <f>VLOOKUP(E106,基础属性ID!A:B,2,0)</f>
        <v>17</v>
      </c>
      <c r="G106" s="4">
        <f>VLOOKUP(E106,基础属性ID!$A:$E,5,0)</f>
        <v>60</v>
      </c>
      <c r="H106" s="4">
        <v>1</v>
      </c>
      <c r="I106" s="4">
        <f t="shared" ref="I106:I108" si="54">H106*3</f>
        <v>3</v>
      </c>
      <c r="J106" s="4" t="str">
        <f t="shared" si="32"/>
        <v>17:60:1:3,</v>
      </c>
      <c r="M106" s="4" t="str">
        <f t="shared" si="34"/>
        <v>21级品质2项链</v>
      </c>
      <c r="N106" s="4" t="str">
        <f t="shared" si="35"/>
        <v>21级绿项链</v>
      </c>
      <c r="O106" s="33">
        <f t="shared" si="47"/>
        <v>51002</v>
      </c>
      <c r="P106" s="34" t="str">
        <f t="shared" si="36"/>
        <v>1:100:5:15,2:100:3:6,3:100:2:6,4:100:2:6,5:100:2:6,6:100:2:6,7:20:1:1,8:20:1:1,9:50:2:6,10:50:2:6,11:50:1:3,12:50:1:3,13:20:10:30,14:20:1:3,15:10:50:100,16:10:50:100,17:60:1:3,18:60:1:3</v>
      </c>
      <c r="Q106" s="4">
        <v>21</v>
      </c>
      <c r="R106" s="4" t="s">
        <v>215</v>
      </c>
      <c r="S106" s="4" t="str">
        <f>IF(T106=1,"绿",VLOOKUP(T106,{1,"白";2,"绿";3,"蓝";4,"紫";5,"橙";6,"红"},2,0))</f>
        <v>绿</v>
      </c>
      <c r="T106" s="4">
        <v>2</v>
      </c>
      <c r="U106" s="35" t="str">
        <f t="shared" si="52"/>
        <v>1:100:5:15,</v>
      </c>
      <c r="V106" s="35" t="str">
        <f t="shared" si="52"/>
        <v>2:100:3:6,</v>
      </c>
      <c r="W106" s="35" t="str">
        <f t="shared" si="52"/>
        <v>3:100:2:6,</v>
      </c>
      <c r="X106" s="35" t="str">
        <f t="shared" si="52"/>
        <v>4:100:2:6,</v>
      </c>
      <c r="Y106" s="35" t="str">
        <f t="shared" si="52"/>
        <v>5:100:2:6,</v>
      </c>
      <c r="Z106" s="35" t="str">
        <f t="shared" si="52"/>
        <v>6:100:2:6,</v>
      </c>
      <c r="AA106" s="35" t="str">
        <f t="shared" si="52"/>
        <v>7:20:1:1,</v>
      </c>
      <c r="AB106" s="35" t="str">
        <f t="shared" si="52"/>
        <v>8:20:1:1,</v>
      </c>
      <c r="AC106" s="35" t="str">
        <f t="shared" si="52"/>
        <v>9:50:2:6,</v>
      </c>
      <c r="AD106" s="35" t="str">
        <f t="shared" si="52"/>
        <v>10:50:2:6,</v>
      </c>
      <c r="AE106" s="35" t="str">
        <f t="shared" si="53"/>
        <v>11:50:1:3,</v>
      </c>
      <c r="AF106" s="35" t="str">
        <f t="shared" si="53"/>
        <v>12:50:1:3,</v>
      </c>
      <c r="AG106" s="35" t="str">
        <f t="shared" si="53"/>
        <v>13:20:10:30,</v>
      </c>
      <c r="AH106" s="35" t="str">
        <f t="shared" si="53"/>
        <v>14:20:1:3,</v>
      </c>
      <c r="AI106" s="35" t="str">
        <f t="shared" si="53"/>
        <v>15:10:50:100,</v>
      </c>
      <c r="AJ106" s="35" t="str">
        <f t="shared" si="53"/>
        <v>16:10:50:100,</v>
      </c>
      <c r="AK106" s="35" t="str">
        <f t="shared" si="53"/>
        <v>17:60:1:3,</v>
      </c>
      <c r="AL106" s="35" t="str">
        <f t="shared" si="53"/>
        <v>18:60:1:3,</v>
      </c>
      <c r="AM106" s="35" t="str">
        <f t="shared" si="53"/>
        <v/>
      </c>
      <c r="AN106" s="35" t="str">
        <f t="shared" si="53"/>
        <v/>
      </c>
    </row>
    <row r="107" spans="1:40">
      <c r="A107" s="4" t="str">
        <f t="shared" si="33"/>
        <v>41级绿武器极品掉率</v>
      </c>
      <c r="B107" s="4" t="s">
        <v>198</v>
      </c>
      <c r="C107" s="4" t="s">
        <v>117</v>
      </c>
      <c r="D107" s="4">
        <v>41</v>
      </c>
      <c r="E107" s="4" t="s">
        <v>31</v>
      </c>
      <c r="F107" s="4">
        <f>VLOOKUP(E107,基础属性ID!A:B,2,0)</f>
        <v>18</v>
      </c>
      <c r="G107" s="4">
        <f>VLOOKUP(E107,基础属性ID!$A:$E,5,0)</f>
        <v>60</v>
      </c>
      <c r="H107" s="4">
        <v>1</v>
      </c>
      <c r="I107" s="4">
        <f t="shared" si="54"/>
        <v>3</v>
      </c>
      <c r="J107" s="4" t="str">
        <f t="shared" si="32"/>
        <v>18:60:1:3,</v>
      </c>
      <c r="M107" s="4" t="str">
        <f t="shared" si="34"/>
        <v>21级品质3项链</v>
      </c>
      <c r="N107" s="4" t="str">
        <f t="shared" si="35"/>
        <v>21级蓝项链</v>
      </c>
      <c r="O107" s="33">
        <f t="shared" si="47"/>
        <v>51003</v>
      </c>
      <c r="P107" s="34" t="str">
        <f t="shared" si="36"/>
        <v>1:100:8:24,2:100:10:20,3:100:3:9,4:100:3:9,5:100:3:9,6:100:3:9,7:20:1:1,8:20:1:2,9:50:3:9,10:50:3:9,11:50:1:3,12:50:1:3,13:20:20:50,14:20:2:5,15:10:80:150,16:10:80:150,17:60:2:6,18:60:2:6</v>
      </c>
      <c r="Q107" s="4">
        <v>21</v>
      </c>
      <c r="R107" s="4" t="s">
        <v>215</v>
      </c>
      <c r="S107" s="4" t="str">
        <f>IF(T107=1,"绿",VLOOKUP(T107,{1,"白";2,"绿";3,"蓝";4,"紫";5,"橙";6,"红"},2,0))</f>
        <v>蓝</v>
      </c>
      <c r="T107" s="4">
        <v>3</v>
      </c>
      <c r="U107" s="35" t="str">
        <f t="shared" si="52"/>
        <v>1:100:8:24,</v>
      </c>
      <c r="V107" s="35" t="str">
        <f t="shared" si="52"/>
        <v>2:100:10:20,</v>
      </c>
      <c r="W107" s="35" t="str">
        <f t="shared" si="52"/>
        <v>3:100:3:9,</v>
      </c>
      <c r="X107" s="35" t="str">
        <f t="shared" si="52"/>
        <v>4:100:3:9,</v>
      </c>
      <c r="Y107" s="35" t="str">
        <f t="shared" si="52"/>
        <v>5:100:3:9,</v>
      </c>
      <c r="Z107" s="35" t="str">
        <f t="shared" si="52"/>
        <v>6:100:3:9,</v>
      </c>
      <c r="AA107" s="35" t="str">
        <f t="shared" si="52"/>
        <v>7:20:1:1,</v>
      </c>
      <c r="AB107" s="35" t="str">
        <f t="shared" si="52"/>
        <v>8:20:1:2,</v>
      </c>
      <c r="AC107" s="35" t="str">
        <f t="shared" si="52"/>
        <v>9:50:3:9,</v>
      </c>
      <c r="AD107" s="35" t="str">
        <f t="shared" si="52"/>
        <v>10:50:3:9,</v>
      </c>
      <c r="AE107" s="35" t="str">
        <f t="shared" si="53"/>
        <v>11:50:1:3,</v>
      </c>
      <c r="AF107" s="35" t="str">
        <f t="shared" si="53"/>
        <v>12:50:1:3,</v>
      </c>
      <c r="AG107" s="35" t="str">
        <f t="shared" si="53"/>
        <v>13:20:20:50,</v>
      </c>
      <c r="AH107" s="35" t="str">
        <f t="shared" si="53"/>
        <v>14:20:2:5,</v>
      </c>
      <c r="AI107" s="35" t="str">
        <f t="shared" si="53"/>
        <v>15:10:80:150,</v>
      </c>
      <c r="AJ107" s="35" t="str">
        <f t="shared" si="53"/>
        <v>16:10:80:150,</v>
      </c>
      <c r="AK107" s="35" t="str">
        <f t="shared" si="53"/>
        <v>17:60:2:6,</v>
      </c>
      <c r="AL107" s="35" t="str">
        <f t="shared" si="53"/>
        <v>18:60:2:6,</v>
      </c>
      <c r="AM107" s="35" t="str">
        <f t="shared" si="53"/>
        <v/>
      </c>
      <c r="AN107" s="35" t="str">
        <f t="shared" si="53"/>
        <v/>
      </c>
    </row>
    <row r="108" spans="1:40">
      <c r="A108" s="4" t="str">
        <f t="shared" si="33"/>
        <v>61级绿武器生命值</v>
      </c>
      <c r="B108" s="4" t="s">
        <v>198</v>
      </c>
      <c r="C108" s="4" t="s">
        <v>117</v>
      </c>
      <c r="D108" s="4">
        <v>61</v>
      </c>
      <c r="E108" s="4" t="s">
        <v>74</v>
      </c>
      <c r="F108" s="4">
        <f>VLOOKUP(E108,基础属性ID!A:B,2,0)</f>
        <v>1</v>
      </c>
      <c r="G108" s="4">
        <f>VLOOKUP(E108,基础属性ID!$A:$E,5,0)</f>
        <v>100</v>
      </c>
      <c r="H108" s="4">
        <v>15</v>
      </c>
      <c r="I108" s="4">
        <f t="shared" si="54"/>
        <v>45</v>
      </c>
      <c r="J108" s="4" t="str">
        <f t="shared" si="32"/>
        <v>1:100:15:45,</v>
      </c>
      <c r="M108" s="4" t="str">
        <f t="shared" si="34"/>
        <v>21级品质4项链</v>
      </c>
      <c r="N108" s="4" t="str">
        <f t="shared" si="35"/>
        <v>21级紫项链</v>
      </c>
      <c r="O108" s="33">
        <f t="shared" si="47"/>
        <v>51004</v>
      </c>
      <c r="P108" s="34" t="str">
        <f t="shared" si="36"/>
        <v>1:100:12:36,2:100:8:16,3:100:5:15,4:100:5:15,5:100:5:15,6:100:5:15,7:20:1:2,8:20:1:3,9:50:4:12,10:50:4:12,11:50:3:9,12:50:3:9,13:20:50:150,14:20:3:8,15:10:1:2,16:10:1:2,17:60:3:9,18:60:3:9</v>
      </c>
      <c r="Q108" s="4">
        <v>21</v>
      </c>
      <c r="R108" s="4" t="s">
        <v>215</v>
      </c>
      <c r="S108" s="4" t="str">
        <f>IF(T108=1,"绿",VLOOKUP(T108,{1,"白";2,"绿";3,"蓝";4,"紫";5,"橙";6,"红"},2,0))</f>
        <v>紫</v>
      </c>
      <c r="T108" s="4">
        <v>4</v>
      </c>
      <c r="U108" s="35" t="str">
        <f t="shared" si="52"/>
        <v>1:100:12:36,</v>
      </c>
      <c r="V108" s="35" t="str">
        <f t="shared" si="52"/>
        <v>2:100:8:16,</v>
      </c>
      <c r="W108" s="35" t="str">
        <f t="shared" si="52"/>
        <v>3:100:5:15,</v>
      </c>
      <c r="X108" s="35" t="str">
        <f t="shared" si="52"/>
        <v>4:100:5:15,</v>
      </c>
      <c r="Y108" s="35" t="str">
        <f t="shared" si="52"/>
        <v>5:100:5:15,</v>
      </c>
      <c r="Z108" s="35" t="str">
        <f t="shared" si="52"/>
        <v>6:100:5:15,</v>
      </c>
      <c r="AA108" s="35" t="str">
        <f t="shared" si="52"/>
        <v>7:20:1:2,</v>
      </c>
      <c r="AB108" s="35" t="str">
        <f t="shared" si="52"/>
        <v>8:20:1:3,</v>
      </c>
      <c r="AC108" s="35" t="str">
        <f t="shared" si="52"/>
        <v>9:50:4:12,</v>
      </c>
      <c r="AD108" s="35" t="str">
        <f t="shared" si="52"/>
        <v>10:50:4:12,</v>
      </c>
      <c r="AE108" s="35" t="str">
        <f t="shared" si="53"/>
        <v>11:50:3:9,</v>
      </c>
      <c r="AF108" s="35" t="str">
        <f t="shared" si="53"/>
        <v>12:50:3:9,</v>
      </c>
      <c r="AG108" s="35" t="str">
        <f t="shared" si="53"/>
        <v>13:20:50:150,</v>
      </c>
      <c r="AH108" s="35" t="str">
        <f t="shared" si="53"/>
        <v>14:20:3:8,</v>
      </c>
      <c r="AI108" s="35" t="str">
        <f t="shared" si="53"/>
        <v>15:10:1:2,</v>
      </c>
      <c r="AJ108" s="35" t="str">
        <f t="shared" si="53"/>
        <v>16:10:1:2,</v>
      </c>
      <c r="AK108" s="35" t="str">
        <f t="shared" si="53"/>
        <v>17:60:3:9,</v>
      </c>
      <c r="AL108" s="35" t="str">
        <f t="shared" si="53"/>
        <v>18:60:3:9,</v>
      </c>
      <c r="AM108" s="35" t="str">
        <f t="shared" si="53"/>
        <v/>
      </c>
      <c r="AN108" s="35" t="str">
        <f t="shared" si="53"/>
        <v/>
      </c>
    </row>
    <row r="109" spans="1:40">
      <c r="A109" s="4" t="str">
        <f t="shared" si="33"/>
        <v>61级绿武器法力值</v>
      </c>
      <c r="B109" s="4" t="s">
        <v>198</v>
      </c>
      <c r="C109" s="4" t="s">
        <v>117</v>
      </c>
      <c r="D109" s="4">
        <v>61</v>
      </c>
      <c r="E109" s="4" t="s">
        <v>75</v>
      </c>
      <c r="F109" s="4">
        <f>VLOOKUP(E109,基础属性ID!A:B,2,0)</f>
        <v>2</v>
      </c>
      <c r="G109" s="4">
        <f>VLOOKUP(E109,基础属性ID!$A:$E,5,0)</f>
        <v>100</v>
      </c>
      <c r="H109" s="4">
        <v>5</v>
      </c>
      <c r="I109" s="4">
        <v>10</v>
      </c>
      <c r="J109" s="4" t="str">
        <f t="shared" si="32"/>
        <v>2:100:5:10,</v>
      </c>
      <c r="M109" s="4" t="str">
        <f t="shared" si="34"/>
        <v>21级品质5项链</v>
      </c>
      <c r="N109" s="4" t="str">
        <f t="shared" si="35"/>
        <v>21级橙项链</v>
      </c>
      <c r="O109" s="33">
        <f t="shared" si="47"/>
        <v>51005</v>
      </c>
      <c r="P109" s="34" t="str">
        <f t="shared" si="36"/>
        <v>1:100:15:45,2:100:12:24,3:100:6:18,4:100:6:18,5:100:6:18,6:100:6:18,7:20:1:3,8:20:1:4,9:50:5:15,10:50:5:15,11:50:4:12,12:50:4:12,13:20:150:300,14:20:5:10,15:10:150:300,16:10:150:300,17:60:4:12,18:60:4:12</v>
      </c>
      <c r="Q109" s="4">
        <v>21</v>
      </c>
      <c r="R109" s="4" t="s">
        <v>215</v>
      </c>
      <c r="S109" s="4" t="str">
        <f>IF(T109=1,"绿",VLOOKUP(T109,{1,"白";2,"绿";3,"蓝";4,"紫";5,"橙";6,"红"},2,0))</f>
        <v>橙</v>
      </c>
      <c r="T109" s="4">
        <v>5</v>
      </c>
      <c r="U109" s="35" t="str">
        <f t="shared" si="52"/>
        <v>1:100:15:45,</v>
      </c>
      <c r="V109" s="35" t="str">
        <f t="shared" si="52"/>
        <v>2:100:12:24,</v>
      </c>
      <c r="W109" s="35" t="str">
        <f t="shared" si="52"/>
        <v>3:100:6:18,</v>
      </c>
      <c r="X109" s="35" t="str">
        <f t="shared" si="52"/>
        <v>4:100:6:18,</v>
      </c>
      <c r="Y109" s="35" t="str">
        <f t="shared" si="52"/>
        <v>5:100:6:18,</v>
      </c>
      <c r="Z109" s="35" t="str">
        <f t="shared" si="52"/>
        <v>6:100:6:18,</v>
      </c>
      <c r="AA109" s="35" t="str">
        <f t="shared" si="52"/>
        <v>7:20:1:3,</v>
      </c>
      <c r="AB109" s="35" t="str">
        <f t="shared" si="52"/>
        <v>8:20:1:4,</v>
      </c>
      <c r="AC109" s="35" t="str">
        <f t="shared" si="52"/>
        <v>9:50:5:15,</v>
      </c>
      <c r="AD109" s="35" t="str">
        <f t="shared" si="52"/>
        <v>10:50:5:15,</v>
      </c>
      <c r="AE109" s="35" t="str">
        <f t="shared" si="53"/>
        <v>11:50:4:12,</v>
      </c>
      <c r="AF109" s="35" t="str">
        <f t="shared" si="53"/>
        <v>12:50:4:12,</v>
      </c>
      <c r="AG109" s="35" t="str">
        <f t="shared" si="53"/>
        <v>13:20:150:300,</v>
      </c>
      <c r="AH109" s="35" t="str">
        <f t="shared" si="53"/>
        <v>14:20:5:10,</v>
      </c>
      <c r="AI109" s="35" t="str">
        <f t="shared" si="53"/>
        <v>15:10:150:300,</v>
      </c>
      <c r="AJ109" s="35" t="str">
        <f t="shared" si="53"/>
        <v>16:10:150:300,</v>
      </c>
      <c r="AK109" s="35" t="str">
        <f t="shared" si="53"/>
        <v>17:60:4:12,</v>
      </c>
      <c r="AL109" s="35" t="str">
        <f t="shared" si="53"/>
        <v>18:60:4:12,</v>
      </c>
      <c r="AM109" s="35" t="str">
        <f t="shared" si="53"/>
        <v/>
      </c>
      <c r="AN109" s="35" t="str">
        <f t="shared" si="53"/>
        <v/>
      </c>
    </row>
    <row r="110" spans="1:40">
      <c r="A110" s="4" t="str">
        <f t="shared" si="33"/>
        <v>61级绿武器物理攻击</v>
      </c>
      <c r="B110" s="4" t="s">
        <v>198</v>
      </c>
      <c r="C110" s="4" t="s">
        <v>117</v>
      </c>
      <c r="D110" s="4">
        <v>61</v>
      </c>
      <c r="E110" s="4" t="s">
        <v>13</v>
      </c>
      <c r="F110" s="4">
        <f>VLOOKUP(E110,基础属性ID!A:B,2,0)</f>
        <v>3</v>
      </c>
      <c r="G110" s="4">
        <f>VLOOKUP(E110,基础属性ID!$A:$E,5,0)</f>
        <v>100</v>
      </c>
      <c r="H110" s="4">
        <v>5</v>
      </c>
      <c r="I110" s="4">
        <f t="shared" ref="I110:I113" si="55">H110*3</f>
        <v>15</v>
      </c>
      <c r="J110" s="4" t="str">
        <f t="shared" si="32"/>
        <v>3:100:5:15,</v>
      </c>
      <c r="M110" s="4" t="str">
        <f t="shared" si="34"/>
        <v>21级品质6项链</v>
      </c>
      <c r="N110" s="4" t="str">
        <f t="shared" si="35"/>
        <v>21级红项链</v>
      </c>
      <c r="O110" s="33">
        <f t="shared" si="47"/>
        <v>51006</v>
      </c>
      <c r="P110" s="34" t="str">
        <f t="shared" si="36"/>
        <v>1:100:20:60,2:100:18:36,3:100:8:24,4:100:8:24,5:100:8:24,6:100:8:24,7:20:1:5,8:20:1:5,9:50:6:18,10:50:6:18,11:50:6:18,12:50:6:18,13:20:300:500,14:20:10:20,15:10:2:5,16:10:2:5,17:60:5:15,18:60:5:15</v>
      </c>
      <c r="Q110" s="4">
        <v>21</v>
      </c>
      <c r="R110" s="4" t="s">
        <v>215</v>
      </c>
      <c r="S110" s="4" t="str">
        <f>IF(T110=1,"绿",VLOOKUP(T110,{1,"白";2,"绿";3,"蓝";4,"紫";5,"橙";6,"红"},2,0))</f>
        <v>红</v>
      </c>
      <c r="T110" s="4">
        <v>6</v>
      </c>
      <c r="U110" s="35" t="str">
        <f t="shared" si="52"/>
        <v>1:100:20:60,</v>
      </c>
      <c r="V110" s="35" t="str">
        <f t="shared" si="52"/>
        <v>2:100:18:36,</v>
      </c>
      <c r="W110" s="35" t="str">
        <f t="shared" si="52"/>
        <v>3:100:8:24,</v>
      </c>
      <c r="X110" s="35" t="str">
        <f t="shared" si="52"/>
        <v>4:100:8:24,</v>
      </c>
      <c r="Y110" s="35" t="str">
        <f t="shared" si="52"/>
        <v>5:100:8:24,</v>
      </c>
      <c r="Z110" s="35" t="str">
        <f t="shared" si="52"/>
        <v>6:100:8:24,</v>
      </c>
      <c r="AA110" s="35" t="str">
        <f t="shared" si="52"/>
        <v>7:20:1:5,</v>
      </c>
      <c r="AB110" s="35" t="str">
        <f t="shared" si="52"/>
        <v>8:20:1:5,</v>
      </c>
      <c r="AC110" s="35" t="str">
        <f t="shared" si="52"/>
        <v>9:50:6:18,</v>
      </c>
      <c r="AD110" s="35" t="str">
        <f t="shared" si="52"/>
        <v>10:50:6:18,</v>
      </c>
      <c r="AE110" s="35" t="str">
        <f t="shared" si="53"/>
        <v>11:50:6:18,</v>
      </c>
      <c r="AF110" s="35" t="str">
        <f t="shared" si="53"/>
        <v>12:50:6:18,</v>
      </c>
      <c r="AG110" s="35" t="str">
        <f t="shared" si="53"/>
        <v>13:20:300:500,</v>
      </c>
      <c r="AH110" s="35" t="str">
        <f t="shared" si="53"/>
        <v>14:20:10:20,</v>
      </c>
      <c r="AI110" s="35" t="str">
        <f t="shared" si="53"/>
        <v>15:10:2:5,</v>
      </c>
      <c r="AJ110" s="35" t="str">
        <f t="shared" si="53"/>
        <v>16:10:2:5,</v>
      </c>
      <c r="AK110" s="35" t="str">
        <f t="shared" si="53"/>
        <v>17:60:5:15,</v>
      </c>
      <c r="AL110" s="35" t="str">
        <f t="shared" si="53"/>
        <v>18:60:5:15,</v>
      </c>
      <c r="AM110" s="35" t="str">
        <f t="shared" si="53"/>
        <v/>
      </c>
      <c r="AN110" s="35" t="str">
        <f t="shared" si="53"/>
        <v/>
      </c>
    </row>
    <row r="111" spans="1:40">
      <c r="A111" s="4" t="str">
        <f t="shared" si="33"/>
        <v>61级绿武器魔法攻击</v>
      </c>
      <c r="B111" s="4" t="s">
        <v>198</v>
      </c>
      <c r="C111" s="4" t="s">
        <v>117</v>
      </c>
      <c r="D111" s="4">
        <v>61</v>
      </c>
      <c r="E111" s="4" t="s">
        <v>14</v>
      </c>
      <c r="F111" s="4">
        <f>VLOOKUP(E111,基础属性ID!A:B,2,0)</f>
        <v>4</v>
      </c>
      <c r="G111" s="4">
        <f>VLOOKUP(E111,基础属性ID!$A:$E,5,0)</f>
        <v>100</v>
      </c>
      <c r="H111" s="4">
        <v>5</v>
      </c>
      <c r="I111" s="4">
        <f t="shared" si="55"/>
        <v>15</v>
      </c>
      <c r="J111" s="4" t="str">
        <f t="shared" si="32"/>
        <v>4:100:5:15,</v>
      </c>
      <c r="M111" s="4" t="str">
        <f t="shared" si="34"/>
        <v>41级品质1项链</v>
      </c>
      <c r="N111" s="4" t="str">
        <f t="shared" si="35"/>
        <v>41级绿项链</v>
      </c>
      <c r="O111" s="33">
        <f t="shared" si="47"/>
        <v>52001</v>
      </c>
      <c r="P111" s="34" t="str">
        <f t="shared" si="36"/>
        <v>1:100:10:30,2:100:4:8,3:100:3:9,4:100:3:9,5:100:3:9,6:100:3:9,7:20:1:1,8:20:1:1,9:50:3:9,10:50:3:9,11:50:2:6,12:50:2:6,13:20:10:30,14:20:1:3,15:10:50:100,16:10:50:100,17:60:1:3,18:60:1:3</v>
      </c>
      <c r="Q111" s="4">
        <v>41</v>
      </c>
      <c r="R111" s="4" t="s">
        <v>215</v>
      </c>
      <c r="S111" s="4" t="str">
        <f>IF(T111=1,"绿",VLOOKUP(T111,{1,"白";2,"绿";3,"蓝";4,"紫";5,"橙";6,"红"},2,0))</f>
        <v>绿</v>
      </c>
      <c r="T111" s="4">
        <v>1</v>
      </c>
      <c r="U111" s="35" t="str">
        <f t="shared" si="52"/>
        <v>1:100:10:30,</v>
      </c>
      <c r="V111" s="35" t="str">
        <f t="shared" si="52"/>
        <v>2:100:4:8,</v>
      </c>
      <c r="W111" s="35" t="str">
        <f t="shared" si="52"/>
        <v>3:100:3:9,</v>
      </c>
      <c r="X111" s="35" t="str">
        <f t="shared" si="52"/>
        <v>4:100:3:9,</v>
      </c>
      <c r="Y111" s="35" t="str">
        <f t="shared" si="52"/>
        <v>5:100:3:9,</v>
      </c>
      <c r="Z111" s="35" t="str">
        <f t="shared" si="52"/>
        <v>6:100:3:9,</v>
      </c>
      <c r="AA111" s="35" t="str">
        <f t="shared" si="52"/>
        <v>7:20:1:1,</v>
      </c>
      <c r="AB111" s="35" t="str">
        <f t="shared" si="52"/>
        <v>8:20:1:1,</v>
      </c>
      <c r="AC111" s="35" t="str">
        <f t="shared" si="52"/>
        <v>9:50:3:9,</v>
      </c>
      <c r="AD111" s="35" t="str">
        <f t="shared" si="52"/>
        <v>10:50:3:9,</v>
      </c>
      <c r="AE111" s="35" t="str">
        <f t="shared" si="53"/>
        <v>11:50:2:6,</v>
      </c>
      <c r="AF111" s="35" t="str">
        <f t="shared" si="53"/>
        <v>12:50:2:6,</v>
      </c>
      <c r="AG111" s="35" t="str">
        <f t="shared" si="53"/>
        <v>13:20:10:30,</v>
      </c>
      <c r="AH111" s="35" t="str">
        <f t="shared" si="53"/>
        <v>14:20:1:3,</v>
      </c>
      <c r="AI111" s="35" t="str">
        <f t="shared" si="53"/>
        <v>15:10:50:100,</v>
      </c>
      <c r="AJ111" s="35" t="str">
        <f t="shared" si="53"/>
        <v>16:10:50:100,</v>
      </c>
      <c r="AK111" s="35" t="str">
        <f t="shared" si="53"/>
        <v>17:60:1:3,</v>
      </c>
      <c r="AL111" s="35" t="str">
        <f t="shared" si="53"/>
        <v>18:60:1:3,</v>
      </c>
      <c r="AM111" s="35" t="str">
        <f t="shared" si="53"/>
        <v/>
      </c>
      <c r="AN111" s="35" t="str">
        <f t="shared" si="53"/>
        <v/>
      </c>
    </row>
    <row r="112" spans="1:40">
      <c r="A112" s="4" t="str">
        <f t="shared" si="33"/>
        <v>61级绿武器道术攻击</v>
      </c>
      <c r="B112" s="4" t="s">
        <v>198</v>
      </c>
      <c r="C112" s="4" t="s">
        <v>117</v>
      </c>
      <c r="D112" s="4">
        <v>61</v>
      </c>
      <c r="E112" s="4" t="s">
        <v>15</v>
      </c>
      <c r="F112" s="4">
        <f>VLOOKUP(E112,基础属性ID!A:B,2,0)</f>
        <v>5</v>
      </c>
      <c r="G112" s="4">
        <f>VLOOKUP(E112,基础属性ID!$A:$E,5,0)</f>
        <v>100</v>
      </c>
      <c r="H112" s="4">
        <v>5</v>
      </c>
      <c r="I112" s="4">
        <f t="shared" si="55"/>
        <v>15</v>
      </c>
      <c r="J112" s="4" t="str">
        <f t="shared" si="32"/>
        <v>5:100:5:15,</v>
      </c>
      <c r="M112" s="4" t="str">
        <f t="shared" si="34"/>
        <v>41级品质2项链</v>
      </c>
      <c r="N112" s="4" t="str">
        <f t="shared" si="35"/>
        <v>41级绿项链</v>
      </c>
      <c r="O112" s="33">
        <f t="shared" si="47"/>
        <v>52002</v>
      </c>
      <c r="P112" s="34" t="str">
        <f t="shared" si="36"/>
        <v>1:100:10:30,2:100:4:8,3:100:3:9,4:100:3:9,5:100:3:9,6:100:3:9,7:20:1:1,8:20:1:1,9:50:3:9,10:50:3:9,11:50:2:6,12:50:2:6,13:20:10:30,14:20:1:3,15:10:50:100,16:10:50:100,17:60:1:3,18:60:1:3</v>
      </c>
      <c r="Q112" s="4">
        <v>41</v>
      </c>
      <c r="R112" s="4" t="s">
        <v>215</v>
      </c>
      <c r="S112" s="4" t="str">
        <f>IF(T112=1,"绿",VLOOKUP(T112,{1,"白";2,"绿";3,"蓝";4,"紫";5,"橙";6,"红"},2,0))</f>
        <v>绿</v>
      </c>
      <c r="T112" s="4">
        <v>2</v>
      </c>
      <c r="U112" s="35" t="str">
        <f t="shared" si="52"/>
        <v>1:100:10:30,</v>
      </c>
      <c r="V112" s="35" t="str">
        <f t="shared" si="52"/>
        <v>2:100:4:8,</v>
      </c>
      <c r="W112" s="35" t="str">
        <f t="shared" si="52"/>
        <v>3:100:3:9,</v>
      </c>
      <c r="X112" s="35" t="str">
        <f t="shared" si="52"/>
        <v>4:100:3:9,</v>
      </c>
      <c r="Y112" s="35" t="str">
        <f t="shared" si="52"/>
        <v>5:100:3:9,</v>
      </c>
      <c r="Z112" s="35" t="str">
        <f t="shared" si="52"/>
        <v>6:100:3:9,</v>
      </c>
      <c r="AA112" s="35" t="str">
        <f t="shared" si="52"/>
        <v>7:20:1:1,</v>
      </c>
      <c r="AB112" s="35" t="str">
        <f t="shared" si="52"/>
        <v>8:20:1:1,</v>
      </c>
      <c r="AC112" s="35" t="str">
        <f t="shared" si="52"/>
        <v>9:50:3:9,</v>
      </c>
      <c r="AD112" s="35" t="str">
        <f t="shared" si="52"/>
        <v>10:50:3:9,</v>
      </c>
      <c r="AE112" s="35" t="str">
        <f t="shared" si="53"/>
        <v>11:50:2:6,</v>
      </c>
      <c r="AF112" s="35" t="str">
        <f t="shared" si="53"/>
        <v>12:50:2:6,</v>
      </c>
      <c r="AG112" s="35" t="str">
        <f t="shared" si="53"/>
        <v>13:20:10:30,</v>
      </c>
      <c r="AH112" s="35" t="str">
        <f t="shared" si="53"/>
        <v>14:20:1:3,</v>
      </c>
      <c r="AI112" s="35" t="str">
        <f t="shared" si="53"/>
        <v>15:10:50:100,</v>
      </c>
      <c r="AJ112" s="35" t="str">
        <f t="shared" si="53"/>
        <v>16:10:50:100,</v>
      </c>
      <c r="AK112" s="35" t="str">
        <f t="shared" si="53"/>
        <v>17:60:1:3,</v>
      </c>
      <c r="AL112" s="35" t="str">
        <f t="shared" si="53"/>
        <v>18:60:1:3,</v>
      </c>
      <c r="AM112" s="35" t="str">
        <f t="shared" si="53"/>
        <v/>
      </c>
      <c r="AN112" s="35" t="str">
        <f t="shared" si="53"/>
        <v/>
      </c>
    </row>
    <row r="113" spans="1:40">
      <c r="A113" s="4" t="str">
        <f t="shared" si="33"/>
        <v>61级绿武器防御</v>
      </c>
      <c r="B113" s="4" t="s">
        <v>198</v>
      </c>
      <c r="C113" s="4" t="s">
        <v>117</v>
      </c>
      <c r="D113" s="4">
        <v>61</v>
      </c>
      <c r="E113" s="4" t="s">
        <v>17</v>
      </c>
      <c r="F113" s="4">
        <f>VLOOKUP(E113,基础属性ID!A:B,2,0)</f>
        <v>6</v>
      </c>
      <c r="G113" s="4">
        <f>VLOOKUP(E113,基础属性ID!$A:$E,5,0)</f>
        <v>100</v>
      </c>
      <c r="H113" s="4">
        <v>5</v>
      </c>
      <c r="I113" s="4">
        <f t="shared" si="55"/>
        <v>15</v>
      </c>
      <c r="J113" s="4" t="str">
        <f t="shared" si="32"/>
        <v>6:100:5:15,</v>
      </c>
      <c r="M113" s="4" t="str">
        <f t="shared" si="34"/>
        <v>41级品质3项链</v>
      </c>
      <c r="N113" s="4" t="str">
        <f t="shared" si="35"/>
        <v>41级蓝项链</v>
      </c>
      <c r="O113" s="33">
        <f t="shared" si="47"/>
        <v>52003</v>
      </c>
      <c r="P113" s="34" t="str">
        <f t="shared" si="36"/>
        <v>1:100:15:45,2:100:4:10,3:100:4:12,4:100:4:12,5:100:4:12,6:100:4:12,7:20:1:1,8:20:1:2,9:50:4:12,10:50:4:12,11:50:2:6,12:50:2:6,13:20:20:50,14:20:2:5,15:10:80:150,16:10:80:150,17:60:2:6,18:60:2:6</v>
      </c>
      <c r="Q113" s="4">
        <v>41</v>
      </c>
      <c r="R113" s="4" t="s">
        <v>215</v>
      </c>
      <c r="S113" s="4" t="str">
        <f>IF(T113=1,"绿",VLOOKUP(T113,{1,"白";2,"绿";3,"蓝";4,"紫";5,"橙";6,"红"},2,0))</f>
        <v>蓝</v>
      </c>
      <c r="T113" s="4">
        <v>3</v>
      </c>
      <c r="U113" s="35" t="str">
        <f t="shared" ref="U113:AD122" si="56">IFERROR(VLOOKUP($N113&amp;U$2,$A:$J,10,0),"")</f>
        <v>1:100:15:45,</v>
      </c>
      <c r="V113" s="35" t="str">
        <f t="shared" si="56"/>
        <v>2:100:4:10,</v>
      </c>
      <c r="W113" s="35" t="str">
        <f t="shared" si="56"/>
        <v>3:100:4:12,</v>
      </c>
      <c r="X113" s="35" t="str">
        <f t="shared" si="56"/>
        <v>4:100:4:12,</v>
      </c>
      <c r="Y113" s="35" t="str">
        <f t="shared" si="56"/>
        <v>5:100:4:12,</v>
      </c>
      <c r="Z113" s="35" t="str">
        <f t="shared" si="56"/>
        <v>6:100:4:12,</v>
      </c>
      <c r="AA113" s="35" t="str">
        <f t="shared" si="56"/>
        <v>7:20:1:1,</v>
      </c>
      <c r="AB113" s="35" t="str">
        <f t="shared" si="56"/>
        <v>8:20:1:2,</v>
      </c>
      <c r="AC113" s="35" t="str">
        <f t="shared" si="56"/>
        <v>9:50:4:12,</v>
      </c>
      <c r="AD113" s="35" t="str">
        <f t="shared" si="56"/>
        <v>10:50:4:12,</v>
      </c>
      <c r="AE113" s="35" t="str">
        <f t="shared" ref="AE113:AN122" si="57">IFERROR(VLOOKUP($N113&amp;AE$2,$A:$J,10,0),"")</f>
        <v>11:50:2:6,</v>
      </c>
      <c r="AF113" s="35" t="str">
        <f t="shared" si="57"/>
        <v>12:50:2:6,</v>
      </c>
      <c r="AG113" s="35" t="str">
        <f t="shared" si="57"/>
        <v>13:20:20:50,</v>
      </c>
      <c r="AH113" s="35" t="str">
        <f t="shared" si="57"/>
        <v>14:20:2:5,</v>
      </c>
      <c r="AI113" s="35" t="str">
        <f t="shared" si="57"/>
        <v>15:10:80:150,</v>
      </c>
      <c r="AJ113" s="35" t="str">
        <f t="shared" si="57"/>
        <v>16:10:80:150,</v>
      </c>
      <c r="AK113" s="35" t="str">
        <f t="shared" si="57"/>
        <v>17:60:2:6,</v>
      </c>
      <c r="AL113" s="35" t="str">
        <f t="shared" si="57"/>
        <v>18:60:2:6,</v>
      </c>
      <c r="AM113" s="35" t="str">
        <f t="shared" si="57"/>
        <v/>
      </c>
      <c r="AN113" s="35" t="str">
        <f t="shared" si="57"/>
        <v/>
      </c>
    </row>
    <row r="114" spans="1:40">
      <c r="A114" s="4" t="str">
        <f t="shared" si="33"/>
        <v>61级绿武器攻速</v>
      </c>
      <c r="B114" s="4" t="s">
        <v>198</v>
      </c>
      <c r="C114" s="4" t="s">
        <v>117</v>
      </c>
      <c r="D114" s="4">
        <v>61</v>
      </c>
      <c r="E114" s="4" t="s">
        <v>18</v>
      </c>
      <c r="F114" s="4">
        <f>VLOOKUP(E114,基础属性ID!A:B,2,0)</f>
        <v>7</v>
      </c>
      <c r="G114" s="4">
        <f>VLOOKUP(E114,基础属性ID!$A:$E,5,0)</f>
        <v>20</v>
      </c>
      <c r="H114" s="4">
        <v>1</v>
      </c>
      <c r="I114" s="4">
        <v>1</v>
      </c>
      <c r="J114" s="4" t="str">
        <f t="shared" si="32"/>
        <v>7:20:1:1,</v>
      </c>
      <c r="M114" s="4" t="str">
        <f t="shared" si="34"/>
        <v>41级品质4项链</v>
      </c>
      <c r="N114" s="4" t="str">
        <f t="shared" si="35"/>
        <v>41级紫项链</v>
      </c>
      <c r="O114" s="33">
        <f t="shared" si="47"/>
        <v>52004</v>
      </c>
      <c r="P114" s="34" t="str">
        <f t="shared" si="36"/>
        <v>1:100:20:60,2:100:10:20,3:100:7:21,4:100:7:21,5:100:7:21,6:100:7:21,7:20:1:2,8:20:1:3,9:50:5:15,10:50:5:15,11:50:4:12,12:50:4:12,13:20:50:150,14:20:3:8,15:10:1:2,16:10:1:2,17:60:3:9,18:60:3:9</v>
      </c>
      <c r="Q114" s="4">
        <v>41</v>
      </c>
      <c r="R114" s="4" t="s">
        <v>215</v>
      </c>
      <c r="S114" s="4" t="str">
        <f>IF(T114=1,"绿",VLOOKUP(T114,{1,"白";2,"绿";3,"蓝";4,"紫";5,"橙";6,"红"},2,0))</f>
        <v>紫</v>
      </c>
      <c r="T114" s="4">
        <v>4</v>
      </c>
      <c r="U114" s="35" t="str">
        <f t="shared" si="56"/>
        <v>1:100:20:60,</v>
      </c>
      <c r="V114" s="35" t="str">
        <f t="shared" si="56"/>
        <v>2:100:10:20,</v>
      </c>
      <c r="W114" s="35" t="str">
        <f t="shared" si="56"/>
        <v>3:100:7:21,</v>
      </c>
      <c r="X114" s="35" t="str">
        <f t="shared" si="56"/>
        <v>4:100:7:21,</v>
      </c>
      <c r="Y114" s="35" t="str">
        <f t="shared" si="56"/>
        <v>5:100:7:21,</v>
      </c>
      <c r="Z114" s="35" t="str">
        <f t="shared" si="56"/>
        <v>6:100:7:21,</v>
      </c>
      <c r="AA114" s="35" t="str">
        <f t="shared" si="56"/>
        <v>7:20:1:2,</v>
      </c>
      <c r="AB114" s="35" t="str">
        <f t="shared" si="56"/>
        <v>8:20:1:3,</v>
      </c>
      <c r="AC114" s="35" t="str">
        <f t="shared" si="56"/>
        <v>9:50:5:15,</v>
      </c>
      <c r="AD114" s="35" t="str">
        <f t="shared" si="56"/>
        <v>10:50:5:15,</v>
      </c>
      <c r="AE114" s="35" t="str">
        <f t="shared" si="57"/>
        <v>11:50:4:12,</v>
      </c>
      <c r="AF114" s="35" t="str">
        <f t="shared" si="57"/>
        <v>12:50:4:12,</v>
      </c>
      <c r="AG114" s="35" t="str">
        <f t="shared" si="57"/>
        <v>13:20:50:150,</v>
      </c>
      <c r="AH114" s="35" t="str">
        <f t="shared" si="57"/>
        <v>14:20:3:8,</v>
      </c>
      <c r="AI114" s="35" t="str">
        <f t="shared" si="57"/>
        <v>15:10:1:2,</v>
      </c>
      <c r="AJ114" s="35" t="str">
        <f t="shared" si="57"/>
        <v>16:10:1:2,</v>
      </c>
      <c r="AK114" s="35" t="str">
        <f t="shared" si="57"/>
        <v>17:60:3:9,</v>
      </c>
      <c r="AL114" s="35" t="str">
        <f t="shared" si="57"/>
        <v>18:60:3:9,</v>
      </c>
      <c r="AM114" s="35" t="str">
        <f t="shared" si="57"/>
        <v/>
      </c>
      <c r="AN114" s="35" t="str">
        <f t="shared" si="57"/>
        <v/>
      </c>
    </row>
    <row r="115" spans="1:40">
      <c r="A115" s="4" t="str">
        <f t="shared" si="33"/>
        <v>61级绿武器幸运</v>
      </c>
      <c r="B115" s="4" t="s">
        <v>198</v>
      </c>
      <c r="C115" s="4" t="s">
        <v>117</v>
      </c>
      <c r="D115" s="4">
        <v>61</v>
      </c>
      <c r="E115" s="4" t="s">
        <v>19</v>
      </c>
      <c r="F115" s="4">
        <f>VLOOKUP(E115,基础属性ID!A:B,2,0)</f>
        <v>8</v>
      </c>
      <c r="G115" s="4">
        <f>VLOOKUP(E115,基础属性ID!$A:$E,5,0)</f>
        <v>20</v>
      </c>
      <c r="H115" s="4">
        <v>1</v>
      </c>
      <c r="I115" s="4">
        <v>1</v>
      </c>
      <c r="J115" s="4" t="str">
        <f t="shared" si="32"/>
        <v>8:20:1:1,</v>
      </c>
      <c r="M115" s="4" t="str">
        <f t="shared" si="34"/>
        <v>41级品质5项链</v>
      </c>
      <c r="N115" s="4" t="str">
        <f t="shared" si="35"/>
        <v>41级橙项链</v>
      </c>
      <c r="O115" s="33">
        <f t="shared" si="47"/>
        <v>52005</v>
      </c>
      <c r="P115" s="34" t="str">
        <f t="shared" si="36"/>
        <v>1:100:25:75,2:100:14:28,3:100:8:24,4:100:8:24,5:100:8:24,6:100:8:24,7:20:1:3,8:20:1:4,9:50:6:18,10:50:6:18,11:50:6:18,12:50:6:18,13:20:150:300,14:20:5:10,15:10:150:300,16:10:150:300,17:60:4:12,18:60:4:12</v>
      </c>
      <c r="Q115" s="4">
        <v>41</v>
      </c>
      <c r="R115" s="4" t="s">
        <v>215</v>
      </c>
      <c r="S115" s="4" t="str">
        <f>IF(T115=1,"绿",VLOOKUP(T115,{1,"白";2,"绿";3,"蓝";4,"紫";5,"橙";6,"红"},2,0))</f>
        <v>橙</v>
      </c>
      <c r="T115" s="4">
        <v>5</v>
      </c>
      <c r="U115" s="35" t="str">
        <f t="shared" si="56"/>
        <v>1:100:25:75,</v>
      </c>
      <c r="V115" s="35" t="str">
        <f t="shared" si="56"/>
        <v>2:100:14:28,</v>
      </c>
      <c r="W115" s="35" t="str">
        <f t="shared" si="56"/>
        <v>3:100:8:24,</v>
      </c>
      <c r="X115" s="35" t="str">
        <f t="shared" si="56"/>
        <v>4:100:8:24,</v>
      </c>
      <c r="Y115" s="35" t="str">
        <f t="shared" si="56"/>
        <v>5:100:8:24,</v>
      </c>
      <c r="Z115" s="35" t="str">
        <f t="shared" si="56"/>
        <v>6:100:8:24,</v>
      </c>
      <c r="AA115" s="35" t="str">
        <f t="shared" si="56"/>
        <v>7:20:1:3,</v>
      </c>
      <c r="AB115" s="35" t="str">
        <f t="shared" si="56"/>
        <v>8:20:1:4,</v>
      </c>
      <c r="AC115" s="35" t="str">
        <f t="shared" si="56"/>
        <v>9:50:6:18,</v>
      </c>
      <c r="AD115" s="35" t="str">
        <f t="shared" si="56"/>
        <v>10:50:6:18,</v>
      </c>
      <c r="AE115" s="35" t="str">
        <f t="shared" si="57"/>
        <v>11:50:6:18,</v>
      </c>
      <c r="AF115" s="35" t="str">
        <f t="shared" si="57"/>
        <v>12:50:6:18,</v>
      </c>
      <c r="AG115" s="35" t="str">
        <f t="shared" si="57"/>
        <v>13:20:150:300,</v>
      </c>
      <c r="AH115" s="35" t="str">
        <f t="shared" si="57"/>
        <v>14:20:5:10,</v>
      </c>
      <c r="AI115" s="35" t="str">
        <f t="shared" si="57"/>
        <v>15:10:150:300,</v>
      </c>
      <c r="AJ115" s="35" t="str">
        <f t="shared" si="57"/>
        <v>16:10:150:300,</v>
      </c>
      <c r="AK115" s="35" t="str">
        <f t="shared" si="57"/>
        <v>17:60:4:12,</v>
      </c>
      <c r="AL115" s="35" t="str">
        <f t="shared" si="57"/>
        <v>18:60:4:12,</v>
      </c>
      <c r="AM115" s="35" t="str">
        <f t="shared" si="57"/>
        <v/>
      </c>
      <c r="AN115" s="35" t="str">
        <f t="shared" si="57"/>
        <v/>
      </c>
    </row>
    <row r="116" spans="1:40">
      <c r="A116" s="4" t="str">
        <f t="shared" si="33"/>
        <v>61级绿武器固定伤害</v>
      </c>
      <c r="B116" s="4" t="s">
        <v>198</v>
      </c>
      <c r="C116" s="4" t="s">
        <v>117</v>
      </c>
      <c r="D116" s="4">
        <v>61</v>
      </c>
      <c r="E116" s="4" t="s">
        <v>24</v>
      </c>
      <c r="F116" s="4">
        <f>VLOOKUP(E116,基础属性ID!A:B,2,0)</f>
        <v>9</v>
      </c>
      <c r="G116" s="4">
        <f>VLOOKUP(E116,基础属性ID!$A:$E,5,0)</f>
        <v>50</v>
      </c>
      <c r="H116" s="4">
        <v>4</v>
      </c>
      <c r="I116" s="4">
        <f t="shared" ref="I116:I117" si="58">H116*3</f>
        <v>12</v>
      </c>
      <c r="J116" s="4" t="str">
        <f t="shared" si="32"/>
        <v>9:50:4:12,</v>
      </c>
      <c r="M116" s="4" t="str">
        <f t="shared" si="34"/>
        <v>41级品质6项链</v>
      </c>
      <c r="N116" s="4" t="str">
        <f t="shared" si="35"/>
        <v>41级红项链</v>
      </c>
      <c r="O116" s="33">
        <f t="shared" si="47"/>
        <v>52006</v>
      </c>
      <c r="P116" s="34" t="str">
        <f t="shared" si="36"/>
        <v>1:100:40:120,2:100:21:42,3:100:11:33,4:100:11:33,5:100:11:33,6:100:11:33,7:20:1:5,8:20:1:5,9:50:8:24,10:50:8:24,11:50:8:24,12:50:8:24,13:20:300:500,14:20:10:20,15:10:2:5,16:10:2:5,17:60:5:15,18:60:5:15</v>
      </c>
      <c r="Q116" s="4">
        <v>41</v>
      </c>
      <c r="R116" s="4" t="s">
        <v>215</v>
      </c>
      <c r="S116" s="4" t="str">
        <f>IF(T116=1,"绿",VLOOKUP(T116,{1,"白";2,"绿";3,"蓝";4,"紫";5,"橙";6,"红"},2,0))</f>
        <v>红</v>
      </c>
      <c r="T116" s="4">
        <v>6</v>
      </c>
      <c r="U116" s="35" t="str">
        <f t="shared" si="56"/>
        <v>1:100:40:120,</v>
      </c>
      <c r="V116" s="35" t="str">
        <f t="shared" si="56"/>
        <v>2:100:21:42,</v>
      </c>
      <c r="W116" s="35" t="str">
        <f t="shared" si="56"/>
        <v>3:100:11:33,</v>
      </c>
      <c r="X116" s="35" t="str">
        <f t="shared" si="56"/>
        <v>4:100:11:33,</v>
      </c>
      <c r="Y116" s="35" t="str">
        <f t="shared" si="56"/>
        <v>5:100:11:33,</v>
      </c>
      <c r="Z116" s="35" t="str">
        <f t="shared" si="56"/>
        <v>6:100:11:33,</v>
      </c>
      <c r="AA116" s="35" t="str">
        <f t="shared" si="56"/>
        <v>7:20:1:5,</v>
      </c>
      <c r="AB116" s="35" t="str">
        <f t="shared" si="56"/>
        <v>8:20:1:5,</v>
      </c>
      <c r="AC116" s="35" t="str">
        <f t="shared" si="56"/>
        <v>9:50:8:24,</v>
      </c>
      <c r="AD116" s="35" t="str">
        <f t="shared" si="56"/>
        <v>10:50:8:24,</v>
      </c>
      <c r="AE116" s="35" t="str">
        <f t="shared" si="57"/>
        <v>11:50:8:24,</v>
      </c>
      <c r="AF116" s="35" t="str">
        <f t="shared" si="57"/>
        <v>12:50:8:24,</v>
      </c>
      <c r="AG116" s="35" t="str">
        <f t="shared" si="57"/>
        <v>13:20:300:500,</v>
      </c>
      <c r="AH116" s="35" t="str">
        <f t="shared" si="57"/>
        <v>14:20:10:20,</v>
      </c>
      <c r="AI116" s="35" t="str">
        <f t="shared" si="57"/>
        <v>15:10:2:5,</v>
      </c>
      <c r="AJ116" s="35" t="str">
        <f t="shared" si="57"/>
        <v>16:10:2:5,</v>
      </c>
      <c r="AK116" s="35" t="str">
        <f t="shared" si="57"/>
        <v>17:60:5:15,</v>
      </c>
      <c r="AL116" s="35" t="str">
        <f t="shared" si="57"/>
        <v>18:60:5:15,</v>
      </c>
      <c r="AM116" s="35" t="str">
        <f t="shared" si="57"/>
        <v/>
      </c>
      <c r="AN116" s="35" t="str">
        <f t="shared" si="57"/>
        <v/>
      </c>
    </row>
    <row r="117" spans="1:40">
      <c r="A117" s="4" t="str">
        <f t="shared" si="33"/>
        <v>61级绿武器固定减伤</v>
      </c>
      <c r="B117" s="4" t="s">
        <v>198</v>
      </c>
      <c r="C117" s="4" t="s">
        <v>117</v>
      </c>
      <c r="D117" s="4">
        <v>61</v>
      </c>
      <c r="E117" s="4" t="s">
        <v>25</v>
      </c>
      <c r="F117" s="4">
        <f>VLOOKUP(E117,基础属性ID!A:B,2,0)</f>
        <v>10</v>
      </c>
      <c r="G117" s="4">
        <f>VLOOKUP(E117,基础属性ID!$A:$E,5,0)</f>
        <v>50</v>
      </c>
      <c r="H117" s="4">
        <v>4</v>
      </c>
      <c r="I117" s="4">
        <f t="shared" si="58"/>
        <v>12</v>
      </c>
      <c r="J117" s="4" t="str">
        <f t="shared" si="32"/>
        <v>10:50:4:12,</v>
      </c>
      <c r="M117" s="4" t="str">
        <f t="shared" si="34"/>
        <v>61级品质1项链</v>
      </c>
      <c r="N117" s="4" t="str">
        <f t="shared" si="35"/>
        <v>61级绿项链</v>
      </c>
      <c r="O117" s="33">
        <f t="shared" si="47"/>
        <v>53001</v>
      </c>
      <c r="P117" s="34" t="str">
        <f t="shared" si="36"/>
        <v>1:100:15:45,2:100:5:10,3:100:5:15,4:100:5:15,5:100:5:15,6:100:5:15,7:20:1:1,8:20:1:1,9:50:4:12,10:50:4:12,11:50:3:9,12:50:3:9,13:20:10:30,14:20:1:3,15:10:50:100,16:10:50:100,17:60:1:3,18:60:1:3</v>
      </c>
      <c r="Q117" s="4">
        <v>61</v>
      </c>
      <c r="R117" s="4" t="s">
        <v>215</v>
      </c>
      <c r="S117" s="4" t="str">
        <f>IF(T117=1,"绿",VLOOKUP(T117,{1,"白";2,"绿";3,"蓝";4,"紫";5,"橙";6,"红"},2,0))</f>
        <v>绿</v>
      </c>
      <c r="T117" s="4">
        <v>1</v>
      </c>
      <c r="U117" s="35" t="str">
        <f t="shared" si="56"/>
        <v>1:100:15:45,</v>
      </c>
      <c r="V117" s="35" t="str">
        <f t="shared" si="56"/>
        <v>2:100:5:10,</v>
      </c>
      <c r="W117" s="35" t="str">
        <f t="shared" si="56"/>
        <v>3:100:5:15,</v>
      </c>
      <c r="X117" s="35" t="str">
        <f t="shared" si="56"/>
        <v>4:100:5:15,</v>
      </c>
      <c r="Y117" s="35" t="str">
        <f t="shared" si="56"/>
        <v>5:100:5:15,</v>
      </c>
      <c r="Z117" s="35" t="str">
        <f t="shared" si="56"/>
        <v>6:100:5:15,</v>
      </c>
      <c r="AA117" s="35" t="str">
        <f t="shared" si="56"/>
        <v>7:20:1:1,</v>
      </c>
      <c r="AB117" s="35" t="str">
        <f t="shared" si="56"/>
        <v>8:20:1:1,</v>
      </c>
      <c r="AC117" s="35" t="str">
        <f t="shared" si="56"/>
        <v>9:50:4:12,</v>
      </c>
      <c r="AD117" s="35" t="str">
        <f t="shared" si="56"/>
        <v>10:50:4:12,</v>
      </c>
      <c r="AE117" s="35" t="str">
        <f t="shared" si="57"/>
        <v>11:50:3:9,</v>
      </c>
      <c r="AF117" s="35" t="str">
        <f t="shared" si="57"/>
        <v>12:50:3:9,</v>
      </c>
      <c r="AG117" s="35" t="str">
        <f t="shared" si="57"/>
        <v>13:20:10:30,</v>
      </c>
      <c r="AH117" s="35" t="str">
        <f t="shared" si="57"/>
        <v>14:20:1:3,</v>
      </c>
      <c r="AI117" s="35" t="str">
        <f t="shared" si="57"/>
        <v>15:10:50:100,</v>
      </c>
      <c r="AJ117" s="35" t="str">
        <f t="shared" si="57"/>
        <v>16:10:50:100,</v>
      </c>
      <c r="AK117" s="35" t="str">
        <f t="shared" si="57"/>
        <v>17:60:1:3,</v>
      </c>
      <c r="AL117" s="35" t="str">
        <f t="shared" si="57"/>
        <v>18:60:1:3,</v>
      </c>
      <c r="AM117" s="35" t="str">
        <f t="shared" si="57"/>
        <v/>
      </c>
      <c r="AN117" s="35" t="str">
        <f t="shared" si="57"/>
        <v/>
      </c>
    </row>
    <row r="118" spans="1:40">
      <c r="A118" s="4" t="str">
        <f t="shared" si="33"/>
        <v>61级绿武器生命吸取</v>
      </c>
      <c r="B118" s="4" t="s">
        <v>198</v>
      </c>
      <c r="C118" s="4" t="s">
        <v>117</v>
      </c>
      <c r="D118" s="4">
        <v>61</v>
      </c>
      <c r="E118" s="4" t="s">
        <v>28</v>
      </c>
      <c r="F118" s="4">
        <f>VLOOKUP(E118,基础属性ID!A:B,2,0)</f>
        <v>11</v>
      </c>
      <c r="G118" s="4">
        <f>VLOOKUP(E118,基础属性ID!$A:$E,5,0)</f>
        <v>50</v>
      </c>
      <c r="H118" s="4">
        <v>3</v>
      </c>
      <c r="I118" s="4">
        <f t="shared" ref="I118:I119" si="59">H118*3</f>
        <v>9</v>
      </c>
      <c r="J118" s="4" t="str">
        <f t="shared" si="32"/>
        <v>11:50:3:9,</v>
      </c>
      <c r="M118" s="4" t="str">
        <f t="shared" si="34"/>
        <v>61级品质2项链</v>
      </c>
      <c r="N118" s="4" t="str">
        <f t="shared" si="35"/>
        <v>61级绿项链</v>
      </c>
      <c r="O118" s="33">
        <f t="shared" si="47"/>
        <v>53002</v>
      </c>
      <c r="P118" s="34" t="str">
        <f t="shared" si="36"/>
        <v>1:100:15:45,2:100:5:10,3:100:5:15,4:100:5:15,5:100:5:15,6:100:5:15,7:20:1:1,8:20:1:1,9:50:4:12,10:50:4:12,11:50:3:9,12:50:3:9,13:20:10:30,14:20:1:3,15:10:50:100,16:10:50:100,17:60:1:3,18:60:1:3</v>
      </c>
      <c r="Q118" s="4">
        <v>61</v>
      </c>
      <c r="R118" s="4" t="s">
        <v>215</v>
      </c>
      <c r="S118" s="4" t="str">
        <f>IF(T118=1,"绿",VLOOKUP(T118,{1,"白";2,"绿";3,"蓝";4,"紫";5,"橙";6,"红"},2,0))</f>
        <v>绿</v>
      </c>
      <c r="T118" s="4">
        <v>2</v>
      </c>
      <c r="U118" s="35" t="str">
        <f t="shared" si="56"/>
        <v>1:100:15:45,</v>
      </c>
      <c r="V118" s="35" t="str">
        <f t="shared" si="56"/>
        <v>2:100:5:10,</v>
      </c>
      <c r="W118" s="35" t="str">
        <f t="shared" si="56"/>
        <v>3:100:5:15,</v>
      </c>
      <c r="X118" s="35" t="str">
        <f t="shared" si="56"/>
        <v>4:100:5:15,</v>
      </c>
      <c r="Y118" s="35" t="str">
        <f t="shared" si="56"/>
        <v>5:100:5:15,</v>
      </c>
      <c r="Z118" s="35" t="str">
        <f t="shared" si="56"/>
        <v>6:100:5:15,</v>
      </c>
      <c r="AA118" s="35" t="str">
        <f t="shared" si="56"/>
        <v>7:20:1:1,</v>
      </c>
      <c r="AB118" s="35" t="str">
        <f t="shared" si="56"/>
        <v>8:20:1:1,</v>
      </c>
      <c r="AC118" s="35" t="str">
        <f t="shared" si="56"/>
        <v>9:50:4:12,</v>
      </c>
      <c r="AD118" s="35" t="str">
        <f t="shared" si="56"/>
        <v>10:50:4:12,</v>
      </c>
      <c r="AE118" s="35" t="str">
        <f t="shared" si="57"/>
        <v>11:50:3:9,</v>
      </c>
      <c r="AF118" s="35" t="str">
        <f t="shared" si="57"/>
        <v>12:50:3:9,</v>
      </c>
      <c r="AG118" s="35" t="str">
        <f t="shared" si="57"/>
        <v>13:20:10:30,</v>
      </c>
      <c r="AH118" s="35" t="str">
        <f t="shared" si="57"/>
        <v>14:20:1:3,</v>
      </c>
      <c r="AI118" s="35" t="str">
        <f t="shared" si="57"/>
        <v>15:10:50:100,</v>
      </c>
      <c r="AJ118" s="35" t="str">
        <f t="shared" si="57"/>
        <v>16:10:50:100,</v>
      </c>
      <c r="AK118" s="35" t="str">
        <f t="shared" si="57"/>
        <v>17:60:1:3,</v>
      </c>
      <c r="AL118" s="35" t="str">
        <f t="shared" si="57"/>
        <v>18:60:1:3,</v>
      </c>
      <c r="AM118" s="35" t="str">
        <f t="shared" si="57"/>
        <v/>
      </c>
      <c r="AN118" s="35" t="str">
        <f t="shared" si="57"/>
        <v/>
      </c>
    </row>
    <row r="119" spans="1:40">
      <c r="A119" s="4" t="str">
        <f t="shared" si="33"/>
        <v>61级绿武器法力吸取</v>
      </c>
      <c r="B119" s="4" t="s">
        <v>198</v>
      </c>
      <c r="C119" s="4" t="s">
        <v>117</v>
      </c>
      <c r="D119" s="4">
        <v>61</v>
      </c>
      <c r="E119" s="4" t="s">
        <v>29</v>
      </c>
      <c r="F119" s="4">
        <f>VLOOKUP(E119,基础属性ID!A:B,2,0)</f>
        <v>12</v>
      </c>
      <c r="G119" s="4">
        <f>VLOOKUP(E119,基础属性ID!$A:$E,5,0)</f>
        <v>50</v>
      </c>
      <c r="H119" s="4">
        <v>3</v>
      </c>
      <c r="I119" s="4">
        <f t="shared" si="59"/>
        <v>9</v>
      </c>
      <c r="J119" s="4" t="str">
        <f t="shared" si="32"/>
        <v>12:50:3:9,</v>
      </c>
      <c r="M119" s="4" t="str">
        <f t="shared" si="34"/>
        <v>61级品质3项链</v>
      </c>
      <c r="N119" s="4" t="str">
        <f t="shared" si="35"/>
        <v>61级蓝项链</v>
      </c>
      <c r="O119" s="33">
        <f t="shared" si="47"/>
        <v>53003</v>
      </c>
      <c r="P119" s="34" t="str">
        <f t="shared" si="36"/>
        <v>1:100:20:60,2:100:6:12,3:100:6:18,4:100:6:18,5:100:6:18,6:100:6:18,7:20:1:1,8:20:1:2,9:50:5:15,10:50:5:15,11:50:4:12,12:50:4:12,13:20:20:50,14:20:2:5,15:10:80:150,16:10:80:150,17:60:2:6,18:60:2:6</v>
      </c>
      <c r="Q119" s="4">
        <v>61</v>
      </c>
      <c r="R119" s="4" t="s">
        <v>215</v>
      </c>
      <c r="S119" s="4" t="str">
        <f>IF(T119=1,"绿",VLOOKUP(T119,{1,"白";2,"绿";3,"蓝";4,"紫";5,"橙";6,"红"},2,0))</f>
        <v>蓝</v>
      </c>
      <c r="T119" s="4">
        <v>3</v>
      </c>
      <c r="U119" s="35" t="str">
        <f t="shared" si="56"/>
        <v>1:100:20:60,</v>
      </c>
      <c r="V119" s="35" t="str">
        <f t="shared" si="56"/>
        <v>2:100:6:12,</v>
      </c>
      <c r="W119" s="35" t="str">
        <f t="shared" si="56"/>
        <v>3:100:6:18,</v>
      </c>
      <c r="X119" s="35" t="str">
        <f t="shared" si="56"/>
        <v>4:100:6:18,</v>
      </c>
      <c r="Y119" s="35" t="str">
        <f t="shared" si="56"/>
        <v>5:100:6:18,</v>
      </c>
      <c r="Z119" s="35" t="str">
        <f t="shared" si="56"/>
        <v>6:100:6:18,</v>
      </c>
      <c r="AA119" s="35" t="str">
        <f t="shared" si="56"/>
        <v>7:20:1:1,</v>
      </c>
      <c r="AB119" s="35" t="str">
        <f t="shared" si="56"/>
        <v>8:20:1:2,</v>
      </c>
      <c r="AC119" s="35" t="str">
        <f t="shared" si="56"/>
        <v>9:50:5:15,</v>
      </c>
      <c r="AD119" s="35" t="str">
        <f t="shared" si="56"/>
        <v>10:50:5:15,</v>
      </c>
      <c r="AE119" s="35" t="str">
        <f t="shared" si="57"/>
        <v>11:50:4:12,</v>
      </c>
      <c r="AF119" s="35" t="str">
        <f t="shared" si="57"/>
        <v>12:50:4:12,</v>
      </c>
      <c r="AG119" s="35" t="str">
        <f t="shared" si="57"/>
        <v>13:20:20:50,</v>
      </c>
      <c r="AH119" s="35" t="str">
        <f t="shared" si="57"/>
        <v>14:20:2:5,</v>
      </c>
      <c r="AI119" s="35" t="str">
        <f t="shared" si="57"/>
        <v>15:10:80:150,</v>
      </c>
      <c r="AJ119" s="35" t="str">
        <f t="shared" si="57"/>
        <v>16:10:80:150,</v>
      </c>
      <c r="AK119" s="35" t="str">
        <f t="shared" si="57"/>
        <v>17:60:2:6,</v>
      </c>
      <c r="AL119" s="35" t="str">
        <f t="shared" si="57"/>
        <v>18:60:2:6,</v>
      </c>
      <c r="AM119" s="35" t="str">
        <f t="shared" si="57"/>
        <v/>
      </c>
      <c r="AN119" s="35" t="str">
        <f t="shared" si="57"/>
        <v/>
      </c>
    </row>
    <row r="120" spans="1:40">
      <c r="A120" s="4" t="str">
        <f t="shared" si="33"/>
        <v>61级绿武器暴击几率</v>
      </c>
      <c r="B120" s="4" t="s">
        <v>198</v>
      </c>
      <c r="C120" s="4" t="s">
        <v>117</v>
      </c>
      <c r="D120" s="4">
        <v>61</v>
      </c>
      <c r="E120" s="4" t="s">
        <v>21</v>
      </c>
      <c r="F120" s="4">
        <f>VLOOKUP(E120,基础属性ID!A:B,2,0)</f>
        <v>13</v>
      </c>
      <c r="G120" s="4">
        <f>VLOOKUP(E120,基础属性ID!$A:$E,5,0)</f>
        <v>20</v>
      </c>
      <c r="H120" s="4">
        <v>10</v>
      </c>
      <c r="I120" s="4">
        <v>30</v>
      </c>
      <c r="J120" s="4" t="str">
        <f t="shared" si="32"/>
        <v>13:20:10:30,</v>
      </c>
      <c r="M120" s="4" t="str">
        <f t="shared" si="34"/>
        <v>61级品质4项链</v>
      </c>
      <c r="N120" s="4" t="str">
        <f t="shared" si="35"/>
        <v>61级紫项链</v>
      </c>
      <c r="O120" s="33">
        <f t="shared" si="47"/>
        <v>53004</v>
      </c>
      <c r="P120" s="34" t="str">
        <f t="shared" si="36"/>
        <v>1:100:30:90,2:100:12:25,3:100:10:30,4:100:10:30,5:100:10:30,6:100:10:30,7:20:1:2,8:20:1:3,9:50:6:18,10:50:6:18,11:50:5:15,12:50:5:15,13:20:50:150,14:20:3:8,15:10:1:2,16:10:1:2,17:60:3:9,18:60:3:9</v>
      </c>
      <c r="Q120" s="4">
        <v>61</v>
      </c>
      <c r="R120" s="4" t="s">
        <v>215</v>
      </c>
      <c r="S120" s="4" t="str">
        <f>IF(T120=1,"绿",VLOOKUP(T120,{1,"白";2,"绿";3,"蓝";4,"紫";5,"橙";6,"红"},2,0))</f>
        <v>紫</v>
      </c>
      <c r="T120" s="4">
        <v>4</v>
      </c>
      <c r="U120" s="35" t="str">
        <f t="shared" si="56"/>
        <v>1:100:30:90,</v>
      </c>
      <c r="V120" s="35" t="str">
        <f t="shared" si="56"/>
        <v>2:100:12:25,</v>
      </c>
      <c r="W120" s="35" t="str">
        <f t="shared" si="56"/>
        <v>3:100:10:30,</v>
      </c>
      <c r="X120" s="35" t="str">
        <f t="shared" si="56"/>
        <v>4:100:10:30,</v>
      </c>
      <c r="Y120" s="35" t="str">
        <f t="shared" si="56"/>
        <v>5:100:10:30,</v>
      </c>
      <c r="Z120" s="35" t="str">
        <f t="shared" si="56"/>
        <v>6:100:10:30,</v>
      </c>
      <c r="AA120" s="35" t="str">
        <f t="shared" si="56"/>
        <v>7:20:1:2,</v>
      </c>
      <c r="AB120" s="35" t="str">
        <f t="shared" si="56"/>
        <v>8:20:1:3,</v>
      </c>
      <c r="AC120" s="35" t="str">
        <f t="shared" si="56"/>
        <v>9:50:6:18,</v>
      </c>
      <c r="AD120" s="35" t="str">
        <f t="shared" si="56"/>
        <v>10:50:6:18,</v>
      </c>
      <c r="AE120" s="35" t="str">
        <f t="shared" si="57"/>
        <v>11:50:5:15,</v>
      </c>
      <c r="AF120" s="35" t="str">
        <f t="shared" si="57"/>
        <v>12:50:5:15,</v>
      </c>
      <c r="AG120" s="35" t="str">
        <f t="shared" si="57"/>
        <v>13:20:50:150,</v>
      </c>
      <c r="AH120" s="35" t="str">
        <f t="shared" si="57"/>
        <v>14:20:3:8,</v>
      </c>
      <c r="AI120" s="35" t="str">
        <f t="shared" si="57"/>
        <v>15:10:1:2,</v>
      </c>
      <c r="AJ120" s="35" t="str">
        <f t="shared" si="57"/>
        <v>16:10:1:2,</v>
      </c>
      <c r="AK120" s="35" t="str">
        <f t="shared" si="57"/>
        <v>17:60:3:9,</v>
      </c>
      <c r="AL120" s="35" t="str">
        <f t="shared" si="57"/>
        <v>18:60:3:9,</v>
      </c>
      <c r="AM120" s="35" t="str">
        <f t="shared" si="57"/>
        <v/>
      </c>
      <c r="AN120" s="35" t="str">
        <f t="shared" si="57"/>
        <v/>
      </c>
    </row>
    <row r="121" spans="1:40">
      <c r="A121" s="4" t="str">
        <f t="shared" si="33"/>
        <v>61级绿武器爆击伤害</v>
      </c>
      <c r="B121" s="4" t="s">
        <v>198</v>
      </c>
      <c r="C121" s="4" t="s">
        <v>117</v>
      </c>
      <c r="D121" s="4">
        <v>61</v>
      </c>
      <c r="E121" s="4" t="s">
        <v>76</v>
      </c>
      <c r="F121" s="4">
        <f>VLOOKUP(E121,基础属性ID!A:B,2,0)</f>
        <v>14</v>
      </c>
      <c r="G121" s="4">
        <f>VLOOKUP(E121,基础属性ID!$A:$E,5,0)</f>
        <v>20</v>
      </c>
      <c r="H121" s="4">
        <v>1</v>
      </c>
      <c r="I121" s="4">
        <v>3</v>
      </c>
      <c r="J121" s="4" t="str">
        <f t="shared" si="32"/>
        <v>14:20:1:3,</v>
      </c>
      <c r="M121" s="4" t="str">
        <f t="shared" si="34"/>
        <v>61级品质5项链</v>
      </c>
      <c r="N121" s="4" t="str">
        <f t="shared" si="35"/>
        <v>61级橙项链</v>
      </c>
      <c r="O121" s="33">
        <f t="shared" si="47"/>
        <v>53005</v>
      </c>
      <c r="P121" s="34" t="str">
        <f t="shared" si="36"/>
        <v>1:100:40:120,2:100:16:32,3:100:12:36,4:100:12:36,5:100:12:36,6:100:12:36,7:20:1:3,8:20:1:4,9:50:7:21,10:50:7:21,11:50:8:24,12:50:8:24,13:20:150:300,14:20:5:10,15:10:150:300,16:10:150:300,17:60:4:12,18:60:4:12</v>
      </c>
      <c r="Q121" s="4">
        <v>61</v>
      </c>
      <c r="R121" s="4" t="s">
        <v>215</v>
      </c>
      <c r="S121" s="4" t="str">
        <f>IF(T121=1,"绿",VLOOKUP(T121,{1,"白";2,"绿";3,"蓝";4,"紫";5,"橙";6,"红"},2,0))</f>
        <v>橙</v>
      </c>
      <c r="T121" s="4">
        <v>5</v>
      </c>
      <c r="U121" s="35" t="str">
        <f t="shared" si="56"/>
        <v>1:100:40:120,</v>
      </c>
      <c r="V121" s="35" t="str">
        <f t="shared" si="56"/>
        <v>2:100:16:32,</v>
      </c>
      <c r="W121" s="35" t="str">
        <f t="shared" si="56"/>
        <v>3:100:12:36,</v>
      </c>
      <c r="X121" s="35" t="str">
        <f t="shared" si="56"/>
        <v>4:100:12:36,</v>
      </c>
      <c r="Y121" s="35" t="str">
        <f t="shared" si="56"/>
        <v>5:100:12:36,</v>
      </c>
      <c r="Z121" s="35" t="str">
        <f t="shared" si="56"/>
        <v>6:100:12:36,</v>
      </c>
      <c r="AA121" s="35" t="str">
        <f t="shared" si="56"/>
        <v>7:20:1:3,</v>
      </c>
      <c r="AB121" s="35" t="str">
        <f t="shared" si="56"/>
        <v>8:20:1:4,</v>
      </c>
      <c r="AC121" s="35" t="str">
        <f t="shared" si="56"/>
        <v>9:50:7:21,</v>
      </c>
      <c r="AD121" s="35" t="str">
        <f t="shared" si="56"/>
        <v>10:50:7:21,</v>
      </c>
      <c r="AE121" s="35" t="str">
        <f t="shared" si="57"/>
        <v>11:50:8:24,</v>
      </c>
      <c r="AF121" s="35" t="str">
        <f t="shared" si="57"/>
        <v>12:50:8:24,</v>
      </c>
      <c r="AG121" s="35" t="str">
        <f t="shared" si="57"/>
        <v>13:20:150:300,</v>
      </c>
      <c r="AH121" s="35" t="str">
        <f t="shared" si="57"/>
        <v>14:20:5:10,</v>
      </c>
      <c r="AI121" s="35" t="str">
        <f t="shared" si="57"/>
        <v>15:10:150:300,</v>
      </c>
      <c r="AJ121" s="35" t="str">
        <f t="shared" si="57"/>
        <v>16:10:150:300,</v>
      </c>
      <c r="AK121" s="35" t="str">
        <f t="shared" si="57"/>
        <v>17:60:4:12,</v>
      </c>
      <c r="AL121" s="35" t="str">
        <f t="shared" si="57"/>
        <v>18:60:4:12,</v>
      </c>
      <c r="AM121" s="35" t="str">
        <f t="shared" si="57"/>
        <v/>
      </c>
      <c r="AN121" s="35" t="str">
        <f t="shared" si="57"/>
        <v/>
      </c>
    </row>
    <row r="122" spans="1:40">
      <c r="A122" s="4" t="str">
        <f t="shared" si="33"/>
        <v>61级绿武器伤害增加</v>
      </c>
      <c r="B122" s="4" t="s">
        <v>198</v>
      </c>
      <c r="C122" s="4" t="s">
        <v>117</v>
      </c>
      <c r="D122" s="4">
        <v>61</v>
      </c>
      <c r="E122" s="4" t="s">
        <v>26</v>
      </c>
      <c r="F122" s="4">
        <f>VLOOKUP(E122,基础属性ID!A:B,2,0)</f>
        <v>15</v>
      </c>
      <c r="G122" s="4">
        <f>VLOOKUP(E122,基础属性ID!$A:$E,5,0)</f>
        <v>10</v>
      </c>
      <c r="H122" s="4">
        <v>50</v>
      </c>
      <c r="I122" s="4">
        <v>100</v>
      </c>
      <c r="J122" s="4" t="str">
        <f t="shared" si="32"/>
        <v>15:10:50:100,</v>
      </c>
      <c r="M122" s="4" t="str">
        <f t="shared" si="34"/>
        <v>61级品质6项链</v>
      </c>
      <c r="N122" s="4" t="str">
        <f t="shared" si="35"/>
        <v>61级红项链</v>
      </c>
      <c r="O122" s="33">
        <f t="shared" si="47"/>
        <v>53006</v>
      </c>
      <c r="P122" s="34" t="str">
        <f t="shared" si="36"/>
        <v>1:100:60:180,2:100:24:48,3:100:15:45,4:100:15:45,5:100:15:45,6:100:15:45,7:20:1:5,8:20:1:5,9:50:10:30,10:50:10:30,11:50:10:30,12:50:10:30,13:20:300:500,14:20:10:20,15:10:2:5,16:10:2:5,17:60:5:15,18:60:5:15</v>
      </c>
      <c r="Q122" s="4">
        <v>61</v>
      </c>
      <c r="R122" s="4" t="s">
        <v>215</v>
      </c>
      <c r="S122" s="4" t="str">
        <f>IF(T122=1,"绿",VLOOKUP(T122,{1,"白";2,"绿";3,"蓝";4,"紫";5,"橙";6,"红"},2,0))</f>
        <v>红</v>
      </c>
      <c r="T122" s="4">
        <v>6</v>
      </c>
      <c r="U122" s="35" t="str">
        <f t="shared" si="56"/>
        <v>1:100:60:180,</v>
      </c>
      <c r="V122" s="35" t="str">
        <f t="shared" si="56"/>
        <v>2:100:24:48,</v>
      </c>
      <c r="W122" s="35" t="str">
        <f t="shared" si="56"/>
        <v>3:100:15:45,</v>
      </c>
      <c r="X122" s="35" t="str">
        <f t="shared" si="56"/>
        <v>4:100:15:45,</v>
      </c>
      <c r="Y122" s="35" t="str">
        <f t="shared" si="56"/>
        <v>5:100:15:45,</v>
      </c>
      <c r="Z122" s="35" t="str">
        <f t="shared" si="56"/>
        <v>6:100:15:45,</v>
      </c>
      <c r="AA122" s="35" t="str">
        <f t="shared" si="56"/>
        <v>7:20:1:5,</v>
      </c>
      <c r="AB122" s="35" t="str">
        <f t="shared" si="56"/>
        <v>8:20:1:5,</v>
      </c>
      <c r="AC122" s="35" t="str">
        <f t="shared" si="56"/>
        <v>9:50:10:30,</v>
      </c>
      <c r="AD122" s="35" t="str">
        <f t="shared" si="56"/>
        <v>10:50:10:30,</v>
      </c>
      <c r="AE122" s="35" t="str">
        <f t="shared" si="57"/>
        <v>11:50:10:30,</v>
      </c>
      <c r="AF122" s="35" t="str">
        <f t="shared" si="57"/>
        <v>12:50:10:30,</v>
      </c>
      <c r="AG122" s="35" t="str">
        <f t="shared" si="57"/>
        <v>13:20:300:500,</v>
      </c>
      <c r="AH122" s="35" t="str">
        <f t="shared" si="57"/>
        <v>14:20:10:20,</v>
      </c>
      <c r="AI122" s="35" t="str">
        <f t="shared" si="57"/>
        <v>15:10:2:5,</v>
      </c>
      <c r="AJ122" s="35" t="str">
        <f t="shared" si="57"/>
        <v>16:10:2:5,</v>
      </c>
      <c r="AK122" s="35" t="str">
        <f t="shared" si="57"/>
        <v>17:60:5:15,</v>
      </c>
      <c r="AL122" s="35" t="str">
        <f t="shared" si="57"/>
        <v>18:60:5:15,</v>
      </c>
      <c r="AM122" s="35" t="str">
        <f t="shared" si="57"/>
        <v/>
      </c>
      <c r="AN122" s="35" t="str">
        <f t="shared" si="57"/>
        <v/>
      </c>
    </row>
    <row r="123" spans="1:10">
      <c r="A123" s="4" t="str">
        <f t="shared" si="33"/>
        <v>61级绿武器伤害减免</v>
      </c>
      <c r="B123" s="4" t="s">
        <v>198</v>
      </c>
      <c r="C123" s="4" t="s">
        <v>117</v>
      </c>
      <c r="D123" s="4">
        <v>61</v>
      </c>
      <c r="E123" s="4" t="s">
        <v>27</v>
      </c>
      <c r="F123" s="4">
        <f>VLOOKUP(E123,基础属性ID!A:B,2,0)</f>
        <v>16</v>
      </c>
      <c r="G123" s="4">
        <f>VLOOKUP(E123,基础属性ID!$A:$E,5,0)</f>
        <v>10</v>
      </c>
      <c r="H123" s="4">
        <v>50</v>
      </c>
      <c r="I123" s="4">
        <v>100</v>
      </c>
      <c r="J123" s="4" t="str">
        <f t="shared" si="32"/>
        <v>16:10:50:100,</v>
      </c>
    </row>
    <row r="124" spans="1:10">
      <c r="A124" s="4" t="str">
        <f t="shared" si="33"/>
        <v>61级绿武器装备掉率</v>
      </c>
      <c r="B124" s="4" t="s">
        <v>198</v>
      </c>
      <c r="C124" s="4" t="s">
        <v>117</v>
      </c>
      <c r="D124" s="4">
        <v>61</v>
      </c>
      <c r="E124" s="4" t="s">
        <v>30</v>
      </c>
      <c r="F124" s="4">
        <f>VLOOKUP(E124,基础属性ID!A:B,2,0)</f>
        <v>17</v>
      </c>
      <c r="G124" s="4">
        <f>VLOOKUP(E124,基础属性ID!$A:$E,5,0)</f>
        <v>60</v>
      </c>
      <c r="H124" s="4">
        <v>1</v>
      </c>
      <c r="I124" s="4">
        <f t="shared" ref="I124:I126" si="60">H124*3</f>
        <v>3</v>
      </c>
      <c r="J124" s="4" t="str">
        <f t="shared" si="32"/>
        <v>17:60:1:3,</v>
      </c>
    </row>
    <row r="125" spans="1:10">
      <c r="A125" s="4" t="str">
        <f t="shared" si="33"/>
        <v>61级绿武器极品掉率</v>
      </c>
      <c r="B125" s="4" t="s">
        <v>198</v>
      </c>
      <c r="C125" s="4" t="s">
        <v>117</v>
      </c>
      <c r="D125" s="4">
        <v>61</v>
      </c>
      <c r="E125" s="4" t="s">
        <v>31</v>
      </c>
      <c r="F125" s="4">
        <f>VLOOKUP(E125,基础属性ID!A:B,2,0)</f>
        <v>18</v>
      </c>
      <c r="G125" s="4">
        <f>VLOOKUP(E125,基础属性ID!$A:$E,5,0)</f>
        <v>60</v>
      </c>
      <c r="H125" s="4">
        <v>1</v>
      </c>
      <c r="I125" s="4">
        <f t="shared" si="60"/>
        <v>3</v>
      </c>
      <c r="J125" s="4" t="str">
        <f t="shared" si="32"/>
        <v>18:60:1:3,</v>
      </c>
    </row>
    <row r="126" spans="1:10">
      <c r="A126" s="4" t="str">
        <f t="shared" si="33"/>
        <v>21级绿护甲生命值</v>
      </c>
      <c r="B126" s="4" t="s">
        <v>203</v>
      </c>
      <c r="C126" s="4" t="s">
        <v>117</v>
      </c>
      <c r="D126" s="4">
        <v>21</v>
      </c>
      <c r="E126" s="4" t="s">
        <v>74</v>
      </c>
      <c r="F126" s="4">
        <f>VLOOKUP(E126,基础属性ID!A:B,2,0)</f>
        <v>1</v>
      </c>
      <c r="G126" s="4">
        <f>VLOOKUP(E126,基础属性ID!$A:$E,5,0)</f>
        <v>100</v>
      </c>
      <c r="H126" s="4">
        <v>5</v>
      </c>
      <c r="I126" s="4">
        <f t="shared" si="60"/>
        <v>15</v>
      </c>
      <c r="J126" s="4" t="str">
        <f t="shared" si="32"/>
        <v>1:100:5:15,</v>
      </c>
    </row>
    <row r="127" spans="1:10">
      <c r="A127" s="4" t="str">
        <f t="shared" si="33"/>
        <v>21级绿护甲法力值</v>
      </c>
      <c r="B127" s="4" t="s">
        <v>203</v>
      </c>
      <c r="C127" s="4" t="s">
        <v>117</v>
      </c>
      <c r="D127" s="4">
        <v>21</v>
      </c>
      <c r="E127" s="4" t="s">
        <v>75</v>
      </c>
      <c r="F127" s="4">
        <f>VLOOKUP(E127,基础属性ID!A:B,2,0)</f>
        <v>2</v>
      </c>
      <c r="G127" s="4">
        <f>VLOOKUP(E127,基础属性ID!$A:$E,5,0)</f>
        <v>100</v>
      </c>
      <c r="H127" s="4">
        <v>3</v>
      </c>
      <c r="I127" s="4">
        <v>6</v>
      </c>
      <c r="J127" s="4" t="str">
        <f t="shared" si="32"/>
        <v>2:100:3:6,</v>
      </c>
    </row>
    <row r="128" spans="1:10">
      <c r="A128" s="4" t="str">
        <f t="shared" si="33"/>
        <v>21级绿护甲物理攻击</v>
      </c>
      <c r="B128" s="4" t="s">
        <v>203</v>
      </c>
      <c r="C128" s="4" t="s">
        <v>117</v>
      </c>
      <c r="D128" s="4">
        <v>21</v>
      </c>
      <c r="E128" s="4" t="s">
        <v>13</v>
      </c>
      <c r="F128" s="4">
        <f>VLOOKUP(E128,基础属性ID!A:B,2,0)</f>
        <v>3</v>
      </c>
      <c r="G128" s="4">
        <f>VLOOKUP(E128,基础属性ID!$A:$E,5,0)</f>
        <v>100</v>
      </c>
      <c r="H128" s="4">
        <v>2</v>
      </c>
      <c r="I128" s="4">
        <f t="shared" ref="I128:I131" si="61">H128*3</f>
        <v>6</v>
      </c>
      <c r="J128" s="4" t="str">
        <f t="shared" si="32"/>
        <v>3:100:2:6,</v>
      </c>
    </row>
    <row r="129" spans="1:10">
      <c r="A129" s="4" t="str">
        <f t="shared" si="33"/>
        <v>21级绿护甲魔法攻击</v>
      </c>
      <c r="B129" s="4" t="s">
        <v>203</v>
      </c>
      <c r="C129" s="4" t="s">
        <v>117</v>
      </c>
      <c r="D129" s="4">
        <v>21</v>
      </c>
      <c r="E129" s="4" t="s">
        <v>14</v>
      </c>
      <c r="F129" s="4">
        <f>VLOOKUP(E129,基础属性ID!A:B,2,0)</f>
        <v>4</v>
      </c>
      <c r="G129" s="4">
        <f>VLOOKUP(E129,基础属性ID!$A:$E,5,0)</f>
        <v>100</v>
      </c>
      <c r="H129" s="4">
        <v>2</v>
      </c>
      <c r="I129" s="4">
        <f t="shared" si="61"/>
        <v>6</v>
      </c>
      <c r="J129" s="4" t="str">
        <f t="shared" si="32"/>
        <v>4:100:2:6,</v>
      </c>
    </row>
    <row r="130" spans="1:10">
      <c r="A130" s="4" t="str">
        <f t="shared" si="33"/>
        <v>21级绿护甲道术攻击</v>
      </c>
      <c r="B130" s="4" t="s">
        <v>203</v>
      </c>
      <c r="C130" s="4" t="s">
        <v>117</v>
      </c>
      <c r="D130" s="4">
        <v>21</v>
      </c>
      <c r="E130" s="4" t="s">
        <v>15</v>
      </c>
      <c r="F130" s="4">
        <f>VLOOKUP(E130,基础属性ID!A:B,2,0)</f>
        <v>5</v>
      </c>
      <c r="G130" s="4">
        <f>VLOOKUP(E130,基础属性ID!$A:$E,5,0)</f>
        <v>100</v>
      </c>
      <c r="H130" s="4">
        <v>2</v>
      </c>
      <c r="I130" s="4">
        <f t="shared" si="61"/>
        <v>6</v>
      </c>
      <c r="J130" s="4" t="str">
        <f t="shared" ref="J130:J190" si="62">F130&amp;":"&amp;G130&amp;":"&amp;H130&amp;":"&amp;I130&amp;","</f>
        <v>5:100:2:6,</v>
      </c>
    </row>
    <row r="131" spans="1:10">
      <c r="A131" s="4" t="str">
        <f t="shared" ref="A131:A194" si="63">D131&amp;"级"&amp;C131&amp;B131&amp;E131</f>
        <v>21级绿护甲防御</v>
      </c>
      <c r="B131" s="4" t="s">
        <v>203</v>
      </c>
      <c r="C131" s="4" t="s">
        <v>117</v>
      </c>
      <c r="D131" s="4">
        <v>21</v>
      </c>
      <c r="E131" s="4" t="s">
        <v>17</v>
      </c>
      <c r="F131" s="4">
        <f>VLOOKUP(E131,基础属性ID!A:B,2,0)</f>
        <v>6</v>
      </c>
      <c r="G131" s="4">
        <f>VLOOKUP(E131,基础属性ID!$A:$E,5,0)</f>
        <v>100</v>
      </c>
      <c r="H131" s="4">
        <v>2</v>
      </c>
      <c r="I131" s="4">
        <f t="shared" si="61"/>
        <v>6</v>
      </c>
      <c r="J131" s="4" t="str">
        <f t="shared" si="62"/>
        <v>6:100:2:6,</v>
      </c>
    </row>
    <row r="132" spans="1:10">
      <c r="A132" s="4" t="str">
        <f t="shared" si="63"/>
        <v>21级绿护甲攻速</v>
      </c>
      <c r="B132" s="4" t="s">
        <v>203</v>
      </c>
      <c r="C132" s="4" t="s">
        <v>117</v>
      </c>
      <c r="D132" s="4">
        <v>21</v>
      </c>
      <c r="E132" s="4" t="s">
        <v>18</v>
      </c>
      <c r="F132" s="4">
        <f>VLOOKUP(E132,基础属性ID!A:B,2,0)</f>
        <v>7</v>
      </c>
      <c r="G132" s="4">
        <f>VLOOKUP(E132,基础属性ID!$A:$E,5,0)</f>
        <v>20</v>
      </c>
      <c r="H132" s="4">
        <v>1</v>
      </c>
      <c r="I132" s="4">
        <v>1</v>
      </c>
      <c r="J132" s="4" t="str">
        <f t="shared" si="62"/>
        <v>7:20:1:1,</v>
      </c>
    </row>
    <row r="133" spans="1:10">
      <c r="A133" s="4" t="str">
        <f t="shared" si="63"/>
        <v>21级绿护甲固定伤害</v>
      </c>
      <c r="B133" s="4" t="s">
        <v>203</v>
      </c>
      <c r="C133" s="4" t="s">
        <v>117</v>
      </c>
      <c r="D133" s="4">
        <v>21</v>
      </c>
      <c r="E133" s="4" t="s">
        <v>24</v>
      </c>
      <c r="F133" s="4">
        <f>VLOOKUP(E133,基础属性ID!A:B,2,0)</f>
        <v>9</v>
      </c>
      <c r="G133" s="4">
        <f>VLOOKUP(E133,基础属性ID!$A:$E,5,0)</f>
        <v>50</v>
      </c>
      <c r="H133" s="4">
        <v>2</v>
      </c>
      <c r="I133" s="4">
        <f t="shared" ref="I133:I134" si="64">H133*3</f>
        <v>6</v>
      </c>
      <c r="J133" s="4" t="str">
        <f t="shared" si="62"/>
        <v>9:50:2:6,</v>
      </c>
    </row>
    <row r="134" spans="1:10">
      <c r="A134" s="4" t="str">
        <f t="shared" si="63"/>
        <v>21级绿护甲固定减伤</v>
      </c>
      <c r="B134" s="4" t="s">
        <v>203</v>
      </c>
      <c r="C134" s="4" t="s">
        <v>117</v>
      </c>
      <c r="D134" s="4">
        <v>21</v>
      </c>
      <c r="E134" s="4" t="s">
        <v>25</v>
      </c>
      <c r="F134" s="4">
        <f>VLOOKUP(E134,基础属性ID!A:B,2,0)</f>
        <v>10</v>
      </c>
      <c r="G134" s="4">
        <f>VLOOKUP(E134,基础属性ID!$A:$E,5,0)</f>
        <v>50</v>
      </c>
      <c r="H134" s="4">
        <v>2</v>
      </c>
      <c r="I134" s="4">
        <f t="shared" si="64"/>
        <v>6</v>
      </c>
      <c r="J134" s="4" t="str">
        <f t="shared" si="62"/>
        <v>10:50:2:6,</v>
      </c>
    </row>
    <row r="135" spans="1:10">
      <c r="A135" s="4" t="str">
        <f t="shared" si="63"/>
        <v>21级绿护甲生命吸取</v>
      </c>
      <c r="B135" s="4" t="s">
        <v>203</v>
      </c>
      <c r="C135" s="4" t="s">
        <v>117</v>
      </c>
      <c r="D135" s="4">
        <v>21</v>
      </c>
      <c r="E135" s="4" t="s">
        <v>28</v>
      </c>
      <c r="F135" s="4">
        <f>VLOOKUP(E135,基础属性ID!A:B,2,0)</f>
        <v>11</v>
      </c>
      <c r="G135" s="4">
        <f>VLOOKUP(E135,基础属性ID!$A:$E,5,0)</f>
        <v>50</v>
      </c>
      <c r="H135" s="4">
        <v>1</v>
      </c>
      <c r="I135" s="4">
        <f t="shared" ref="I135:I136" si="65">H135*3</f>
        <v>3</v>
      </c>
      <c r="J135" s="4" t="str">
        <f t="shared" si="62"/>
        <v>11:50:1:3,</v>
      </c>
    </row>
    <row r="136" spans="1:10">
      <c r="A136" s="4" t="str">
        <f t="shared" si="63"/>
        <v>21级绿护甲法力吸取</v>
      </c>
      <c r="B136" s="4" t="s">
        <v>203</v>
      </c>
      <c r="C136" s="4" t="s">
        <v>117</v>
      </c>
      <c r="D136" s="4">
        <v>21</v>
      </c>
      <c r="E136" s="4" t="s">
        <v>29</v>
      </c>
      <c r="F136" s="4">
        <f>VLOOKUP(E136,基础属性ID!A:B,2,0)</f>
        <v>12</v>
      </c>
      <c r="G136" s="4">
        <f>VLOOKUP(E136,基础属性ID!$A:$E,5,0)</f>
        <v>50</v>
      </c>
      <c r="H136" s="4">
        <v>1</v>
      </c>
      <c r="I136" s="4">
        <f t="shared" si="65"/>
        <v>3</v>
      </c>
      <c r="J136" s="4" t="str">
        <f t="shared" si="62"/>
        <v>12:50:1:3,</v>
      </c>
    </row>
    <row r="137" spans="1:10">
      <c r="A137" s="4" t="str">
        <f t="shared" si="63"/>
        <v>21级绿护甲暴击几率</v>
      </c>
      <c r="B137" s="4" t="s">
        <v>203</v>
      </c>
      <c r="C137" s="4" t="s">
        <v>117</v>
      </c>
      <c r="D137" s="4">
        <v>21</v>
      </c>
      <c r="E137" s="4" t="s">
        <v>21</v>
      </c>
      <c r="F137" s="4">
        <f>VLOOKUP(E137,基础属性ID!A:B,2,0)</f>
        <v>13</v>
      </c>
      <c r="G137" s="4">
        <f>VLOOKUP(E137,基础属性ID!$A:$E,5,0)</f>
        <v>20</v>
      </c>
      <c r="H137" s="4">
        <v>10</v>
      </c>
      <c r="I137" s="4">
        <v>30</v>
      </c>
      <c r="J137" s="4" t="str">
        <f t="shared" si="62"/>
        <v>13:20:10:30,</v>
      </c>
    </row>
    <row r="138" spans="1:10">
      <c r="A138" s="4" t="str">
        <f t="shared" si="63"/>
        <v>21级绿护甲爆击伤害</v>
      </c>
      <c r="B138" s="4" t="s">
        <v>203</v>
      </c>
      <c r="C138" s="4" t="s">
        <v>117</v>
      </c>
      <c r="D138" s="4">
        <v>21</v>
      </c>
      <c r="E138" s="4" t="s">
        <v>76</v>
      </c>
      <c r="F138" s="4">
        <f>VLOOKUP(E138,基础属性ID!A:B,2,0)</f>
        <v>14</v>
      </c>
      <c r="G138" s="4">
        <f>VLOOKUP(E138,基础属性ID!$A:$E,5,0)</f>
        <v>20</v>
      </c>
      <c r="H138" s="4">
        <v>1</v>
      </c>
      <c r="I138" s="4">
        <v>3</v>
      </c>
      <c r="J138" s="4" t="str">
        <f t="shared" si="62"/>
        <v>14:20:1:3,</v>
      </c>
    </row>
    <row r="139" spans="1:10">
      <c r="A139" s="4" t="str">
        <f t="shared" si="63"/>
        <v>21级绿护甲伤害增加</v>
      </c>
      <c r="B139" s="4" t="s">
        <v>203</v>
      </c>
      <c r="C139" s="4" t="s">
        <v>117</v>
      </c>
      <c r="D139" s="4">
        <v>21</v>
      </c>
      <c r="E139" s="4" t="s">
        <v>26</v>
      </c>
      <c r="F139" s="4">
        <f>VLOOKUP(E139,基础属性ID!A:B,2,0)</f>
        <v>15</v>
      </c>
      <c r="G139" s="4">
        <f>VLOOKUP(E139,基础属性ID!$A:$E,5,0)</f>
        <v>10</v>
      </c>
      <c r="H139" s="4">
        <v>50</v>
      </c>
      <c r="I139" s="4">
        <v>100</v>
      </c>
      <c r="J139" s="4" t="str">
        <f t="shared" si="62"/>
        <v>15:10:50:100,</v>
      </c>
    </row>
    <row r="140" spans="1:10">
      <c r="A140" s="4" t="str">
        <f t="shared" si="63"/>
        <v>21级绿护甲伤害减免</v>
      </c>
      <c r="B140" s="4" t="s">
        <v>203</v>
      </c>
      <c r="C140" s="4" t="s">
        <v>117</v>
      </c>
      <c r="D140" s="4">
        <v>21</v>
      </c>
      <c r="E140" s="4" t="s">
        <v>27</v>
      </c>
      <c r="F140" s="4">
        <f>VLOOKUP(E140,基础属性ID!A:B,2,0)</f>
        <v>16</v>
      </c>
      <c r="G140" s="4">
        <f>VLOOKUP(E140,基础属性ID!$A:$E,5,0)</f>
        <v>10</v>
      </c>
      <c r="H140" s="4">
        <v>50</v>
      </c>
      <c r="I140" s="4">
        <v>100</v>
      </c>
      <c r="J140" s="4" t="str">
        <f t="shared" si="62"/>
        <v>16:10:50:100,</v>
      </c>
    </row>
    <row r="141" spans="1:10">
      <c r="A141" s="4" t="str">
        <f t="shared" si="63"/>
        <v>21级绿护甲装备掉率</v>
      </c>
      <c r="B141" s="4" t="s">
        <v>203</v>
      </c>
      <c r="C141" s="4" t="s">
        <v>117</v>
      </c>
      <c r="D141" s="4">
        <v>21</v>
      </c>
      <c r="E141" s="4" t="s">
        <v>30</v>
      </c>
      <c r="F141" s="4">
        <f>VLOOKUP(E141,基础属性ID!A:B,2,0)</f>
        <v>17</v>
      </c>
      <c r="G141" s="4">
        <f>VLOOKUP(E141,基础属性ID!$A:$E,5,0)</f>
        <v>60</v>
      </c>
      <c r="H141" s="4">
        <v>1</v>
      </c>
      <c r="I141" s="4">
        <f t="shared" ref="I141:I143" si="66">H141*3</f>
        <v>3</v>
      </c>
      <c r="J141" s="4" t="str">
        <f t="shared" si="62"/>
        <v>17:60:1:3,</v>
      </c>
    </row>
    <row r="142" spans="1:10">
      <c r="A142" s="4" t="str">
        <f t="shared" si="63"/>
        <v>21级绿护甲极品掉率</v>
      </c>
      <c r="B142" s="4" t="s">
        <v>203</v>
      </c>
      <c r="C142" s="4" t="s">
        <v>117</v>
      </c>
      <c r="D142" s="4">
        <v>21</v>
      </c>
      <c r="E142" s="4" t="s">
        <v>31</v>
      </c>
      <c r="F142" s="4">
        <f>VLOOKUP(E142,基础属性ID!A:B,2,0)</f>
        <v>18</v>
      </c>
      <c r="G142" s="4">
        <f>VLOOKUP(E142,基础属性ID!$A:$E,5,0)</f>
        <v>60</v>
      </c>
      <c r="H142" s="4">
        <v>1</v>
      </c>
      <c r="I142" s="4">
        <f t="shared" si="66"/>
        <v>3</v>
      </c>
      <c r="J142" s="4" t="str">
        <f t="shared" si="62"/>
        <v>18:60:1:3,</v>
      </c>
    </row>
    <row r="143" spans="1:10">
      <c r="A143" s="4" t="str">
        <f t="shared" si="63"/>
        <v>41级绿护甲生命值</v>
      </c>
      <c r="B143" s="4" t="s">
        <v>203</v>
      </c>
      <c r="C143" s="4" t="s">
        <v>117</v>
      </c>
      <c r="D143" s="4">
        <v>41</v>
      </c>
      <c r="E143" s="4" t="s">
        <v>74</v>
      </c>
      <c r="F143" s="4">
        <f>VLOOKUP(E143,基础属性ID!A:B,2,0)</f>
        <v>1</v>
      </c>
      <c r="G143" s="4">
        <f>VLOOKUP(E143,基础属性ID!$A:$E,5,0)</f>
        <v>100</v>
      </c>
      <c r="H143" s="4">
        <v>10</v>
      </c>
      <c r="I143" s="4">
        <f t="shared" si="66"/>
        <v>30</v>
      </c>
      <c r="J143" s="4" t="str">
        <f t="shared" si="62"/>
        <v>1:100:10:30,</v>
      </c>
    </row>
    <row r="144" spans="1:10">
      <c r="A144" s="4" t="str">
        <f t="shared" si="63"/>
        <v>41级绿护甲法力值</v>
      </c>
      <c r="B144" s="4" t="s">
        <v>203</v>
      </c>
      <c r="C144" s="4" t="s">
        <v>117</v>
      </c>
      <c r="D144" s="4">
        <v>41</v>
      </c>
      <c r="E144" s="4" t="s">
        <v>75</v>
      </c>
      <c r="F144" s="4">
        <f>VLOOKUP(E144,基础属性ID!A:B,2,0)</f>
        <v>2</v>
      </c>
      <c r="G144" s="4">
        <f>VLOOKUP(E144,基础属性ID!$A:$E,5,0)</f>
        <v>100</v>
      </c>
      <c r="H144" s="4">
        <v>4</v>
      </c>
      <c r="I144" s="4">
        <v>8</v>
      </c>
      <c r="J144" s="4" t="str">
        <f t="shared" si="62"/>
        <v>2:100:4:8,</v>
      </c>
    </row>
    <row r="145" spans="1:10">
      <c r="A145" s="4" t="str">
        <f t="shared" si="63"/>
        <v>41级绿护甲物理攻击</v>
      </c>
      <c r="B145" s="4" t="s">
        <v>203</v>
      </c>
      <c r="C145" s="4" t="s">
        <v>117</v>
      </c>
      <c r="D145" s="4">
        <v>41</v>
      </c>
      <c r="E145" s="4" t="s">
        <v>13</v>
      </c>
      <c r="F145" s="4">
        <f>VLOOKUP(E145,基础属性ID!A:B,2,0)</f>
        <v>3</v>
      </c>
      <c r="G145" s="4">
        <f>VLOOKUP(E145,基础属性ID!$A:$E,5,0)</f>
        <v>100</v>
      </c>
      <c r="H145" s="4">
        <v>3</v>
      </c>
      <c r="I145" s="4">
        <f t="shared" ref="I145:I148" si="67">H145*3</f>
        <v>9</v>
      </c>
      <c r="J145" s="4" t="str">
        <f t="shared" si="62"/>
        <v>3:100:3:9,</v>
      </c>
    </row>
    <row r="146" spans="1:10">
      <c r="A146" s="4" t="str">
        <f t="shared" si="63"/>
        <v>41级绿护甲魔法攻击</v>
      </c>
      <c r="B146" s="4" t="s">
        <v>203</v>
      </c>
      <c r="C146" s="4" t="s">
        <v>117</v>
      </c>
      <c r="D146" s="4">
        <v>41</v>
      </c>
      <c r="E146" s="4" t="s">
        <v>14</v>
      </c>
      <c r="F146" s="4">
        <f>VLOOKUP(E146,基础属性ID!A:B,2,0)</f>
        <v>4</v>
      </c>
      <c r="G146" s="4">
        <f>VLOOKUP(E146,基础属性ID!$A:$E,5,0)</f>
        <v>100</v>
      </c>
      <c r="H146" s="4">
        <v>3</v>
      </c>
      <c r="I146" s="4">
        <f t="shared" si="67"/>
        <v>9</v>
      </c>
      <c r="J146" s="4" t="str">
        <f t="shared" si="62"/>
        <v>4:100:3:9,</v>
      </c>
    </row>
    <row r="147" spans="1:10">
      <c r="A147" s="4" t="str">
        <f t="shared" si="63"/>
        <v>41级绿护甲道术攻击</v>
      </c>
      <c r="B147" s="4" t="s">
        <v>203</v>
      </c>
      <c r="C147" s="4" t="s">
        <v>117</v>
      </c>
      <c r="D147" s="4">
        <v>41</v>
      </c>
      <c r="E147" s="4" t="s">
        <v>15</v>
      </c>
      <c r="F147" s="4">
        <f>VLOOKUP(E147,基础属性ID!A:B,2,0)</f>
        <v>5</v>
      </c>
      <c r="G147" s="4">
        <f>VLOOKUP(E147,基础属性ID!$A:$E,5,0)</f>
        <v>100</v>
      </c>
      <c r="H147" s="4">
        <v>3</v>
      </c>
      <c r="I147" s="4">
        <f t="shared" si="67"/>
        <v>9</v>
      </c>
      <c r="J147" s="4" t="str">
        <f t="shared" si="62"/>
        <v>5:100:3:9,</v>
      </c>
    </row>
    <row r="148" spans="1:10">
      <c r="A148" s="4" t="str">
        <f t="shared" si="63"/>
        <v>41级绿护甲防御</v>
      </c>
      <c r="B148" s="4" t="s">
        <v>203</v>
      </c>
      <c r="C148" s="4" t="s">
        <v>117</v>
      </c>
      <c r="D148" s="4">
        <v>41</v>
      </c>
      <c r="E148" s="4" t="s">
        <v>17</v>
      </c>
      <c r="F148" s="4">
        <f>VLOOKUP(E148,基础属性ID!A:B,2,0)</f>
        <v>6</v>
      </c>
      <c r="G148" s="4">
        <f>VLOOKUP(E148,基础属性ID!$A:$E,5,0)</f>
        <v>100</v>
      </c>
      <c r="H148" s="4">
        <v>3</v>
      </c>
      <c r="I148" s="4">
        <f t="shared" si="67"/>
        <v>9</v>
      </c>
      <c r="J148" s="4" t="str">
        <f t="shared" si="62"/>
        <v>6:100:3:9,</v>
      </c>
    </row>
    <row r="149" spans="1:10">
      <c r="A149" s="4" t="str">
        <f t="shared" si="63"/>
        <v>41级绿护甲攻速</v>
      </c>
      <c r="B149" s="4" t="s">
        <v>203</v>
      </c>
      <c r="C149" s="4" t="s">
        <v>117</v>
      </c>
      <c r="D149" s="4">
        <v>41</v>
      </c>
      <c r="E149" s="4" t="s">
        <v>18</v>
      </c>
      <c r="F149" s="4">
        <f>VLOOKUP(E149,基础属性ID!A:B,2,0)</f>
        <v>7</v>
      </c>
      <c r="G149" s="4">
        <f>VLOOKUP(E149,基础属性ID!$A:$E,5,0)</f>
        <v>20</v>
      </c>
      <c r="H149" s="4">
        <v>1</v>
      </c>
      <c r="I149" s="4">
        <v>1</v>
      </c>
      <c r="J149" s="4" t="str">
        <f t="shared" si="62"/>
        <v>7:20:1:1,</v>
      </c>
    </row>
    <row r="150" spans="1:10">
      <c r="A150" s="4" t="str">
        <f t="shared" si="63"/>
        <v>41级绿护甲固定伤害</v>
      </c>
      <c r="B150" s="4" t="s">
        <v>203</v>
      </c>
      <c r="C150" s="4" t="s">
        <v>117</v>
      </c>
      <c r="D150" s="4">
        <v>41</v>
      </c>
      <c r="E150" s="4" t="s">
        <v>24</v>
      </c>
      <c r="F150" s="4">
        <f>VLOOKUP(E150,基础属性ID!A:B,2,0)</f>
        <v>9</v>
      </c>
      <c r="G150" s="4">
        <f>VLOOKUP(E150,基础属性ID!$A:$E,5,0)</f>
        <v>50</v>
      </c>
      <c r="H150" s="4">
        <v>3</v>
      </c>
      <c r="I150" s="4">
        <f t="shared" ref="I150:I151" si="68">H150*3</f>
        <v>9</v>
      </c>
      <c r="J150" s="4" t="str">
        <f t="shared" si="62"/>
        <v>9:50:3:9,</v>
      </c>
    </row>
    <row r="151" spans="1:10">
      <c r="A151" s="4" t="str">
        <f t="shared" si="63"/>
        <v>41级绿护甲固定减伤</v>
      </c>
      <c r="B151" s="4" t="s">
        <v>203</v>
      </c>
      <c r="C151" s="4" t="s">
        <v>117</v>
      </c>
      <c r="D151" s="4">
        <v>41</v>
      </c>
      <c r="E151" s="4" t="s">
        <v>25</v>
      </c>
      <c r="F151" s="4">
        <f>VLOOKUP(E151,基础属性ID!A:B,2,0)</f>
        <v>10</v>
      </c>
      <c r="G151" s="4">
        <f>VLOOKUP(E151,基础属性ID!$A:$E,5,0)</f>
        <v>50</v>
      </c>
      <c r="H151" s="4">
        <v>3</v>
      </c>
      <c r="I151" s="4">
        <f t="shared" si="68"/>
        <v>9</v>
      </c>
      <c r="J151" s="4" t="str">
        <f t="shared" si="62"/>
        <v>10:50:3:9,</v>
      </c>
    </row>
    <row r="152" spans="1:10">
      <c r="A152" s="4" t="str">
        <f t="shared" si="63"/>
        <v>41级绿护甲生命吸取</v>
      </c>
      <c r="B152" s="4" t="s">
        <v>203</v>
      </c>
      <c r="C152" s="4" t="s">
        <v>117</v>
      </c>
      <c r="D152" s="4">
        <v>41</v>
      </c>
      <c r="E152" s="4" t="s">
        <v>28</v>
      </c>
      <c r="F152" s="4">
        <f>VLOOKUP(E152,基础属性ID!A:B,2,0)</f>
        <v>11</v>
      </c>
      <c r="G152" s="4">
        <f>VLOOKUP(E152,基础属性ID!$A:$E,5,0)</f>
        <v>50</v>
      </c>
      <c r="H152" s="4">
        <v>2</v>
      </c>
      <c r="I152" s="4">
        <f t="shared" ref="I152:I153" si="69">H152*3</f>
        <v>6</v>
      </c>
      <c r="J152" s="4" t="str">
        <f t="shared" si="62"/>
        <v>11:50:2:6,</v>
      </c>
    </row>
    <row r="153" spans="1:10">
      <c r="A153" s="4" t="str">
        <f t="shared" si="63"/>
        <v>41级绿护甲法力吸取</v>
      </c>
      <c r="B153" s="4" t="s">
        <v>203</v>
      </c>
      <c r="C153" s="4" t="s">
        <v>117</v>
      </c>
      <c r="D153" s="4">
        <v>41</v>
      </c>
      <c r="E153" s="4" t="s">
        <v>29</v>
      </c>
      <c r="F153" s="4">
        <f>VLOOKUP(E153,基础属性ID!A:B,2,0)</f>
        <v>12</v>
      </c>
      <c r="G153" s="4">
        <f>VLOOKUP(E153,基础属性ID!$A:$E,5,0)</f>
        <v>50</v>
      </c>
      <c r="H153" s="4">
        <v>2</v>
      </c>
      <c r="I153" s="4">
        <f t="shared" si="69"/>
        <v>6</v>
      </c>
      <c r="J153" s="4" t="str">
        <f t="shared" si="62"/>
        <v>12:50:2:6,</v>
      </c>
    </row>
    <row r="154" spans="1:10">
      <c r="A154" s="4" t="str">
        <f t="shared" si="63"/>
        <v>41级绿护甲暴击几率</v>
      </c>
      <c r="B154" s="4" t="s">
        <v>203</v>
      </c>
      <c r="C154" s="4" t="s">
        <v>117</v>
      </c>
      <c r="D154" s="4">
        <v>41</v>
      </c>
      <c r="E154" s="4" t="s">
        <v>21</v>
      </c>
      <c r="F154" s="4">
        <f>VLOOKUP(E154,基础属性ID!A:B,2,0)</f>
        <v>13</v>
      </c>
      <c r="G154" s="4">
        <f>VLOOKUP(E154,基础属性ID!$A:$E,5,0)</f>
        <v>20</v>
      </c>
      <c r="H154" s="4">
        <v>10</v>
      </c>
      <c r="I154" s="4">
        <v>30</v>
      </c>
      <c r="J154" s="4" t="str">
        <f t="shared" si="62"/>
        <v>13:20:10:30,</v>
      </c>
    </row>
    <row r="155" spans="1:10">
      <c r="A155" s="4" t="str">
        <f t="shared" si="63"/>
        <v>41级绿护甲爆击伤害</v>
      </c>
      <c r="B155" s="4" t="s">
        <v>203</v>
      </c>
      <c r="C155" s="4" t="s">
        <v>117</v>
      </c>
      <c r="D155" s="4">
        <v>41</v>
      </c>
      <c r="E155" s="4" t="s">
        <v>76</v>
      </c>
      <c r="F155" s="4">
        <f>VLOOKUP(E155,基础属性ID!A:B,2,0)</f>
        <v>14</v>
      </c>
      <c r="G155" s="4">
        <f>VLOOKUP(E155,基础属性ID!$A:$E,5,0)</f>
        <v>20</v>
      </c>
      <c r="H155" s="4">
        <v>1</v>
      </c>
      <c r="I155" s="4">
        <v>3</v>
      </c>
      <c r="J155" s="4" t="str">
        <f t="shared" si="62"/>
        <v>14:20:1:3,</v>
      </c>
    </row>
    <row r="156" spans="1:10">
      <c r="A156" s="4" t="str">
        <f t="shared" si="63"/>
        <v>41级绿护甲伤害增加</v>
      </c>
      <c r="B156" s="4" t="s">
        <v>203</v>
      </c>
      <c r="C156" s="4" t="s">
        <v>117</v>
      </c>
      <c r="D156" s="4">
        <v>41</v>
      </c>
      <c r="E156" s="4" t="s">
        <v>26</v>
      </c>
      <c r="F156" s="4">
        <f>VLOOKUP(E156,基础属性ID!A:B,2,0)</f>
        <v>15</v>
      </c>
      <c r="G156" s="4">
        <f>VLOOKUP(E156,基础属性ID!$A:$E,5,0)</f>
        <v>10</v>
      </c>
      <c r="H156" s="4">
        <v>50</v>
      </c>
      <c r="I156" s="4">
        <v>100</v>
      </c>
      <c r="J156" s="4" t="str">
        <f t="shared" si="62"/>
        <v>15:10:50:100,</v>
      </c>
    </row>
    <row r="157" spans="1:10">
      <c r="A157" s="4" t="str">
        <f t="shared" si="63"/>
        <v>41级绿护甲伤害减免</v>
      </c>
      <c r="B157" s="4" t="s">
        <v>203</v>
      </c>
      <c r="C157" s="4" t="s">
        <v>117</v>
      </c>
      <c r="D157" s="4">
        <v>41</v>
      </c>
      <c r="E157" s="4" t="s">
        <v>27</v>
      </c>
      <c r="F157" s="4">
        <f>VLOOKUP(E157,基础属性ID!A:B,2,0)</f>
        <v>16</v>
      </c>
      <c r="G157" s="4">
        <f>VLOOKUP(E157,基础属性ID!$A:$E,5,0)</f>
        <v>10</v>
      </c>
      <c r="H157" s="4">
        <v>50</v>
      </c>
      <c r="I157" s="4">
        <v>100</v>
      </c>
      <c r="J157" s="4" t="str">
        <f t="shared" si="62"/>
        <v>16:10:50:100,</v>
      </c>
    </row>
    <row r="158" spans="1:10">
      <c r="A158" s="4" t="str">
        <f t="shared" si="63"/>
        <v>41级绿护甲装备掉率</v>
      </c>
      <c r="B158" s="4" t="s">
        <v>203</v>
      </c>
      <c r="C158" s="4" t="s">
        <v>117</v>
      </c>
      <c r="D158" s="4">
        <v>41</v>
      </c>
      <c r="E158" s="4" t="s">
        <v>30</v>
      </c>
      <c r="F158" s="4">
        <f>VLOOKUP(E158,基础属性ID!A:B,2,0)</f>
        <v>17</v>
      </c>
      <c r="G158" s="4">
        <f>VLOOKUP(E158,基础属性ID!$A:$E,5,0)</f>
        <v>60</v>
      </c>
      <c r="H158" s="4">
        <v>1</v>
      </c>
      <c r="I158" s="4">
        <f t="shared" ref="I158:I160" si="70">H158*3</f>
        <v>3</v>
      </c>
      <c r="J158" s="4" t="str">
        <f t="shared" si="62"/>
        <v>17:60:1:3,</v>
      </c>
    </row>
    <row r="159" spans="1:10">
      <c r="A159" s="4" t="str">
        <f t="shared" si="63"/>
        <v>41级绿护甲极品掉率</v>
      </c>
      <c r="B159" s="4" t="s">
        <v>203</v>
      </c>
      <c r="C159" s="4" t="s">
        <v>117</v>
      </c>
      <c r="D159" s="4">
        <v>41</v>
      </c>
      <c r="E159" s="4" t="s">
        <v>31</v>
      </c>
      <c r="F159" s="4">
        <f>VLOOKUP(E159,基础属性ID!A:B,2,0)</f>
        <v>18</v>
      </c>
      <c r="G159" s="4">
        <f>VLOOKUP(E159,基础属性ID!$A:$E,5,0)</f>
        <v>60</v>
      </c>
      <c r="H159" s="4">
        <v>1</v>
      </c>
      <c r="I159" s="4">
        <f t="shared" si="70"/>
        <v>3</v>
      </c>
      <c r="J159" s="4" t="str">
        <f t="shared" si="62"/>
        <v>18:60:1:3,</v>
      </c>
    </row>
    <row r="160" spans="1:10">
      <c r="A160" s="4" t="str">
        <f t="shared" si="63"/>
        <v>61级绿护甲生命值</v>
      </c>
      <c r="B160" s="4" t="s">
        <v>203</v>
      </c>
      <c r="C160" s="4" t="s">
        <v>117</v>
      </c>
      <c r="D160" s="4">
        <v>61</v>
      </c>
      <c r="E160" s="4" t="s">
        <v>74</v>
      </c>
      <c r="F160" s="4">
        <f>VLOOKUP(E160,基础属性ID!A:B,2,0)</f>
        <v>1</v>
      </c>
      <c r="G160" s="4">
        <f>VLOOKUP(E160,基础属性ID!$A:$E,5,0)</f>
        <v>100</v>
      </c>
      <c r="H160" s="4">
        <v>15</v>
      </c>
      <c r="I160" s="4">
        <f t="shared" si="70"/>
        <v>45</v>
      </c>
      <c r="J160" s="4" t="str">
        <f t="shared" si="62"/>
        <v>1:100:15:45,</v>
      </c>
    </row>
    <row r="161" spans="1:10">
      <c r="A161" s="4" t="str">
        <f t="shared" si="63"/>
        <v>61级绿护甲法力值</v>
      </c>
      <c r="B161" s="4" t="s">
        <v>203</v>
      </c>
      <c r="C161" s="4" t="s">
        <v>117</v>
      </c>
      <c r="D161" s="4">
        <v>61</v>
      </c>
      <c r="E161" s="4" t="s">
        <v>75</v>
      </c>
      <c r="F161" s="4">
        <f>VLOOKUP(E161,基础属性ID!A:B,2,0)</f>
        <v>2</v>
      </c>
      <c r="G161" s="4">
        <f>VLOOKUP(E161,基础属性ID!$A:$E,5,0)</f>
        <v>100</v>
      </c>
      <c r="H161" s="4">
        <v>5</v>
      </c>
      <c r="I161" s="4">
        <v>10</v>
      </c>
      <c r="J161" s="4" t="str">
        <f t="shared" si="62"/>
        <v>2:100:5:10,</v>
      </c>
    </row>
    <row r="162" spans="1:10">
      <c r="A162" s="4" t="str">
        <f t="shared" si="63"/>
        <v>61级绿护甲物理攻击</v>
      </c>
      <c r="B162" s="4" t="s">
        <v>203</v>
      </c>
      <c r="C162" s="4" t="s">
        <v>117</v>
      </c>
      <c r="D162" s="4">
        <v>61</v>
      </c>
      <c r="E162" s="4" t="s">
        <v>13</v>
      </c>
      <c r="F162" s="4">
        <f>VLOOKUP(E162,基础属性ID!A:B,2,0)</f>
        <v>3</v>
      </c>
      <c r="G162" s="4">
        <f>VLOOKUP(E162,基础属性ID!$A:$E,5,0)</f>
        <v>100</v>
      </c>
      <c r="H162" s="4">
        <v>5</v>
      </c>
      <c r="I162" s="4">
        <f t="shared" ref="I162:I165" si="71">H162*3</f>
        <v>15</v>
      </c>
      <c r="J162" s="4" t="str">
        <f t="shared" si="62"/>
        <v>3:100:5:15,</v>
      </c>
    </row>
    <row r="163" spans="1:10">
      <c r="A163" s="4" t="str">
        <f t="shared" si="63"/>
        <v>61级绿护甲魔法攻击</v>
      </c>
      <c r="B163" s="4" t="s">
        <v>203</v>
      </c>
      <c r="C163" s="4" t="s">
        <v>117</v>
      </c>
      <c r="D163" s="4">
        <v>61</v>
      </c>
      <c r="E163" s="4" t="s">
        <v>14</v>
      </c>
      <c r="F163" s="4">
        <f>VLOOKUP(E163,基础属性ID!A:B,2,0)</f>
        <v>4</v>
      </c>
      <c r="G163" s="4">
        <f>VLOOKUP(E163,基础属性ID!$A:$E,5,0)</f>
        <v>100</v>
      </c>
      <c r="H163" s="4">
        <v>5</v>
      </c>
      <c r="I163" s="4">
        <f t="shared" si="71"/>
        <v>15</v>
      </c>
      <c r="J163" s="4" t="str">
        <f t="shared" si="62"/>
        <v>4:100:5:15,</v>
      </c>
    </row>
    <row r="164" spans="1:10">
      <c r="A164" s="4" t="str">
        <f t="shared" si="63"/>
        <v>61级绿护甲道术攻击</v>
      </c>
      <c r="B164" s="4" t="s">
        <v>203</v>
      </c>
      <c r="C164" s="4" t="s">
        <v>117</v>
      </c>
      <c r="D164" s="4">
        <v>61</v>
      </c>
      <c r="E164" s="4" t="s">
        <v>15</v>
      </c>
      <c r="F164" s="4">
        <f>VLOOKUP(E164,基础属性ID!A:B,2,0)</f>
        <v>5</v>
      </c>
      <c r="G164" s="4">
        <f>VLOOKUP(E164,基础属性ID!$A:$E,5,0)</f>
        <v>100</v>
      </c>
      <c r="H164" s="4">
        <v>5</v>
      </c>
      <c r="I164" s="4">
        <f t="shared" si="71"/>
        <v>15</v>
      </c>
      <c r="J164" s="4" t="str">
        <f t="shared" si="62"/>
        <v>5:100:5:15,</v>
      </c>
    </row>
    <row r="165" spans="1:10">
      <c r="A165" s="4" t="str">
        <f t="shared" si="63"/>
        <v>61级绿护甲防御</v>
      </c>
      <c r="B165" s="4" t="s">
        <v>203</v>
      </c>
      <c r="C165" s="4" t="s">
        <v>117</v>
      </c>
      <c r="D165" s="4">
        <v>61</v>
      </c>
      <c r="E165" s="4" t="s">
        <v>17</v>
      </c>
      <c r="F165" s="4">
        <f>VLOOKUP(E165,基础属性ID!A:B,2,0)</f>
        <v>6</v>
      </c>
      <c r="G165" s="4">
        <f>VLOOKUP(E165,基础属性ID!$A:$E,5,0)</f>
        <v>100</v>
      </c>
      <c r="H165" s="4">
        <v>5</v>
      </c>
      <c r="I165" s="4">
        <f t="shared" si="71"/>
        <v>15</v>
      </c>
      <c r="J165" s="4" t="str">
        <f t="shared" si="62"/>
        <v>6:100:5:15,</v>
      </c>
    </row>
    <row r="166" spans="1:10">
      <c r="A166" s="4" t="str">
        <f t="shared" si="63"/>
        <v>61级绿护甲攻速</v>
      </c>
      <c r="B166" s="4" t="s">
        <v>203</v>
      </c>
      <c r="C166" s="4" t="s">
        <v>117</v>
      </c>
      <c r="D166" s="4">
        <v>61</v>
      </c>
      <c r="E166" s="4" t="s">
        <v>18</v>
      </c>
      <c r="F166" s="4">
        <f>VLOOKUP(E166,基础属性ID!A:B,2,0)</f>
        <v>7</v>
      </c>
      <c r="G166" s="4">
        <f>VLOOKUP(E166,基础属性ID!$A:$E,5,0)</f>
        <v>20</v>
      </c>
      <c r="H166" s="4">
        <v>1</v>
      </c>
      <c r="I166" s="4">
        <v>1</v>
      </c>
      <c r="J166" s="4" t="str">
        <f t="shared" si="62"/>
        <v>7:20:1:1,</v>
      </c>
    </row>
    <row r="167" spans="1:10">
      <c r="A167" s="4" t="str">
        <f t="shared" si="63"/>
        <v>61级绿护甲固定伤害</v>
      </c>
      <c r="B167" s="4" t="s">
        <v>203</v>
      </c>
      <c r="C167" s="4" t="s">
        <v>117</v>
      </c>
      <c r="D167" s="4">
        <v>61</v>
      </c>
      <c r="E167" s="4" t="s">
        <v>24</v>
      </c>
      <c r="F167" s="4">
        <f>VLOOKUP(E167,基础属性ID!A:B,2,0)</f>
        <v>9</v>
      </c>
      <c r="G167" s="4">
        <f>VLOOKUP(E167,基础属性ID!$A:$E,5,0)</f>
        <v>50</v>
      </c>
      <c r="H167" s="4">
        <v>4</v>
      </c>
      <c r="I167" s="4">
        <f t="shared" ref="I167:I168" si="72">H167*3</f>
        <v>12</v>
      </c>
      <c r="J167" s="4" t="str">
        <f t="shared" si="62"/>
        <v>9:50:4:12,</v>
      </c>
    </row>
    <row r="168" spans="1:10">
      <c r="A168" s="4" t="str">
        <f t="shared" si="63"/>
        <v>61级绿护甲固定减伤</v>
      </c>
      <c r="B168" s="4" t="s">
        <v>203</v>
      </c>
      <c r="C168" s="4" t="s">
        <v>117</v>
      </c>
      <c r="D168" s="4">
        <v>61</v>
      </c>
      <c r="E168" s="4" t="s">
        <v>25</v>
      </c>
      <c r="F168" s="4">
        <f>VLOOKUP(E168,基础属性ID!A:B,2,0)</f>
        <v>10</v>
      </c>
      <c r="G168" s="4">
        <f>VLOOKUP(E168,基础属性ID!$A:$E,5,0)</f>
        <v>50</v>
      </c>
      <c r="H168" s="4">
        <v>4</v>
      </c>
      <c r="I168" s="4">
        <f t="shared" si="72"/>
        <v>12</v>
      </c>
      <c r="J168" s="4" t="str">
        <f t="shared" si="62"/>
        <v>10:50:4:12,</v>
      </c>
    </row>
    <row r="169" spans="1:10">
      <c r="A169" s="4" t="str">
        <f t="shared" si="63"/>
        <v>61级绿护甲生命吸取</v>
      </c>
      <c r="B169" s="4" t="s">
        <v>203</v>
      </c>
      <c r="C169" s="4" t="s">
        <v>117</v>
      </c>
      <c r="D169" s="4">
        <v>61</v>
      </c>
      <c r="E169" s="4" t="s">
        <v>28</v>
      </c>
      <c r="F169" s="4">
        <f>VLOOKUP(E169,基础属性ID!A:B,2,0)</f>
        <v>11</v>
      </c>
      <c r="G169" s="4">
        <f>VLOOKUP(E169,基础属性ID!$A:$E,5,0)</f>
        <v>50</v>
      </c>
      <c r="H169" s="4">
        <v>3</v>
      </c>
      <c r="I169" s="4">
        <f t="shared" ref="I169:I170" si="73">H169*3</f>
        <v>9</v>
      </c>
      <c r="J169" s="4" t="str">
        <f t="shared" si="62"/>
        <v>11:50:3:9,</v>
      </c>
    </row>
    <row r="170" spans="1:10">
      <c r="A170" s="4" t="str">
        <f t="shared" si="63"/>
        <v>61级绿护甲法力吸取</v>
      </c>
      <c r="B170" s="4" t="s">
        <v>203</v>
      </c>
      <c r="C170" s="4" t="s">
        <v>117</v>
      </c>
      <c r="D170" s="4">
        <v>61</v>
      </c>
      <c r="E170" s="4" t="s">
        <v>29</v>
      </c>
      <c r="F170" s="4">
        <f>VLOOKUP(E170,基础属性ID!A:B,2,0)</f>
        <v>12</v>
      </c>
      <c r="G170" s="4">
        <f>VLOOKUP(E170,基础属性ID!$A:$E,5,0)</f>
        <v>50</v>
      </c>
      <c r="H170" s="4">
        <v>3</v>
      </c>
      <c r="I170" s="4">
        <f t="shared" si="73"/>
        <v>9</v>
      </c>
      <c r="J170" s="4" t="str">
        <f t="shared" si="62"/>
        <v>12:50:3:9,</v>
      </c>
    </row>
    <row r="171" spans="1:10">
      <c r="A171" s="4" t="str">
        <f t="shared" si="63"/>
        <v>61级绿护甲暴击几率</v>
      </c>
      <c r="B171" s="4" t="s">
        <v>203</v>
      </c>
      <c r="C171" s="4" t="s">
        <v>117</v>
      </c>
      <c r="D171" s="4">
        <v>61</v>
      </c>
      <c r="E171" s="4" t="s">
        <v>21</v>
      </c>
      <c r="F171" s="4">
        <f>VLOOKUP(E171,基础属性ID!A:B,2,0)</f>
        <v>13</v>
      </c>
      <c r="G171" s="4">
        <f>VLOOKUP(E171,基础属性ID!$A:$E,5,0)</f>
        <v>20</v>
      </c>
      <c r="H171" s="4">
        <v>10</v>
      </c>
      <c r="I171" s="4">
        <v>30</v>
      </c>
      <c r="J171" s="4" t="str">
        <f t="shared" si="62"/>
        <v>13:20:10:30,</v>
      </c>
    </row>
    <row r="172" spans="1:10">
      <c r="A172" s="4" t="str">
        <f t="shared" si="63"/>
        <v>61级绿护甲爆击伤害</v>
      </c>
      <c r="B172" s="4" t="s">
        <v>203</v>
      </c>
      <c r="C172" s="4" t="s">
        <v>117</v>
      </c>
      <c r="D172" s="4">
        <v>61</v>
      </c>
      <c r="E172" s="4" t="s">
        <v>76</v>
      </c>
      <c r="F172" s="4">
        <f>VLOOKUP(E172,基础属性ID!A:B,2,0)</f>
        <v>14</v>
      </c>
      <c r="G172" s="4">
        <f>VLOOKUP(E172,基础属性ID!$A:$E,5,0)</f>
        <v>20</v>
      </c>
      <c r="H172" s="4">
        <v>1</v>
      </c>
      <c r="I172" s="4">
        <v>3</v>
      </c>
      <c r="J172" s="4" t="str">
        <f t="shared" si="62"/>
        <v>14:20:1:3,</v>
      </c>
    </row>
    <row r="173" spans="1:10">
      <c r="A173" s="4" t="str">
        <f t="shared" si="63"/>
        <v>61级绿护甲伤害增加</v>
      </c>
      <c r="B173" s="4" t="s">
        <v>203</v>
      </c>
      <c r="C173" s="4" t="s">
        <v>117</v>
      </c>
      <c r="D173" s="4">
        <v>61</v>
      </c>
      <c r="E173" s="4" t="s">
        <v>26</v>
      </c>
      <c r="F173" s="4">
        <f>VLOOKUP(E173,基础属性ID!A:B,2,0)</f>
        <v>15</v>
      </c>
      <c r="G173" s="4">
        <f>VLOOKUP(E173,基础属性ID!$A:$E,5,0)</f>
        <v>10</v>
      </c>
      <c r="H173" s="4">
        <v>50</v>
      </c>
      <c r="I173" s="4">
        <v>100</v>
      </c>
      <c r="J173" s="4" t="str">
        <f t="shared" si="62"/>
        <v>15:10:50:100,</v>
      </c>
    </row>
    <row r="174" spans="1:10">
      <c r="A174" s="4" t="str">
        <f t="shared" si="63"/>
        <v>61级绿护甲伤害减免</v>
      </c>
      <c r="B174" s="4" t="s">
        <v>203</v>
      </c>
      <c r="C174" s="4" t="s">
        <v>117</v>
      </c>
      <c r="D174" s="4">
        <v>61</v>
      </c>
      <c r="E174" s="4" t="s">
        <v>27</v>
      </c>
      <c r="F174" s="4">
        <f>VLOOKUP(E174,基础属性ID!A:B,2,0)</f>
        <v>16</v>
      </c>
      <c r="G174" s="4">
        <f>VLOOKUP(E174,基础属性ID!$A:$E,5,0)</f>
        <v>10</v>
      </c>
      <c r="H174" s="4">
        <v>50</v>
      </c>
      <c r="I174" s="4">
        <v>100</v>
      </c>
      <c r="J174" s="4" t="str">
        <f t="shared" si="62"/>
        <v>16:10:50:100,</v>
      </c>
    </row>
    <row r="175" spans="1:10">
      <c r="A175" s="4" t="str">
        <f t="shared" si="63"/>
        <v>61级绿护甲装备掉率</v>
      </c>
      <c r="B175" s="4" t="s">
        <v>203</v>
      </c>
      <c r="C175" s="4" t="s">
        <v>117</v>
      </c>
      <c r="D175" s="4">
        <v>61</v>
      </c>
      <c r="E175" s="4" t="s">
        <v>30</v>
      </c>
      <c r="F175" s="4">
        <f>VLOOKUP(E175,基础属性ID!A:B,2,0)</f>
        <v>17</v>
      </c>
      <c r="G175" s="4">
        <f>VLOOKUP(E175,基础属性ID!$A:$E,5,0)</f>
        <v>60</v>
      </c>
      <c r="H175" s="4">
        <v>1</v>
      </c>
      <c r="I175" s="4">
        <f t="shared" ref="I175:I177" si="74">H175*3</f>
        <v>3</v>
      </c>
      <c r="J175" s="4" t="str">
        <f t="shared" si="62"/>
        <v>17:60:1:3,</v>
      </c>
    </row>
    <row r="176" spans="1:10">
      <c r="A176" s="4" t="str">
        <f t="shared" si="63"/>
        <v>61级绿护甲极品掉率</v>
      </c>
      <c r="B176" s="4" t="s">
        <v>203</v>
      </c>
      <c r="C176" s="4" t="s">
        <v>117</v>
      </c>
      <c r="D176" s="4">
        <v>61</v>
      </c>
      <c r="E176" s="4" t="s">
        <v>31</v>
      </c>
      <c r="F176" s="4">
        <f>VLOOKUP(E176,基础属性ID!A:B,2,0)</f>
        <v>18</v>
      </c>
      <c r="G176" s="4">
        <f>VLOOKUP(E176,基础属性ID!$A:$E,5,0)</f>
        <v>60</v>
      </c>
      <c r="H176" s="4">
        <v>1</v>
      </c>
      <c r="I176" s="4">
        <f t="shared" si="74"/>
        <v>3</v>
      </c>
      <c r="J176" s="4" t="str">
        <f t="shared" si="62"/>
        <v>18:60:1:3,</v>
      </c>
    </row>
    <row r="177" spans="1:10">
      <c r="A177" s="4" t="str">
        <f t="shared" si="63"/>
        <v>21级绿项链生命值</v>
      </c>
      <c r="B177" s="4" t="s">
        <v>215</v>
      </c>
      <c r="C177" s="4" t="s">
        <v>117</v>
      </c>
      <c r="D177" s="4">
        <v>21</v>
      </c>
      <c r="E177" s="4" t="s">
        <v>74</v>
      </c>
      <c r="F177" s="4">
        <f>VLOOKUP(E177,基础属性ID!A:B,2,0)</f>
        <v>1</v>
      </c>
      <c r="G177" s="4">
        <f>VLOOKUP(E177,基础属性ID!$A:$E,5,0)</f>
        <v>100</v>
      </c>
      <c r="H177" s="4">
        <v>5</v>
      </c>
      <c r="I177" s="4">
        <f t="shared" si="74"/>
        <v>15</v>
      </c>
      <c r="J177" s="4" t="str">
        <f t="shared" si="62"/>
        <v>1:100:5:15,</v>
      </c>
    </row>
    <row r="178" spans="1:10">
      <c r="A178" s="4" t="str">
        <f t="shared" si="63"/>
        <v>21级绿项链法力值</v>
      </c>
      <c r="B178" s="4" t="s">
        <v>215</v>
      </c>
      <c r="C178" s="4" t="s">
        <v>117</v>
      </c>
      <c r="D178" s="4">
        <v>21</v>
      </c>
      <c r="E178" s="4" t="s">
        <v>75</v>
      </c>
      <c r="F178" s="4">
        <f>VLOOKUP(E178,基础属性ID!A:B,2,0)</f>
        <v>2</v>
      </c>
      <c r="G178" s="4">
        <f>VLOOKUP(E178,基础属性ID!$A:$E,5,0)</f>
        <v>100</v>
      </c>
      <c r="H178" s="4">
        <v>3</v>
      </c>
      <c r="I178" s="4">
        <v>6</v>
      </c>
      <c r="J178" s="4" t="str">
        <f t="shared" si="62"/>
        <v>2:100:3:6,</v>
      </c>
    </row>
    <row r="179" spans="1:10">
      <c r="A179" s="4" t="str">
        <f t="shared" si="63"/>
        <v>21级绿项链物理攻击</v>
      </c>
      <c r="B179" s="4" t="s">
        <v>215</v>
      </c>
      <c r="C179" s="4" t="s">
        <v>117</v>
      </c>
      <c r="D179" s="4">
        <v>21</v>
      </c>
      <c r="E179" s="4" t="s">
        <v>13</v>
      </c>
      <c r="F179" s="4">
        <f>VLOOKUP(E179,基础属性ID!A:B,2,0)</f>
        <v>3</v>
      </c>
      <c r="G179" s="4">
        <f>VLOOKUP(E179,基础属性ID!$A:$E,5,0)</f>
        <v>100</v>
      </c>
      <c r="H179" s="4">
        <v>2</v>
      </c>
      <c r="I179" s="4">
        <f t="shared" ref="I179:I182" si="75">H179*3</f>
        <v>6</v>
      </c>
      <c r="J179" s="4" t="str">
        <f t="shared" si="62"/>
        <v>3:100:2:6,</v>
      </c>
    </row>
    <row r="180" spans="1:10">
      <c r="A180" s="4" t="str">
        <f t="shared" si="63"/>
        <v>21级绿项链魔法攻击</v>
      </c>
      <c r="B180" s="4" t="s">
        <v>215</v>
      </c>
      <c r="C180" s="4" t="s">
        <v>117</v>
      </c>
      <c r="D180" s="4">
        <v>21</v>
      </c>
      <c r="E180" s="4" t="s">
        <v>14</v>
      </c>
      <c r="F180" s="4">
        <f>VLOOKUP(E180,基础属性ID!A:B,2,0)</f>
        <v>4</v>
      </c>
      <c r="G180" s="4">
        <f>VLOOKUP(E180,基础属性ID!$A:$E,5,0)</f>
        <v>100</v>
      </c>
      <c r="H180" s="4">
        <v>2</v>
      </c>
      <c r="I180" s="4">
        <f t="shared" si="75"/>
        <v>6</v>
      </c>
      <c r="J180" s="4" t="str">
        <f t="shared" si="62"/>
        <v>4:100:2:6,</v>
      </c>
    </row>
    <row r="181" spans="1:10">
      <c r="A181" s="4" t="str">
        <f t="shared" si="63"/>
        <v>21级绿项链道术攻击</v>
      </c>
      <c r="B181" s="4" t="s">
        <v>215</v>
      </c>
      <c r="C181" s="4" t="s">
        <v>117</v>
      </c>
      <c r="D181" s="4">
        <v>21</v>
      </c>
      <c r="E181" s="4" t="s">
        <v>15</v>
      </c>
      <c r="F181" s="4">
        <f>VLOOKUP(E181,基础属性ID!A:B,2,0)</f>
        <v>5</v>
      </c>
      <c r="G181" s="4">
        <f>VLOOKUP(E181,基础属性ID!$A:$E,5,0)</f>
        <v>100</v>
      </c>
      <c r="H181" s="4">
        <v>2</v>
      </c>
      <c r="I181" s="4">
        <f t="shared" si="75"/>
        <v>6</v>
      </c>
      <c r="J181" s="4" t="str">
        <f t="shared" si="62"/>
        <v>5:100:2:6,</v>
      </c>
    </row>
    <row r="182" spans="1:10">
      <c r="A182" s="4" t="str">
        <f t="shared" si="63"/>
        <v>21级绿项链防御</v>
      </c>
      <c r="B182" s="4" t="s">
        <v>215</v>
      </c>
      <c r="C182" s="4" t="s">
        <v>117</v>
      </c>
      <c r="D182" s="4">
        <v>21</v>
      </c>
      <c r="E182" s="4" t="s">
        <v>17</v>
      </c>
      <c r="F182" s="4">
        <f>VLOOKUP(E182,基础属性ID!A:B,2,0)</f>
        <v>6</v>
      </c>
      <c r="G182" s="4">
        <f>VLOOKUP(E182,基础属性ID!$A:$E,5,0)</f>
        <v>100</v>
      </c>
      <c r="H182" s="4">
        <v>2</v>
      </c>
      <c r="I182" s="4">
        <f t="shared" si="75"/>
        <v>6</v>
      </c>
      <c r="J182" s="4" t="str">
        <f t="shared" si="62"/>
        <v>6:100:2:6,</v>
      </c>
    </row>
    <row r="183" spans="1:10">
      <c r="A183" s="4" t="str">
        <f t="shared" si="63"/>
        <v>21级绿项链攻速</v>
      </c>
      <c r="B183" s="4" t="s">
        <v>215</v>
      </c>
      <c r="C183" s="4" t="s">
        <v>117</v>
      </c>
      <c r="D183" s="4">
        <v>21</v>
      </c>
      <c r="E183" s="4" t="s">
        <v>18</v>
      </c>
      <c r="F183" s="4">
        <f>VLOOKUP(E183,基础属性ID!A:B,2,0)</f>
        <v>7</v>
      </c>
      <c r="G183" s="4">
        <f>VLOOKUP(E183,基础属性ID!$A:$E,5,0)</f>
        <v>20</v>
      </c>
      <c r="H183" s="4">
        <v>1</v>
      </c>
      <c r="I183" s="4">
        <v>1</v>
      </c>
      <c r="J183" s="4" t="str">
        <f t="shared" si="62"/>
        <v>7:20:1:1,</v>
      </c>
    </row>
    <row r="184" spans="1:10">
      <c r="A184" s="4" t="str">
        <f t="shared" si="63"/>
        <v>21级绿项链幸运</v>
      </c>
      <c r="B184" s="4" t="s">
        <v>215</v>
      </c>
      <c r="C184" s="4" t="s">
        <v>117</v>
      </c>
      <c r="D184" s="4">
        <v>21</v>
      </c>
      <c r="E184" s="4" t="s">
        <v>19</v>
      </c>
      <c r="F184" s="4">
        <f>VLOOKUP(E184,基础属性ID!A:B,2,0)</f>
        <v>8</v>
      </c>
      <c r="G184" s="4">
        <f>VLOOKUP(E184,基础属性ID!$A:$E,5,0)</f>
        <v>20</v>
      </c>
      <c r="H184" s="4">
        <v>1</v>
      </c>
      <c r="I184" s="4">
        <v>1</v>
      </c>
      <c r="J184" s="4" t="str">
        <f t="shared" si="62"/>
        <v>8:20:1:1,</v>
      </c>
    </row>
    <row r="185" spans="1:10">
      <c r="A185" s="4" t="str">
        <f t="shared" si="63"/>
        <v>21级绿项链固定伤害</v>
      </c>
      <c r="B185" s="4" t="s">
        <v>215</v>
      </c>
      <c r="C185" s="4" t="s">
        <v>117</v>
      </c>
      <c r="D185" s="4">
        <v>21</v>
      </c>
      <c r="E185" s="4" t="s">
        <v>24</v>
      </c>
      <c r="F185" s="4">
        <f>VLOOKUP(E185,基础属性ID!A:B,2,0)</f>
        <v>9</v>
      </c>
      <c r="G185" s="4">
        <f>VLOOKUP(E185,基础属性ID!$A:$E,5,0)</f>
        <v>50</v>
      </c>
      <c r="H185" s="4">
        <v>2</v>
      </c>
      <c r="I185" s="4">
        <f t="shared" ref="I185:I186" si="76">H185*3</f>
        <v>6</v>
      </c>
      <c r="J185" s="4" t="str">
        <f t="shared" si="62"/>
        <v>9:50:2:6,</v>
      </c>
    </row>
    <row r="186" spans="1:10">
      <c r="A186" s="4" t="str">
        <f t="shared" si="63"/>
        <v>21级绿项链固定减伤</v>
      </c>
      <c r="B186" s="4" t="s">
        <v>215</v>
      </c>
      <c r="C186" s="4" t="s">
        <v>117</v>
      </c>
      <c r="D186" s="4">
        <v>21</v>
      </c>
      <c r="E186" s="4" t="s">
        <v>25</v>
      </c>
      <c r="F186" s="4">
        <f>VLOOKUP(E186,基础属性ID!A:B,2,0)</f>
        <v>10</v>
      </c>
      <c r="G186" s="4">
        <f>VLOOKUP(E186,基础属性ID!$A:$E,5,0)</f>
        <v>50</v>
      </c>
      <c r="H186" s="4">
        <v>2</v>
      </c>
      <c r="I186" s="4">
        <f t="shared" si="76"/>
        <v>6</v>
      </c>
      <c r="J186" s="4" t="str">
        <f t="shared" si="62"/>
        <v>10:50:2:6,</v>
      </c>
    </row>
    <row r="187" spans="1:10">
      <c r="A187" s="4" t="str">
        <f t="shared" si="63"/>
        <v>21级绿项链生命吸取</v>
      </c>
      <c r="B187" s="4" t="s">
        <v>215</v>
      </c>
      <c r="C187" s="4" t="s">
        <v>117</v>
      </c>
      <c r="D187" s="4">
        <v>21</v>
      </c>
      <c r="E187" s="4" t="s">
        <v>28</v>
      </c>
      <c r="F187" s="4">
        <f>VLOOKUP(E187,基础属性ID!A:B,2,0)</f>
        <v>11</v>
      </c>
      <c r="G187" s="4">
        <f>VLOOKUP(E187,基础属性ID!$A:$E,5,0)</f>
        <v>50</v>
      </c>
      <c r="H187" s="4">
        <v>1</v>
      </c>
      <c r="I187" s="4">
        <f t="shared" ref="I187:I188" si="77">H187*3</f>
        <v>3</v>
      </c>
      <c r="J187" s="4" t="str">
        <f t="shared" si="62"/>
        <v>11:50:1:3,</v>
      </c>
    </row>
    <row r="188" spans="1:10">
      <c r="A188" s="4" t="str">
        <f t="shared" si="63"/>
        <v>21级绿项链法力吸取</v>
      </c>
      <c r="B188" s="4" t="s">
        <v>215</v>
      </c>
      <c r="C188" s="4" t="s">
        <v>117</v>
      </c>
      <c r="D188" s="4">
        <v>21</v>
      </c>
      <c r="E188" s="4" t="s">
        <v>29</v>
      </c>
      <c r="F188" s="4">
        <f>VLOOKUP(E188,基础属性ID!A:B,2,0)</f>
        <v>12</v>
      </c>
      <c r="G188" s="4">
        <f>VLOOKUP(E188,基础属性ID!$A:$E,5,0)</f>
        <v>50</v>
      </c>
      <c r="H188" s="4">
        <v>1</v>
      </c>
      <c r="I188" s="4">
        <f t="shared" si="77"/>
        <v>3</v>
      </c>
      <c r="J188" s="4" t="str">
        <f t="shared" si="62"/>
        <v>12:50:1:3,</v>
      </c>
    </row>
    <row r="189" spans="1:10">
      <c r="A189" s="4" t="str">
        <f t="shared" si="63"/>
        <v>21级绿项链暴击几率</v>
      </c>
      <c r="B189" s="4" t="s">
        <v>215</v>
      </c>
      <c r="C189" s="4" t="s">
        <v>117</v>
      </c>
      <c r="D189" s="4">
        <v>21</v>
      </c>
      <c r="E189" s="4" t="s">
        <v>21</v>
      </c>
      <c r="F189" s="4">
        <f>VLOOKUP(E189,基础属性ID!A:B,2,0)</f>
        <v>13</v>
      </c>
      <c r="G189" s="4">
        <f>VLOOKUP(E189,基础属性ID!$A:$E,5,0)</f>
        <v>20</v>
      </c>
      <c r="H189" s="4">
        <v>10</v>
      </c>
      <c r="I189" s="4">
        <v>30</v>
      </c>
      <c r="J189" s="4" t="str">
        <f t="shared" si="62"/>
        <v>13:20:10:30,</v>
      </c>
    </row>
    <row r="190" spans="1:10">
      <c r="A190" s="4" t="str">
        <f t="shared" si="63"/>
        <v>21级绿项链爆击伤害</v>
      </c>
      <c r="B190" s="4" t="s">
        <v>215</v>
      </c>
      <c r="C190" s="4" t="s">
        <v>117</v>
      </c>
      <c r="D190" s="4">
        <v>21</v>
      </c>
      <c r="E190" s="4" t="s">
        <v>76</v>
      </c>
      <c r="F190" s="4">
        <f>VLOOKUP(E190,基础属性ID!A:B,2,0)</f>
        <v>14</v>
      </c>
      <c r="G190" s="4">
        <f>VLOOKUP(E190,基础属性ID!$A:$E,5,0)</f>
        <v>20</v>
      </c>
      <c r="H190" s="4">
        <v>1</v>
      </c>
      <c r="I190" s="4">
        <v>3</v>
      </c>
      <c r="J190" s="4" t="str">
        <f t="shared" si="62"/>
        <v>14:20:1:3,</v>
      </c>
    </row>
    <row r="191" spans="1:10">
      <c r="A191" s="4" t="str">
        <f t="shared" si="63"/>
        <v>21级绿项链伤害增加</v>
      </c>
      <c r="B191" s="4" t="s">
        <v>215</v>
      </c>
      <c r="C191" s="4" t="s">
        <v>117</v>
      </c>
      <c r="D191" s="4">
        <v>21</v>
      </c>
      <c r="E191" s="4" t="s">
        <v>26</v>
      </c>
      <c r="F191" s="4">
        <f>VLOOKUP(E191,基础属性ID!A:B,2,0)</f>
        <v>15</v>
      </c>
      <c r="G191" s="4">
        <f>VLOOKUP(E191,基础属性ID!$A:$E,5,0)</f>
        <v>10</v>
      </c>
      <c r="H191" s="4">
        <v>50</v>
      </c>
      <c r="I191" s="4">
        <v>100</v>
      </c>
      <c r="J191" s="4" t="str">
        <f t="shared" ref="J191:J253" si="78">F191&amp;":"&amp;G191&amp;":"&amp;H191&amp;":"&amp;I191&amp;","</f>
        <v>15:10:50:100,</v>
      </c>
    </row>
    <row r="192" spans="1:10">
      <c r="A192" s="4" t="str">
        <f t="shared" si="63"/>
        <v>21级绿项链伤害减免</v>
      </c>
      <c r="B192" s="4" t="s">
        <v>215</v>
      </c>
      <c r="C192" s="4" t="s">
        <v>117</v>
      </c>
      <c r="D192" s="4">
        <v>21</v>
      </c>
      <c r="E192" s="4" t="s">
        <v>27</v>
      </c>
      <c r="F192" s="4">
        <f>VLOOKUP(E192,基础属性ID!A:B,2,0)</f>
        <v>16</v>
      </c>
      <c r="G192" s="4">
        <f>VLOOKUP(E192,基础属性ID!$A:$E,5,0)</f>
        <v>10</v>
      </c>
      <c r="H192" s="4">
        <v>50</v>
      </c>
      <c r="I192" s="4">
        <v>100</v>
      </c>
      <c r="J192" s="4" t="str">
        <f t="shared" si="78"/>
        <v>16:10:50:100,</v>
      </c>
    </row>
    <row r="193" spans="1:10">
      <c r="A193" s="4" t="str">
        <f t="shared" si="63"/>
        <v>21级绿项链装备掉率</v>
      </c>
      <c r="B193" s="4" t="s">
        <v>215</v>
      </c>
      <c r="C193" s="4" t="s">
        <v>117</v>
      </c>
      <c r="D193" s="4">
        <v>21</v>
      </c>
      <c r="E193" s="4" t="s">
        <v>30</v>
      </c>
      <c r="F193" s="4">
        <f>VLOOKUP(E193,基础属性ID!A:B,2,0)</f>
        <v>17</v>
      </c>
      <c r="G193" s="4">
        <f>VLOOKUP(E193,基础属性ID!$A:$E,5,0)</f>
        <v>60</v>
      </c>
      <c r="H193" s="4">
        <v>1</v>
      </c>
      <c r="I193" s="4">
        <f t="shared" ref="I193:I195" si="79">H193*3</f>
        <v>3</v>
      </c>
      <c r="J193" s="4" t="str">
        <f t="shared" si="78"/>
        <v>17:60:1:3,</v>
      </c>
    </row>
    <row r="194" spans="1:10">
      <c r="A194" s="4" t="str">
        <f t="shared" si="63"/>
        <v>21级绿项链极品掉率</v>
      </c>
      <c r="B194" s="4" t="s">
        <v>215</v>
      </c>
      <c r="C194" s="4" t="s">
        <v>117</v>
      </c>
      <c r="D194" s="4">
        <v>21</v>
      </c>
      <c r="E194" s="4" t="s">
        <v>31</v>
      </c>
      <c r="F194" s="4">
        <f>VLOOKUP(E194,基础属性ID!A:B,2,0)</f>
        <v>18</v>
      </c>
      <c r="G194" s="4">
        <f>VLOOKUP(E194,基础属性ID!$A:$E,5,0)</f>
        <v>60</v>
      </c>
      <c r="H194" s="4">
        <v>1</v>
      </c>
      <c r="I194" s="4">
        <f t="shared" si="79"/>
        <v>3</v>
      </c>
      <c r="J194" s="4" t="str">
        <f t="shared" si="78"/>
        <v>18:60:1:3,</v>
      </c>
    </row>
    <row r="195" spans="1:10">
      <c r="A195" s="4" t="str">
        <f t="shared" ref="A195:A258" si="80">D195&amp;"级"&amp;C195&amp;B195&amp;E195</f>
        <v>41级绿项链生命值</v>
      </c>
      <c r="B195" s="4" t="s">
        <v>215</v>
      </c>
      <c r="C195" s="4" t="s">
        <v>117</v>
      </c>
      <c r="D195" s="4">
        <v>41</v>
      </c>
      <c r="E195" s="4" t="s">
        <v>74</v>
      </c>
      <c r="F195" s="4">
        <f>VLOOKUP(E195,基础属性ID!A:B,2,0)</f>
        <v>1</v>
      </c>
      <c r="G195" s="4">
        <f>VLOOKUP(E195,基础属性ID!$A:$E,5,0)</f>
        <v>100</v>
      </c>
      <c r="H195" s="4">
        <v>10</v>
      </c>
      <c r="I195" s="4">
        <f t="shared" si="79"/>
        <v>30</v>
      </c>
      <c r="J195" s="4" t="str">
        <f t="shared" si="78"/>
        <v>1:100:10:30,</v>
      </c>
    </row>
    <row r="196" spans="1:10">
      <c r="A196" s="4" t="str">
        <f t="shared" si="80"/>
        <v>41级绿项链法力值</v>
      </c>
      <c r="B196" s="4" t="s">
        <v>215</v>
      </c>
      <c r="C196" s="4" t="s">
        <v>117</v>
      </c>
      <c r="D196" s="4">
        <v>41</v>
      </c>
      <c r="E196" s="4" t="s">
        <v>75</v>
      </c>
      <c r="F196" s="4">
        <f>VLOOKUP(E196,基础属性ID!A:B,2,0)</f>
        <v>2</v>
      </c>
      <c r="G196" s="4">
        <f>VLOOKUP(E196,基础属性ID!$A:$E,5,0)</f>
        <v>100</v>
      </c>
      <c r="H196" s="4">
        <v>4</v>
      </c>
      <c r="I196" s="4">
        <v>8</v>
      </c>
      <c r="J196" s="4" t="str">
        <f t="shared" si="78"/>
        <v>2:100:4:8,</v>
      </c>
    </row>
    <row r="197" spans="1:10">
      <c r="A197" s="4" t="str">
        <f t="shared" si="80"/>
        <v>41级绿项链物理攻击</v>
      </c>
      <c r="B197" s="4" t="s">
        <v>215</v>
      </c>
      <c r="C197" s="4" t="s">
        <v>117</v>
      </c>
      <c r="D197" s="4">
        <v>41</v>
      </c>
      <c r="E197" s="4" t="s">
        <v>13</v>
      </c>
      <c r="F197" s="4">
        <f>VLOOKUP(E197,基础属性ID!A:B,2,0)</f>
        <v>3</v>
      </c>
      <c r="G197" s="4">
        <f>VLOOKUP(E197,基础属性ID!$A:$E,5,0)</f>
        <v>100</v>
      </c>
      <c r="H197" s="4">
        <v>3</v>
      </c>
      <c r="I197" s="4">
        <f t="shared" ref="I197:I200" si="81">H197*3</f>
        <v>9</v>
      </c>
      <c r="J197" s="4" t="str">
        <f t="shared" si="78"/>
        <v>3:100:3:9,</v>
      </c>
    </row>
    <row r="198" spans="1:10">
      <c r="A198" s="4" t="str">
        <f t="shared" si="80"/>
        <v>41级绿项链魔法攻击</v>
      </c>
      <c r="B198" s="4" t="s">
        <v>215</v>
      </c>
      <c r="C198" s="4" t="s">
        <v>117</v>
      </c>
      <c r="D198" s="4">
        <v>41</v>
      </c>
      <c r="E198" s="4" t="s">
        <v>14</v>
      </c>
      <c r="F198" s="4">
        <f>VLOOKUP(E198,基础属性ID!A:B,2,0)</f>
        <v>4</v>
      </c>
      <c r="G198" s="4">
        <f>VLOOKUP(E198,基础属性ID!$A:$E,5,0)</f>
        <v>100</v>
      </c>
      <c r="H198" s="4">
        <v>3</v>
      </c>
      <c r="I198" s="4">
        <f t="shared" si="81"/>
        <v>9</v>
      </c>
      <c r="J198" s="4" t="str">
        <f t="shared" si="78"/>
        <v>4:100:3:9,</v>
      </c>
    </row>
    <row r="199" spans="1:10">
      <c r="A199" s="4" t="str">
        <f t="shared" si="80"/>
        <v>41级绿项链道术攻击</v>
      </c>
      <c r="B199" s="4" t="s">
        <v>215</v>
      </c>
      <c r="C199" s="4" t="s">
        <v>117</v>
      </c>
      <c r="D199" s="4">
        <v>41</v>
      </c>
      <c r="E199" s="4" t="s">
        <v>15</v>
      </c>
      <c r="F199" s="4">
        <f>VLOOKUP(E199,基础属性ID!A:B,2,0)</f>
        <v>5</v>
      </c>
      <c r="G199" s="4">
        <f>VLOOKUP(E199,基础属性ID!$A:$E,5,0)</f>
        <v>100</v>
      </c>
      <c r="H199" s="4">
        <v>3</v>
      </c>
      <c r="I199" s="4">
        <f t="shared" si="81"/>
        <v>9</v>
      </c>
      <c r="J199" s="4" t="str">
        <f t="shared" si="78"/>
        <v>5:100:3:9,</v>
      </c>
    </row>
    <row r="200" spans="1:10">
      <c r="A200" s="4" t="str">
        <f t="shared" si="80"/>
        <v>41级绿项链防御</v>
      </c>
      <c r="B200" s="4" t="s">
        <v>215</v>
      </c>
      <c r="C200" s="4" t="s">
        <v>117</v>
      </c>
      <c r="D200" s="4">
        <v>41</v>
      </c>
      <c r="E200" s="4" t="s">
        <v>17</v>
      </c>
      <c r="F200" s="4">
        <f>VLOOKUP(E200,基础属性ID!A:B,2,0)</f>
        <v>6</v>
      </c>
      <c r="G200" s="4">
        <f>VLOOKUP(E200,基础属性ID!$A:$E,5,0)</f>
        <v>100</v>
      </c>
      <c r="H200" s="4">
        <v>3</v>
      </c>
      <c r="I200" s="4">
        <f t="shared" si="81"/>
        <v>9</v>
      </c>
      <c r="J200" s="4" t="str">
        <f t="shared" si="78"/>
        <v>6:100:3:9,</v>
      </c>
    </row>
    <row r="201" spans="1:10">
      <c r="A201" s="4" t="str">
        <f t="shared" si="80"/>
        <v>41级绿项链攻速</v>
      </c>
      <c r="B201" s="4" t="s">
        <v>215</v>
      </c>
      <c r="C201" s="4" t="s">
        <v>117</v>
      </c>
      <c r="D201" s="4">
        <v>41</v>
      </c>
      <c r="E201" s="4" t="s">
        <v>18</v>
      </c>
      <c r="F201" s="4">
        <f>VLOOKUP(E201,基础属性ID!A:B,2,0)</f>
        <v>7</v>
      </c>
      <c r="G201" s="4">
        <f>VLOOKUP(E201,基础属性ID!$A:$E,5,0)</f>
        <v>20</v>
      </c>
      <c r="H201" s="4">
        <v>1</v>
      </c>
      <c r="I201" s="4">
        <v>1</v>
      </c>
      <c r="J201" s="4" t="str">
        <f t="shared" si="78"/>
        <v>7:20:1:1,</v>
      </c>
    </row>
    <row r="202" spans="1:10">
      <c r="A202" s="4" t="str">
        <f t="shared" si="80"/>
        <v>41级绿项链幸运</v>
      </c>
      <c r="B202" s="4" t="s">
        <v>215</v>
      </c>
      <c r="C202" s="4" t="s">
        <v>117</v>
      </c>
      <c r="D202" s="4">
        <v>41</v>
      </c>
      <c r="E202" s="4" t="s">
        <v>19</v>
      </c>
      <c r="F202" s="4">
        <f>VLOOKUP(E202,基础属性ID!A:B,2,0)</f>
        <v>8</v>
      </c>
      <c r="G202" s="4">
        <f>VLOOKUP(E202,基础属性ID!$A:$E,5,0)</f>
        <v>20</v>
      </c>
      <c r="H202" s="4">
        <v>1</v>
      </c>
      <c r="I202" s="4">
        <v>1</v>
      </c>
      <c r="J202" s="4" t="str">
        <f t="shared" si="78"/>
        <v>8:20:1:1,</v>
      </c>
    </row>
    <row r="203" spans="1:10">
      <c r="A203" s="4" t="str">
        <f t="shared" si="80"/>
        <v>41级绿项链固定伤害</v>
      </c>
      <c r="B203" s="4" t="s">
        <v>215</v>
      </c>
      <c r="C203" s="4" t="s">
        <v>117</v>
      </c>
      <c r="D203" s="4">
        <v>41</v>
      </c>
      <c r="E203" s="4" t="s">
        <v>24</v>
      </c>
      <c r="F203" s="4">
        <f>VLOOKUP(E203,基础属性ID!A:B,2,0)</f>
        <v>9</v>
      </c>
      <c r="G203" s="4">
        <f>VLOOKUP(E203,基础属性ID!$A:$E,5,0)</f>
        <v>50</v>
      </c>
      <c r="H203" s="4">
        <v>3</v>
      </c>
      <c r="I203" s="4">
        <f t="shared" ref="I203:I204" si="82">H203*3</f>
        <v>9</v>
      </c>
      <c r="J203" s="4" t="str">
        <f t="shared" si="78"/>
        <v>9:50:3:9,</v>
      </c>
    </row>
    <row r="204" spans="1:10">
      <c r="A204" s="4" t="str">
        <f t="shared" si="80"/>
        <v>41级绿项链固定减伤</v>
      </c>
      <c r="B204" s="4" t="s">
        <v>215</v>
      </c>
      <c r="C204" s="4" t="s">
        <v>117</v>
      </c>
      <c r="D204" s="4">
        <v>41</v>
      </c>
      <c r="E204" s="4" t="s">
        <v>25</v>
      </c>
      <c r="F204" s="4">
        <f>VLOOKUP(E204,基础属性ID!A:B,2,0)</f>
        <v>10</v>
      </c>
      <c r="G204" s="4">
        <f>VLOOKUP(E204,基础属性ID!$A:$E,5,0)</f>
        <v>50</v>
      </c>
      <c r="H204" s="4">
        <v>3</v>
      </c>
      <c r="I204" s="4">
        <f t="shared" si="82"/>
        <v>9</v>
      </c>
      <c r="J204" s="4" t="str">
        <f t="shared" si="78"/>
        <v>10:50:3:9,</v>
      </c>
    </row>
    <row r="205" spans="1:10">
      <c r="A205" s="4" t="str">
        <f t="shared" si="80"/>
        <v>41级绿项链生命吸取</v>
      </c>
      <c r="B205" s="4" t="s">
        <v>215</v>
      </c>
      <c r="C205" s="4" t="s">
        <v>117</v>
      </c>
      <c r="D205" s="4">
        <v>41</v>
      </c>
      <c r="E205" s="4" t="s">
        <v>28</v>
      </c>
      <c r="F205" s="4">
        <f>VLOOKUP(E205,基础属性ID!A:B,2,0)</f>
        <v>11</v>
      </c>
      <c r="G205" s="4">
        <f>VLOOKUP(E205,基础属性ID!$A:$E,5,0)</f>
        <v>50</v>
      </c>
      <c r="H205" s="4">
        <v>2</v>
      </c>
      <c r="I205" s="4">
        <f t="shared" ref="I205:I206" si="83">H205*3</f>
        <v>6</v>
      </c>
      <c r="J205" s="4" t="str">
        <f t="shared" si="78"/>
        <v>11:50:2:6,</v>
      </c>
    </row>
    <row r="206" spans="1:10">
      <c r="A206" s="4" t="str">
        <f t="shared" si="80"/>
        <v>41级绿项链法力吸取</v>
      </c>
      <c r="B206" s="4" t="s">
        <v>215</v>
      </c>
      <c r="C206" s="4" t="s">
        <v>117</v>
      </c>
      <c r="D206" s="4">
        <v>41</v>
      </c>
      <c r="E206" s="4" t="s">
        <v>29</v>
      </c>
      <c r="F206" s="4">
        <f>VLOOKUP(E206,基础属性ID!A:B,2,0)</f>
        <v>12</v>
      </c>
      <c r="G206" s="4">
        <f>VLOOKUP(E206,基础属性ID!$A:$E,5,0)</f>
        <v>50</v>
      </c>
      <c r="H206" s="4">
        <v>2</v>
      </c>
      <c r="I206" s="4">
        <f t="shared" si="83"/>
        <v>6</v>
      </c>
      <c r="J206" s="4" t="str">
        <f t="shared" si="78"/>
        <v>12:50:2:6,</v>
      </c>
    </row>
    <row r="207" spans="1:10">
      <c r="A207" s="4" t="str">
        <f t="shared" si="80"/>
        <v>41级绿项链暴击几率</v>
      </c>
      <c r="B207" s="4" t="s">
        <v>215</v>
      </c>
      <c r="C207" s="4" t="s">
        <v>117</v>
      </c>
      <c r="D207" s="4">
        <v>41</v>
      </c>
      <c r="E207" s="4" t="s">
        <v>21</v>
      </c>
      <c r="F207" s="4">
        <f>VLOOKUP(E207,基础属性ID!A:B,2,0)</f>
        <v>13</v>
      </c>
      <c r="G207" s="4">
        <f>VLOOKUP(E207,基础属性ID!$A:$E,5,0)</f>
        <v>20</v>
      </c>
      <c r="H207" s="4">
        <v>10</v>
      </c>
      <c r="I207" s="4">
        <v>30</v>
      </c>
      <c r="J207" s="4" t="str">
        <f t="shared" si="78"/>
        <v>13:20:10:30,</v>
      </c>
    </row>
    <row r="208" spans="1:10">
      <c r="A208" s="4" t="str">
        <f t="shared" si="80"/>
        <v>41级绿项链爆击伤害</v>
      </c>
      <c r="B208" s="4" t="s">
        <v>215</v>
      </c>
      <c r="C208" s="4" t="s">
        <v>117</v>
      </c>
      <c r="D208" s="4">
        <v>41</v>
      </c>
      <c r="E208" s="4" t="s">
        <v>76</v>
      </c>
      <c r="F208" s="4">
        <f>VLOOKUP(E208,基础属性ID!A:B,2,0)</f>
        <v>14</v>
      </c>
      <c r="G208" s="4">
        <f>VLOOKUP(E208,基础属性ID!$A:$E,5,0)</f>
        <v>20</v>
      </c>
      <c r="H208" s="4">
        <v>1</v>
      </c>
      <c r="I208" s="4">
        <v>3</v>
      </c>
      <c r="J208" s="4" t="str">
        <f t="shared" si="78"/>
        <v>14:20:1:3,</v>
      </c>
    </row>
    <row r="209" spans="1:10">
      <c r="A209" s="4" t="str">
        <f t="shared" si="80"/>
        <v>41级绿项链伤害增加</v>
      </c>
      <c r="B209" s="4" t="s">
        <v>215</v>
      </c>
      <c r="C209" s="4" t="s">
        <v>117</v>
      </c>
      <c r="D209" s="4">
        <v>41</v>
      </c>
      <c r="E209" s="4" t="s">
        <v>26</v>
      </c>
      <c r="F209" s="4">
        <f>VLOOKUP(E209,基础属性ID!A:B,2,0)</f>
        <v>15</v>
      </c>
      <c r="G209" s="4">
        <f>VLOOKUP(E209,基础属性ID!$A:$E,5,0)</f>
        <v>10</v>
      </c>
      <c r="H209" s="4">
        <v>50</v>
      </c>
      <c r="I209" s="4">
        <v>100</v>
      </c>
      <c r="J209" s="4" t="str">
        <f t="shared" si="78"/>
        <v>15:10:50:100,</v>
      </c>
    </row>
    <row r="210" spans="1:10">
      <c r="A210" s="4" t="str">
        <f t="shared" si="80"/>
        <v>41级绿项链伤害减免</v>
      </c>
      <c r="B210" s="4" t="s">
        <v>215</v>
      </c>
      <c r="C210" s="4" t="s">
        <v>117</v>
      </c>
      <c r="D210" s="4">
        <v>41</v>
      </c>
      <c r="E210" s="4" t="s">
        <v>27</v>
      </c>
      <c r="F210" s="4">
        <f>VLOOKUP(E210,基础属性ID!A:B,2,0)</f>
        <v>16</v>
      </c>
      <c r="G210" s="4">
        <f>VLOOKUP(E210,基础属性ID!$A:$E,5,0)</f>
        <v>10</v>
      </c>
      <c r="H210" s="4">
        <v>50</v>
      </c>
      <c r="I210" s="4">
        <v>100</v>
      </c>
      <c r="J210" s="4" t="str">
        <f t="shared" si="78"/>
        <v>16:10:50:100,</v>
      </c>
    </row>
    <row r="211" spans="1:10">
      <c r="A211" s="4" t="str">
        <f t="shared" si="80"/>
        <v>41级绿项链装备掉率</v>
      </c>
      <c r="B211" s="4" t="s">
        <v>215</v>
      </c>
      <c r="C211" s="4" t="s">
        <v>117</v>
      </c>
      <c r="D211" s="4">
        <v>41</v>
      </c>
      <c r="E211" s="4" t="s">
        <v>30</v>
      </c>
      <c r="F211" s="4">
        <f>VLOOKUP(E211,基础属性ID!A:B,2,0)</f>
        <v>17</v>
      </c>
      <c r="G211" s="4">
        <f>VLOOKUP(E211,基础属性ID!$A:$E,5,0)</f>
        <v>60</v>
      </c>
      <c r="H211" s="4">
        <v>1</v>
      </c>
      <c r="I211" s="4">
        <f t="shared" ref="I211:I213" si="84">H211*3</f>
        <v>3</v>
      </c>
      <c r="J211" s="4" t="str">
        <f t="shared" si="78"/>
        <v>17:60:1:3,</v>
      </c>
    </row>
    <row r="212" spans="1:10">
      <c r="A212" s="4" t="str">
        <f t="shared" si="80"/>
        <v>41级绿项链极品掉率</v>
      </c>
      <c r="B212" s="4" t="s">
        <v>215</v>
      </c>
      <c r="C212" s="4" t="s">
        <v>117</v>
      </c>
      <c r="D212" s="4">
        <v>41</v>
      </c>
      <c r="E212" s="4" t="s">
        <v>31</v>
      </c>
      <c r="F212" s="4">
        <f>VLOOKUP(E212,基础属性ID!A:B,2,0)</f>
        <v>18</v>
      </c>
      <c r="G212" s="4">
        <f>VLOOKUP(E212,基础属性ID!$A:$E,5,0)</f>
        <v>60</v>
      </c>
      <c r="H212" s="4">
        <v>1</v>
      </c>
      <c r="I212" s="4">
        <f t="shared" si="84"/>
        <v>3</v>
      </c>
      <c r="J212" s="4" t="str">
        <f t="shared" si="78"/>
        <v>18:60:1:3,</v>
      </c>
    </row>
    <row r="213" spans="1:10">
      <c r="A213" s="4" t="str">
        <f t="shared" si="80"/>
        <v>61级绿项链生命值</v>
      </c>
      <c r="B213" s="4" t="s">
        <v>215</v>
      </c>
      <c r="C213" s="4" t="s">
        <v>117</v>
      </c>
      <c r="D213" s="4">
        <v>61</v>
      </c>
      <c r="E213" s="4" t="s">
        <v>74</v>
      </c>
      <c r="F213" s="4">
        <f>VLOOKUP(E213,基础属性ID!A:B,2,0)</f>
        <v>1</v>
      </c>
      <c r="G213" s="4">
        <f>VLOOKUP(E213,基础属性ID!$A:$E,5,0)</f>
        <v>100</v>
      </c>
      <c r="H213" s="4">
        <v>15</v>
      </c>
      <c r="I213" s="4">
        <f t="shared" si="84"/>
        <v>45</v>
      </c>
      <c r="J213" s="4" t="str">
        <f t="shared" si="78"/>
        <v>1:100:15:45,</v>
      </c>
    </row>
    <row r="214" spans="1:10">
      <c r="A214" s="4" t="str">
        <f t="shared" si="80"/>
        <v>61级绿项链法力值</v>
      </c>
      <c r="B214" s="4" t="s">
        <v>215</v>
      </c>
      <c r="C214" s="4" t="s">
        <v>117</v>
      </c>
      <c r="D214" s="4">
        <v>61</v>
      </c>
      <c r="E214" s="4" t="s">
        <v>75</v>
      </c>
      <c r="F214" s="4">
        <f>VLOOKUP(E214,基础属性ID!A:B,2,0)</f>
        <v>2</v>
      </c>
      <c r="G214" s="4">
        <f>VLOOKUP(E214,基础属性ID!$A:$E,5,0)</f>
        <v>100</v>
      </c>
      <c r="H214" s="4">
        <v>5</v>
      </c>
      <c r="I214" s="4">
        <v>10</v>
      </c>
      <c r="J214" s="4" t="str">
        <f t="shared" si="78"/>
        <v>2:100:5:10,</v>
      </c>
    </row>
    <row r="215" spans="1:10">
      <c r="A215" s="4" t="str">
        <f t="shared" si="80"/>
        <v>61级绿项链物理攻击</v>
      </c>
      <c r="B215" s="4" t="s">
        <v>215</v>
      </c>
      <c r="C215" s="4" t="s">
        <v>117</v>
      </c>
      <c r="D215" s="4">
        <v>61</v>
      </c>
      <c r="E215" s="4" t="s">
        <v>13</v>
      </c>
      <c r="F215" s="4">
        <f>VLOOKUP(E215,基础属性ID!A:B,2,0)</f>
        <v>3</v>
      </c>
      <c r="G215" s="4">
        <f>VLOOKUP(E215,基础属性ID!$A:$E,5,0)</f>
        <v>100</v>
      </c>
      <c r="H215" s="4">
        <v>5</v>
      </c>
      <c r="I215" s="4">
        <f t="shared" ref="I215:I218" si="85">H215*3</f>
        <v>15</v>
      </c>
      <c r="J215" s="4" t="str">
        <f t="shared" si="78"/>
        <v>3:100:5:15,</v>
      </c>
    </row>
    <row r="216" spans="1:10">
      <c r="A216" s="4" t="str">
        <f t="shared" si="80"/>
        <v>61级绿项链魔法攻击</v>
      </c>
      <c r="B216" s="4" t="s">
        <v>215</v>
      </c>
      <c r="C216" s="4" t="s">
        <v>117</v>
      </c>
      <c r="D216" s="4">
        <v>61</v>
      </c>
      <c r="E216" s="4" t="s">
        <v>14</v>
      </c>
      <c r="F216" s="4">
        <f>VLOOKUP(E216,基础属性ID!A:B,2,0)</f>
        <v>4</v>
      </c>
      <c r="G216" s="4">
        <f>VLOOKUP(E216,基础属性ID!$A:$E,5,0)</f>
        <v>100</v>
      </c>
      <c r="H216" s="4">
        <v>5</v>
      </c>
      <c r="I216" s="4">
        <f t="shared" si="85"/>
        <v>15</v>
      </c>
      <c r="J216" s="4" t="str">
        <f t="shared" si="78"/>
        <v>4:100:5:15,</v>
      </c>
    </row>
    <row r="217" spans="1:10">
      <c r="A217" s="4" t="str">
        <f t="shared" si="80"/>
        <v>61级绿项链道术攻击</v>
      </c>
      <c r="B217" s="4" t="s">
        <v>215</v>
      </c>
      <c r="C217" s="4" t="s">
        <v>117</v>
      </c>
      <c r="D217" s="4">
        <v>61</v>
      </c>
      <c r="E217" s="4" t="s">
        <v>15</v>
      </c>
      <c r="F217" s="4">
        <f>VLOOKUP(E217,基础属性ID!A:B,2,0)</f>
        <v>5</v>
      </c>
      <c r="G217" s="4">
        <f>VLOOKUP(E217,基础属性ID!$A:$E,5,0)</f>
        <v>100</v>
      </c>
      <c r="H217" s="4">
        <v>5</v>
      </c>
      <c r="I217" s="4">
        <f t="shared" si="85"/>
        <v>15</v>
      </c>
      <c r="J217" s="4" t="str">
        <f t="shared" si="78"/>
        <v>5:100:5:15,</v>
      </c>
    </row>
    <row r="218" spans="1:10">
      <c r="A218" s="4" t="str">
        <f t="shared" si="80"/>
        <v>61级绿项链防御</v>
      </c>
      <c r="B218" s="4" t="s">
        <v>215</v>
      </c>
      <c r="C218" s="4" t="s">
        <v>117</v>
      </c>
      <c r="D218" s="4">
        <v>61</v>
      </c>
      <c r="E218" s="4" t="s">
        <v>17</v>
      </c>
      <c r="F218" s="4">
        <f>VLOOKUP(E218,基础属性ID!A:B,2,0)</f>
        <v>6</v>
      </c>
      <c r="G218" s="4">
        <f>VLOOKUP(E218,基础属性ID!$A:$E,5,0)</f>
        <v>100</v>
      </c>
      <c r="H218" s="4">
        <v>5</v>
      </c>
      <c r="I218" s="4">
        <f t="shared" si="85"/>
        <v>15</v>
      </c>
      <c r="J218" s="4" t="str">
        <f t="shared" si="78"/>
        <v>6:100:5:15,</v>
      </c>
    </row>
    <row r="219" spans="1:10">
      <c r="A219" s="4" t="str">
        <f t="shared" si="80"/>
        <v>61级绿项链攻速</v>
      </c>
      <c r="B219" s="4" t="s">
        <v>215</v>
      </c>
      <c r="C219" s="4" t="s">
        <v>117</v>
      </c>
      <c r="D219" s="4">
        <v>61</v>
      </c>
      <c r="E219" s="4" t="s">
        <v>18</v>
      </c>
      <c r="F219" s="4">
        <f>VLOOKUP(E219,基础属性ID!A:B,2,0)</f>
        <v>7</v>
      </c>
      <c r="G219" s="4">
        <f>VLOOKUP(E219,基础属性ID!$A:$E,5,0)</f>
        <v>20</v>
      </c>
      <c r="H219" s="4">
        <v>1</v>
      </c>
      <c r="I219" s="4">
        <v>1</v>
      </c>
      <c r="J219" s="4" t="str">
        <f t="shared" si="78"/>
        <v>7:20:1:1,</v>
      </c>
    </row>
    <row r="220" spans="1:10">
      <c r="A220" s="4" t="str">
        <f t="shared" si="80"/>
        <v>61级绿项链幸运</v>
      </c>
      <c r="B220" s="4" t="s">
        <v>215</v>
      </c>
      <c r="C220" s="4" t="s">
        <v>117</v>
      </c>
      <c r="D220" s="4">
        <v>61</v>
      </c>
      <c r="E220" s="4" t="s">
        <v>19</v>
      </c>
      <c r="F220" s="4">
        <f>VLOOKUP(E220,基础属性ID!A:B,2,0)</f>
        <v>8</v>
      </c>
      <c r="G220" s="4">
        <f>VLOOKUP(E220,基础属性ID!$A:$E,5,0)</f>
        <v>20</v>
      </c>
      <c r="H220" s="4">
        <v>1</v>
      </c>
      <c r="I220" s="4">
        <v>1</v>
      </c>
      <c r="J220" s="4" t="str">
        <f t="shared" si="78"/>
        <v>8:20:1:1,</v>
      </c>
    </row>
    <row r="221" spans="1:10">
      <c r="A221" s="4" t="str">
        <f t="shared" si="80"/>
        <v>61级绿项链固定伤害</v>
      </c>
      <c r="B221" s="4" t="s">
        <v>215</v>
      </c>
      <c r="C221" s="4" t="s">
        <v>117</v>
      </c>
      <c r="D221" s="4">
        <v>61</v>
      </c>
      <c r="E221" s="4" t="s">
        <v>24</v>
      </c>
      <c r="F221" s="4">
        <f>VLOOKUP(E221,基础属性ID!A:B,2,0)</f>
        <v>9</v>
      </c>
      <c r="G221" s="4">
        <f>VLOOKUP(E221,基础属性ID!$A:$E,5,0)</f>
        <v>50</v>
      </c>
      <c r="H221" s="4">
        <v>4</v>
      </c>
      <c r="I221" s="4">
        <f t="shared" ref="I221:I222" si="86">H221*3</f>
        <v>12</v>
      </c>
      <c r="J221" s="4" t="str">
        <f t="shared" si="78"/>
        <v>9:50:4:12,</v>
      </c>
    </row>
    <row r="222" spans="1:10">
      <c r="A222" s="4" t="str">
        <f t="shared" si="80"/>
        <v>61级绿项链固定减伤</v>
      </c>
      <c r="B222" s="4" t="s">
        <v>215</v>
      </c>
      <c r="C222" s="4" t="s">
        <v>117</v>
      </c>
      <c r="D222" s="4">
        <v>61</v>
      </c>
      <c r="E222" s="4" t="s">
        <v>25</v>
      </c>
      <c r="F222" s="4">
        <f>VLOOKUP(E222,基础属性ID!A:B,2,0)</f>
        <v>10</v>
      </c>
      <c r="G222" s="4">
        <f>VLOOKUP(E222,基础属性ID!$A:$E,5,0)</f>
        <v>50</v>
      </c>
      <c r="H222" s="4">
        <v>4</v>
      </c>
      <c r="I222" s="4">
        <f t="shared" si="86"/>
        <v>12</v>
      </c>
      <c r="J222" s="4" t="str">
        <f t="shared" si="78"/>
        <v>10:50:4:12,</v>
      </c>
    </row>
    <row r="223" spans="1:10">
      <c r="A223" s="4" t="str">
        <f t="shared" si="80"/>
        <v>61级绿项链生命吸取</v>
      </c>
      <c r="B223" s="4" t="s">
        <v>215</v>
      </c>
      <c r="C223" s="4" t="s">
        <v>117</v>
      </c>
      <c r="D223" s="4">
        <v>61</v>
      </c>
      <c r="E223" s="4" t="s">
        <v>28</v>
      </c>
      <c r="F223" s="4">
        <f>VLOOKUP(E223,基础属性ID!A:B,2,0)</f>
        <v>11</v>
      </c>
      <c r="G223" s="4">
        <f>VLOOKUP(E223,基础属性ID!$A:$E,5,0)</f>
        <v>50</v>
      </c>
      <c r="H223" s="4">
        <v>3</v>
      </c>
      <c r="I223" s="4">
        <f t="shared" ref="I223:I224" si="87">H223*3</f>
        <v>9</v>
      </c>
      <c r="J223" s="4" t="str">
        <f t="shared" si="78"/>
        <v>11:50:3:9,</v>
      </c>
    </row>
    <row r="224" spans="1:10">
      <c r="A224" s="4" t="str">
        <f t="shared" si="80"/>
        <v>61级绿项链法力吸取</v>
      </c>
      <c r="B224" s="4" t="s">
        <v>215</v>
      </c>
      <c r="C224" s="4" t="s">
        <v>117</v>
      </c>
      <c r="D224" s="4">
        <v>61</v>
      </c>
      <c r="E224" s="4" t="s">
        <v>29</v>
      </c>
      <c r="F224" s="4">
        <f>VLOOKUP(E224,基础属性ID!A:B,2,0)</f>
        <v>12</v>
      </c>
      <c r="G224" s="4">
        <f>VLOOKUP(E224,基础属性ID!$A:$E,5,0)</f>
        <v>50</v>
      </c>
      <c r="H224" s="4">
        <v>3</v>
      </c>
      <c r="I224" s="4">
        <f t="shared" si="87"/>
        <v>9</v>
      </c>
      <c r="J224" s="4" t="str">
        <f t="shared" si="78"/>
        <v>12:50:3:9,</v>
      </c>
    </row>
    <row r="225" spans="1:10">
      <c r="A225" s="4" t="str">
        <f t="shared" si="80"/>
        <v>61级绿项链暴击几率</v>
      </c>
      <c r="B225" s="4" t="s">
        <v>215</v>
      </c>
      <c r="C225" s="4" t="s">
        <v>117</v>
      </c>
      <c r="D225" s="4">
        <v>61</v>
      </c>
      <c r="E225" s="4" t="s">
        <v>21</v>
      </c>
      <c r="F225" s="4">
        <f>VLOOKUP(E225,基础属性ID!A:B,2,0)</f>
        <v>13</v>
      </c>
      <c r="G225" s="4">
        <f>VLOOKUP(E225,基础属性ID!$A:$E,5,0)</f>
        <v>20</v>
      </c>
      <c r="H225" s="4">
        <v>10</v>
      </c>
      <c r="I225" s="4">
        <v>30</v>
      </c>
      <c r="J225" s="4" t="str">
        <f t="shared" si="78"/>
        <v>13:20:10:30,</v>
      </c>
    </row>
    <row r="226" spans="1:10">
      <c r="A226" s="4" t="str">
        <f t="shared" si="80"/>
        <v>61级绿项链爆击伤害</v>
      </c>
      <c r="B226" s="4" t="s">
        <v>215</v>
      </c>
      <c r="C226" s="4" t="s">
        <v>117</v>
      </c>
      <c r="D226" s="4">
        <v>61</v>
      </c>
      <c r="E226" s="4" t="s">
        <v>76</v>
      </c>
      <c r="F226" s="4">
        <f>VLOOKUP(E226,基础属性ID!A:B,2,0)</f>
        <v>14</v>
      </c>
      <c r="G226" s="4">
        <f>VLOOKUP(E226,基础属性ID!$A:$E,5,0)</f>
        <v>20</v>
      </c>
      <c r="H226" s="4">
        <v>1</v>
      </c>
      <c r="I226" s="4">
        <v>3</v>
      </c>
      <c r="J226" s="4" t="str">
        <f t="shared" si="78"/>
        <v>14:20:1:3,</v>
      </c>
    </row>
    <row r="227" spans="1:10">
      <c r="A227" s="4" t="str">
        <f t="shared" si="80"/>
        <v>61级绿项链伤害增加</v>
      </c>
      <c r="B227" s="4" t="s">
        <v>215</v>
      </c>
      <c r="C227" s="4" t="s">
        <v>117</v>
      </c>
      <c r="D227" s="4">
        <v>61</v>
      </c>
      <c r="E227" s="4" t="s">
        <v>26</v>
      </c>
      <c r="F227" s="4">
        <f>VLOOKUP(E227,基础属性ID!A:B,2,0)</f>
        <v>15</v>
      </c>
      <c r="G227" s="4">
        <f>VLOOKUP(E227,基础属性ID!$A:$E,5,0)</f>
        <v>10</v>
      </c>
      <c r="H227" s="4">
        <v>50</v>
      </c>
      <c r="I227" s="4">
        <v>100</v>
      </c>
      <c r="J227" s="4" t="str">
        <f t="shared" si="78"/>
        <v>15:10:50:100,</v>
      </c>
    </row>
    <row r="228" spans="1:10">
      <c r="A228" s="4" t="str">
        <f t="shared" si="80"/>
        <v>61级绿项链伤害减免</v>
      </c>
      <c r="B228" s="4" t="s">
        <v>215</v>
      </c>
      <c r="C228" s="4" t="s">
        <v>117</v>
      </c>
      <c r="D228" s="4">
        <v>61</v>
      </c>
      <c r="E228" s="4" t="s">
        <v>27</v>
      </c>
      <c r="F228" s="4">
        <f>VLOOKUP(E228,基础属性ID!A:B,2,0)</f>
        <v>16</v>
      </c>
      <c r="G228" s="4">
        <f>VLOOKUP(E228,基础属性ID!$A:$E,5,0)</f>
        <v>10</v>
      </c>
      <c r="H228" s="4">
        <v>50</v>
      </c>
      <c r="I228" s="4">
        <v>100</v>
      </c>
      <c r="J228" s="4" t="str">
        <f t="shared" si="78"/>
        <v>16:10:50:100,</v>
      </c>
    </row>
    <row r="229" spans="1:10">
      <c r="A229" s="4" t="str">
        <f t="shared" si="80"/>
        <v>61级绿项链装备掉率</v>
      </c>
      <c r="B229" s="4" t="s">
        <v>215</v>
      </c>
      <c r="C229" s="4" t="s">
        <v>117</v>
      </c>
      <c r="D229" s="4">
        <v>61</v>
      </c>
      <c r="E229" s="4" t="s">
        <v>30</v>
      </c>
      <c r="F229" s="4">
        <f>VLOOKUP(E229,基础属性ID!A:B,2,0)</f>
        <v>17</v>
      </c>
      <c r="G229" s="4">
        <f>VLOOKUP(E229,基础属性ID!$A:$E,5,0)</f>
        <v>60</v>
      </c>
      <c r="H229" s="4">
        <v>1</v>
      </c>
      <c r="I229" s="4">
        <f t="shared" ref="I229:I231" si="88">H229*3</f>
        <v>3</v>
      </c>
      <c r="J229" s="4" t="str">
        <f t="shared" si="78"/>
        <v>17:60:1:3,</v>
      </c>
    </row>
    <row r="230" spans="1:10">
      <c r="A230" s="4" t="str">
        <f t="shared" si="80"/>
        <v>61级绿项链极品掉率</v>
      </c>
      <c r="B230" s="4" t="s">
        <v>215</v>
      </c>
      <c r="C230" s="4" t="s">
        <v>117</v>
      </c>
      <c r="D230" s="4">
        <v>61</v>
      </c>
      <c r="E230" s="4" t="s">
        <v>31</v>
      </c>
      <c r="F230" s="4">
        <f>VLOOKUP(E230,基础属性ID!A:B,2,0)</f>
        <v>18</v>
      </c>
      <c r="G230" s="4">
        <f>VLOOKUP(E230,基础属性ID!$A:$E,5,0)</f>
        <v>60</v>
      </c>
      <c r="H230" s="4">
        <v>1</v>
      </c>
      <c r="I230" s="4">
        <f t="shared" si="88"/>
        <v>3</v>
      </c>
      <c r="J230" s="4" t="str">
        <f t="shared" si="78"/>
        <v>18:60:1:3,</v>
      </c>
    </row>
    <row r="231" spans="1:10">
      <c r="A231" s="4" t="str">
        <f t="shared" si="80"/>
        <v>21级绿手镯生命值</v>
      </c>
      <c r="B231" s="4" t="s">
        <v>218</v>
      </c>
      <c r="C231" s="4" t="s">
        <v>117</v>
      </c>
      <c r="D231" s="4">
        <v>21</v>
      </c>
      <c r="E231" s="4" t="s">
        <v>74</v>
      </c>
      <c r="F231" s="4">
        <f>VLOOKUP(E231,基础属性ID!A:B,2,0)</f>
        <v>1</v>
      </c>
      <c r="G231" s="4">
        <f>VLOOKUP(E231,基础属性ID!$A:$E,5,0)</f>
        <v>100</v>
      </c>
      <c r="H231" s="4">
        <v>5</v>
      </c>
      <c r="I231" s="4">
        <f t="shared" si="88"/>
        <v>15</v>
      </c>
      <c r="J231" s="4" t="str">
        <f t="shared" si="78"/>
        <v>1:100:5:15,</v>
      </c>
    </row>
    <row r="232" spans="1:10">
      <c r="A232" s="4" t="str">
        <f t="shared" si="80"/>
        <v>21级绿手镯法力值</v>
      </c>
      <c r="B232" s="4" t="s">
        <v>218</v>
      </c>
      <c r="C232" s="4" t="s">
        <v>117</v>
      </c>
      <c r="D232" s="4">
        <v>21</v>
      </c>
      <c r="E232" s="4" t="s">
        <v>75</v>
      </c>
      <c r="F232" s="4">
        <f>VLOOKUP(E232,基础属性ID!A:B,2,0)</f>
        <v>2</v>
      </c>
      <c r="G232" s="4">
        <f>VLOOKUP(E232,基础属性ID!$A:$E,5,0)</f>
        <v>100</v>
      </c>
      <c r="H232" s="4">
        <v>3</v>
      </c>
      <c r="I232" s="4">
        <v>6</v>
      </c>
      <c r="J232" s="4" t="str">
        <f t="shared" si="78"/>
        <v>2:100:3:6,</v>
      </c>
    </row>
    <row r="233" spans="1:10">
      <c r="A233" s="4" t="str">
        <f t="shared" si="80"/>
        <v>21级绿手镯物理攻击</v>
      </c>
      <c r="B233" s="4" t="s">
        <v>218</v>
      </c>
      <c r="C233" s="4" t="s">
        <v>117</v>
      </c>
      <c r="D233" s="4">
        <v>21</v>
      </c>
      <c r="E233" s="4" t="s">
        <v>13</v>
      </c>
      <c r="F233" s="4">
        <f>VLOOKUP(E233,基础属性ID!A:B,2,0)</f>
        <v>3</v>
      </c>
      <c r="G233" s="4">
        <f>VLOOKUP(E233,基础属性ID!$A:$E,5,0)</f>
        <v>100</v>
      </c>
      <c r="H233" s="4">
        <v>2</v>
      </c>
      <c r="I233" s="4">
        <f t="shared" ref="I233:I236" si="89">H233*3</f>
        <v>6</v>
      </c>
      <c r="J233" s="4" t="str">
        <f t="shared" si="78"/>
        <v>3:100:2:6,</v>
      </c>
    </row>
    <row r="234" spans="1:10">
      <c r="A234" s="4" t="str">
        <f t="shared" si="80"/>
        <v>21级绿手镯魔法攻击</v>
      </c>
      <c r="B234" s="4" t="s">
        <v>218</v>
      </c>
      <c r="C234" s="4" t="s">
        <v>117</v>
      </c>
      <c r="D234" s="4">
        <v>21</v>
      </c>
      <c r="E234" s="4" t="s">
        <v>14</v>
      </c>
      <c r="F234" s="4">
        <f>VLOOKUP(E234,基础属性ID!A:B,2,0)</f>
        <v>4</v>
      </c>
      <c r="G234" s="4">
        <f>VLOOKUP(E234,基础属性ID!$A:$E,5,0)</f>
        <v>100</v>
      </c>
      <c r="H234" s="4">
        <v>2</v>
      </c>
      <c r="I234" s="4">
        <f t="shared" si="89"/>
        <v>6</v>
      </c>
      <c r="J234" s="4" t="str">
        <f t="shared" si="78"/>
        <v>4:100:2:6,</v>
      </c>
    </row>
    <row r="235" spans="1:10">
      <c r="A235" s="4" t="str">
        <f t="shared" si="80"/>
        <v>21级绿手镯道术攻击</v>
      </c>
      <c r="B235" s="4" t="s">
        <v>218</v>
      </c>
      <c r="C235" s="4" t="s">
        <v>117</v>
      </c>
      <c r="D235" s="4">
        <v>21</v>
      </c>
      <c r="E235" s="4" t="s">
        <v>15</v>
      </c>
      <c r="F235" s="4">
        <f>VLOOKUP(E235,基础属性ID!A:B,2,0)</f>
        <v>5</v>
      </c>
      <c r="G235" s="4">
        <f>VLOOKUP(E235,基础属性ID!$A:$E,5,0)</f>
        <v>100</v>
      </c>
      <c r="H235" s="4">
        <v>2</v>
      </c>
      <c r="I235" s="4">
        <f t="shared" si="89"/>
        <v>6</v>
      </c>
      <c r="J235" s="4" t="str">
        <f t="shared" si="78"/>
        <v>5:100:2:6,</v>
      </c>
    </row>
    <row r="236" spans="1:10">
      <c r="A236" s="4" t="str">
        <f t="shared" si="80"/>
        <v>21级绿手镯防御</v>
      </c>
      <c r="B236" s="4" t="s">
        <v>218</v>
      </c>
      <c r="C236" s="4" t="s">
        <v>117</v>
      </c>
      <c r="D236" s="4">
        <v>21</v>
      </c>
      <c r="E236" s="4" t="s">
        <v>17</v>
      </c>
      <c r="F236" s="4">
        <f>VLOOKUP(E236,基础属性ID!A:B,2,0)</f>
        <v>6</v>
      </c>
      <c r="G236" s="4">
        <f>VLOOKUP(E236,基础属性ID!$A:$E,5,0)</f>
        <v>100</v>
      </c>
      <c r="H236" s="4">
        <v>2</v>
      </c>
      <c r="I236" s="4">
        <f t="shared" si="89"/>
        <v>6</v>
      </c>
      <c r="J236" s="4" t="str">
        <f t="shared" si="78"/>
        <v>6:100:2:6,</v>
      </c>
    </row>
    <row r="237" spans="1:10">
      <c r="A237" s="4" t="str">
        <f t="shared" si="80"/>
        <v>21级绿手镯攻速</v>
      </c>
      <c r="B237" s="4" t="s">
        <v>218</v>
      </c>
      <c r="C237" s="4" t="s">
        <v>117</v>
      </c>
      <c r="D237" s="4">
        <v>21</v>
      </c>
      <c r="E237" s="4" t="s">
        <v>18</v>
      </c>
      <c r="F237" s="4">
        <f>VLOOKUP(E237,基础属性ID!A:B,2,0)</f>
        <v>7</v>
      </c>
      <c r="G237" s="4">
        <f>VLOOKUP(E237,基础属性ID!$A:$E,5,0)</f>
        <v>20</v>
      </c>
      <c r="H237" s="4">
        <v>1</v>
      </c>
      <c r="I237" s="4">
        <v>1</v>
      </c>
      <c r="J237" s="4" t="str">
        <f t="shared" si="78"/>
        <v>7:20:1:1,</v>
      </c>
    </row>
    <row r="238" spans="1:10">
      <c r="A238" s="4" t="str">
        <f t="shared" si="80"/>
        <v>21级绿手镯固定伤害</v>
      </c>
      <c r="B238" s="4" t="s">
        <v>218</v>
      </c>
      <c r="C238" s="4" t="s">
        <v>117</v>
      </c>
      <c r="D238" s="4">
        <v>21</v>
      </c>
      <c r="E238" s="4" t="s">
        <v>24</v>
      </c>
      <c r="F238" s="4">
        <f>VLOOKUP(E238,基础属性ID!A:B,2,0)</f>
        <v>9</v>
      </c>
      <c r="G238" s="4">
        <f>VLOOKUP(E238,基础属性ID!$A:$E,5,0)</f>
        <v>50</v>
      </c>
      <c r="H238" s="4">
        <v>2</v>
      </c>
      <c r="I238" s="4">
        <f t="shared" ref="I238:I239" si="90">H238*3</f>
        <v>6</v>
      </c>
      <c r="J238" s="4" t="str">
        <f t="shared" si="78"/>
        <v>9:50:2:6,</v>
      </c>
    </row>
    <row r="239" spans="1:10">
      <c r="A239" s="4" t="str">
        <f t="shared" si="80"/>
        <v>21级绿手镯固定减伤</v>
      </c>
      <c r="B239" s="4" t="s">
        <v>218</v>
      </c>
      <c r="C239" s="4" t="s">
        <v>117</v>
      </c>
      <c r="D239" s="4">
        <v>21</v>
      </c>
      <c r="E239" s="4" t="s">
        <v>25</v>
      </c>
      <c r="F239" s="4">
        <f>VLOOKUP(E239,基础属性ID!A:B,2,0)</f>
        <v>10</v>
      </c>
      <c r="G239" s="4">
        <f>VLOOKUP(E239,基础属性ID!$A:$E,5,0)</f>
        <v>50</v>
      </c>
      <c r="H239" s="4">
        <v>2</v>
      </c>
      <c r="I239" s="4">
        <f t="shared" si="90"/>
        <v>6</v>
      </c>
      <c r="J239" s="4" t="str">
        <f t="shared" si="78"/>
        <v>10:50:2:6,</v>
      </c>
    </row>
    <row r="240" spans="1:10">
      <c r="A240" s="4" t="str">
        <f t="shared" si="80"/>
        <v>21级绿手镯生命吸取</v>
      </c>
      <c r="B240" s="4" t="s">
        <v>218</v>
      </c>
      <c r="C240" s="4" t="s">
        <v>117</v>
      </c>
      <c r="D240" s="4">
        <v>21</v>
      </c>
      <c r="E240" s="4" t="s">
        <v>28</v>
      </c>
      <c r="F240" s="4">
        <f>VLOOKUP(E240,基础属性ID!A:B,2,0)</f>
        <v>11</v>
      </c>
      <c r="G240" s="4">
        <f>VLOOKUP(E240,基础属性ID!$A:$E,5,0)</f>
        <v>50</v>
      </c>
      <c r="H240" s="4">
        <v>1</v>
      </c>
      <c r="I240" s="4">
        <f t="shared" ref="I240:I241" si="91">H240*3</f>
        <v>3</v>
      </c>
      <c r="J240" s="4" t="str">
        <f t="shared" si="78"/>
        <v>11:50:1:3,</v>
      </c>
    </row>
    <row r="241" spans="1:10">
      <c r="A241" s="4" t="str">
        <f t="shared" si="80"/>
        <v>21级绿手镯法力吸取</v>
      </c>
      <c r="B241" s="4" t="s">
        <v>218</v>
      </c>
      <c r="C241" s="4" t="s">
        <v>117</v>
      </c>
      <c r="D241" s="4">
        <v>21</v>
      </c>
      <c r="E241" s="4" t="s">
        <v>29</v>
      </c>
      <c r="F241" s="4">
        <f>VLOOKUP(E241,基础属性ID!A:B,2,0)</f>
        <v>12</v>
      </c>
      <c r="G241" s="4">
        <f>VLOOKUP(E241,基础属性ID!$A:$E,5,0)</f>
        <v>50</v>
      </c>
      <c r="H241" s="4">
        <v>1</v>
      </c>
      <c r="I241" s="4">
        <f t="shared" si="91"/>
        <v>3</v>
      </c>
      <c r="J241" s="4" t="str">
        <f t="shared" si="78"/>
        <v>12:50:1:3,</v>
      </c>
    </row>
    <row r="242" spans="1:10">
      <c r="A242" s="4" t="str">
        <f t="shared" si="80"/>
        <v>21级绿手镯暴击几率</v>
      </c>
      <c r="B242" s="4" t="s">
        <v>218</v>
      </c>
      <c r="C242" s="4" t="s">
        <v>117</v>
      </c>
      <c r="D242" s="4">
        <v>21</v>
      </c>
      <c r="E242" s="4" t="s">
        <v>21</v>
      </c>
      <c r="F242" s="4">
        <f>VLOOKUP(E242,基础属性ID!A:B,2,0)</f>
        <v>13</v>
      </c>
      <c r="G242" s="4">
        <f>VLOOKUP(E242,基础属性ID!$A:$E,5,0)</f>
        <v>20</v>
      </c>
      <c r="H242" s="4">
        <v>10</v>
      </c>
      <c r="I242" s="4">
        <v>30</v>
      </c>
      <c r="J242" s="4" t="str">
        <f t="shared" si="78"/>
        <v>13:20:10:30,</v>
      </c>
    </row>
    <row r="243" spans="1:10">
      <c r="A243" s="4" t="str">
        <f t="shared" si="80"/>
        <v>21级绿手镯爆击伤害</v>
      </c>
      <c r="B243" s="4" t="s">
        <v>218</v>
      </c>
      <c r="C243" s="4" t="s">
        <v>117</v>
      </c>
      <c r="D243" s="4">
        <v>21</v>
      </c>
      <c r="E243" s="4" t="s">
        <v>76</v>
      </c>
      <c r="F243" s="4">
        <f>VLOOKUP(E243,基础属性ID!A:B,2,0)</f>
        <v>14</v>
      </c>
      <c r="G243" s="4">
        <f>VLOOKUP(E243,基础属性ID!$A:$E,5,0)</f>
        <v>20</v>
      </c>
      <c r="H243" s="4">
        <v>1</v>
      </c>
      <c r="I243" s="4">
        <v>3</v>
      </c>
      <c r="J243" s="4" t="str">
        <f t="shared" si="78"/>
        <v>14:20:1:3,</v>
      </c>
    </row>
    <row r="244" spans="1:10">
      <c r="A244" s="4" t="str">
        <f t="shared" si="80"/>
        <v>21级绿手镯伤害增加</v>
      </c>
      <c r="B244" s="4" t="s">
        <v>218</v>
      </c>
      <c r="C244" s="4" t="s">
        <v>117</v>
      </c>
      <c r="D244" s="4">
        <v>21</v>
      </c>
      <c r="E244" s="4" t="s">
        <v>26</v>
      </c>
      <c r="F244" s="4">
        <f>VLOOKUP(E244,基础属性ID!A:B,2,0)</f>
        <v>15</v>
      </c>
      <c r="G244" s="4">
        <f>VLOOKUP(E244,基础属性ID!$A:$E,5,0)</f>
        <v>10</v>
      </c>
      <c r="H244" s="4">
        <v>50</v>
      </c>
      <c r="I244" s="4">
        <v>100</v>
      </c>
      <c r="J244" s="4" t="str">
        <f t="shared" si="78"/>
        <v>15:10:50:100,</v>
      </c>
    </row>
    <row r="245" spans="1:10">
      <c r="A245" s="4" t="str">
        <f t="shared" si="80"/>
        <v>21级绿手镯伤害减免</v>
      </c>
      <c r="B245" s="4" t="s">
        <v>218</v>
      </c>
      <c r="C245" s="4" t="s">
        <v>117</v>
      </c>
      <c r="D245" s="4">
        <v>21</v>
      </c>
      <c r="E245" s="4" t="s">
        <v>27</v>
      </c>
      <c r="F245" s="4">
        <f>VLOOKUP(E245,基础属性ID!A:B,2,0)</f>
        <v>16</v>
      </c>
      <c r="G245" s="4">
        <f>VLOOKUP(E245,基础属性ID!$A:$E,5,0)</f>
        <v>10</v>
      </c>
      <c r="H245" s="4">
        <v>50</v>
      </c>
      <c r="I245" s="4">
        <v>100</v>
      </c>
      <c r="J245" s="4" t="str">
        <f t="shared" si="78"/>
        <v>16:10:50:100,</v>
      </c>
    </row>
    <row r="246" spans="1:10">
      <c r="A246" s="4" t="str">
        <f t="shared" si="80"/>
        <v>21级绿手镯装备掉率</v>
      </c>
      <c r="B246" s="4" t="s">
        <v>218</v>
      </c>
      <c r="C246" s="4" t="s">
        <v>117</v>
      </c>
      <c r="D246" s="4">
        <v>21</v>
      </c>
      <c r="E246" s="4" t="s">
        <v>30</v>
      </c>
      <c r="F246" s="4">
        <f>VLOOKUP(E246,基础属性ID!A:B,2,0)</f>
        <v>17</v>
      </c>
      <c r="G246" s="4">
        <f>VLOOKUP(E246,基础属性ID!$A:$E,5,0)</f>
        <v>60</v>
      </c>
      <c r="H246" s="4">
        <v>1</v>
      </c>
      <c r="I246" s="4">
        <f t="shared" ref="I246:I248" si="92">H246*3</f>
        <v>3</v>
      </c>
      <c r="J246" s="4" t="str">
        <f t="shared" si="78"/>
        <v>17:60:1:3,</v>
      </c>
    </row>
    <row r="247" spans="1:10">
      <c r="A247" s="4" t="str">
        <f t="shared" si="80"/>
        <v>21级绿手镯极品掉率</v>
      </c>
      <c r="B247" s="4" t="s">
        <v>218</v>
      </c>
      <c r="C247" s="4" t="s">
        <v>117</v>
      </c>
      <c r="D247" s="4">
        <v>21</v>
      </c>
      <c r="E247" s="4" t="s">
        <v>31</v>
      </c>
      <c r="F247" s="4">
        <f>VLOOKUP(E247,基础属性ID!A:B,2,0)</f>
        <v>18</v>
      </c>
      <c r="G247" s="4">
        <f>VLOOKUP(E247,基础属性ID!$A:$E,5,0)</f>
        <v>60</v>
      </c>
      <c r="H247" s="4">
        <v>1</v>
      </c>
      <c r="I247" s="4">
        <f t="shared" si="92"/>
        <v>3</v>
      </c>
      <c r="J247" s="4" t="str">
        <f t="shared" si="78"/>
        <v>18:60:1:3,</v>
      </c>
    </row>
    <row r="248" spans="1:10">
      <c r="A248" s="4" t="str">
        <f t="shared" si="80"/>
        <v>41级绿手镯生命值</v>
      </c>
      <c r="B248" s="4" t="s">
        <v>218</v>
      </c>
      <c r="C248" s="4" t="s">
        <v>117</v>
      </c>
      <c r="D248" s="4">
        <v>41</v>
      </c>
      <c r="E248" s="4" t="s">
        <v>74</v>
      </c>
      <c r="F248" s="4">
        <f>VLOOKUP(E248,基础属性ID!A:B,2,0)</f>
        <v>1</v>
      </c>
      <c r="G248" s="4">
        <f>VLOOKUP(E248,基础属性ID!$A:$E,5,0)</f>
        <v>100</v>
      </c>
      <c r="H248" s="4">
        <v>10</v>
      </c>
      <c r="I248" s="4">
        <f t="shared" si="92"/>
        <v>30</v>
      </c>
      <c r="J248" s="4" t="str">
        <f t="shared" si="78"/>
        <v>1:100:10:30,</v>
      </c>
    </row>
    <row r="249" spans="1:10">
      <c r="A249" s="4" t="str">
        <f t="shared" si="80"/>
        <v>41级绿手镯法力值</v>
      </c>
      <c r="B249" s="4" t="s">
        <v>218</v>
      </c>
      <c r="C249" s="4" t="s">
        <v>117</v>
      </c>
      <c r="D249" s="4">
        <v>41</v>
      </c>
      <c r="E249" s="4" t="s">
        <v>75</v>
      </c>
      <c r="F249" s="4">
        <f>VLOOKUP(E249,基础属性ID!A:B,2,0)</f>
        <v>2</v>
      </c>
      <c r="G249" s="4">
        <f>VLOOKUP(E249,基础属性ID!$A:$E,5,0)</f>
        <v>100</v>
      </c>
      <c r="H249" s="4">
        <v>4</v>
      </c>
      <c r="I249" s="4">
        <v>8</v>
      </c>
      <c r="J249" s="4" t="str">
        <f t="shared" si="78"/>
        <v>2:100:4:8,</v>
      </c>
    </row>
    <row r="250" spans="1:10">
      <c r="A250" s="4" t="str">
        <f t="shared" si="80"/>
        <v>41级绿手镯物理攻击</v>
      </c>
      <c r="B250" s="4" t="s">
        <v>218</v>
      </c>
      <c r="C250" s="4" t="s">
        <v>117</v>
      </c>
      <c r="D250" s="4">
        <v>41</v>
      </c>
      <c r="E250" s="4" t="s">
        <v>13</v>
      </c>
      <c r="F250" s="4">
        <f>VLOOKUP(E250,基础属性ID!A:B,2,0)</f>
        <v>3</v>
      </c>
      <c r="G250" s="4">
        <f>VLOOKUP(E250,基础属性ID!$A:$E,5,0)</f>
        <v>100</v>
      </c>
      <c r="H250" s="4">
        <v>3</v>
      </c>
      <c r="I250" s="4">
        <f t="shared" ref="I250:I253" si="93">H250*3</f>
        <v>9</v>
      </c>
      <c r="J250" s="4" t="str">
        <f t="shared" si="78"/>
        <v>3:100:3:9,</v>
      </c>
    </row>
    <row r="251" spans="1:10">
      <c r="A251" s="4" t="str">
        <f t="shared" si="80"/>
        <v>41级绿手镯魔法攻击</v>
      </c>
      <c r="B251" s="4" t="s">
        <v>218</v>
      </c>
      <c r="C251" s="4" t="s">
        <v>117</v>
      </c>
      <c r="D251" s="4">
        <v>41</v>
      </c>
      <c r="E251" s="4" t="s">
        <v>14</v>
      </c>
      <c r="F251" s="4">
        <f>VLOOKUP(E251,基础属性ID!A:B,2,0)</f>
        <v>4</v>
      </c>
      <c r="G251" s="4">
        <f>VLOOKUP(E251,基础属性ID!$A:$E,5,0)</f>
        <v>100</v>
      </c>
      <c r="H251" s="4">
        <v>3</v>
      </c>
      <c r="I251" s="4">
        <f t="shared" si="93"/>
        <v>9</v>
      </c>
      <c r="J251" s="4" t="str">
        <f t="shared" si="78"/>
        <v>4:100:3:9,</v>
      </c>
    </row>
    <row r="252" spans="1:10">
      <c r="A252" s="4" t="str">
        <f t="shared" si="80"/>
        <v>41级绿手镯道术攻击</v>
      </c>
      <c r="B252" s="4" t="s">
        <v>218</v>
      </c>
      <c r="C252" s="4" t="s">
        <v>117</v>
      </c>
      <c r="D252" s="4">
        <v>41</v>
      </c>
      <c r="E252" s="4" t="s">
        <v>15</v>
      </c>
      <c r="F252" s="4">
        <f>VLOOKUP(E252,基础属性ID!A:B,2,0)</f>
        <v>5</v>
      </c>
      <c r="G252" s="4">
        <f>VLOOKUP(E252,基础属性ID!$A:$E,5,0)</f>
        <v>100</v>
      </c>
      <c r="H252" s="4">
        <v>3</v>
      </c>
      <c r="I252" s="4">
        <f t="shared" si="93"/>
        <v>9</v>
      </c>
      <c r="J252" s="4" t="str">
        <f t="shared" si="78"/>
        <v>5:100:3:9,</v>
      </c>
    </row>
    <row r="253" spans="1:10">
      <c r="A253" s="4" t="str">
        <f t="shared" si="80"/>
        <v>41级绿手镯防御</v>
      </c>
      <c r="B253" s="4" t="s">
        <v>218</v>
      </c>
      <c r="C253" s="4" t="s">
        <v>117</v>
      </c>
      <c r="D253" s="4">
        <v>41</v>
      </c>
      <c r="E253" s="4" t="s">
        <v>17</v>
      </c>
      <c r="F253" s="4">
        <f>VLOOKUP(E253,基础属性ID!A:B,2,0)</f>
        <v>6</v>
      </c>
      <c r="G253" s="4">
        <f>VLOOKUP(E253,基础属性ID!$A:$E,5,0)</f>
        <v>100</v>
      </c>
      <c r="H253" s="4">
        <v>3</v>
      </c>
      <c r="I253" s="4">
        <f t="shared" si="93"/>
        <v>9</v>
      </c>
      <c r="J253" s="4" t="str">
        <f t="shared" si="78"/>
        <v>6:100:3:9,</v>
      </c>
    </row>
    <row r="254" spans="1:10">
      <c r="A254" s="4" t="str">
        <f t="shared" si="80"/>
        <v>41级绿手镯攻速</v>
      </c>
      <c r="B254" s="4" t="s">
        <v>218</v>
      </c>
      <c r="C254" s="4" t="s">
        <v>117</v>
      </c>
      <c r="D254" s="4">
        <v>41</v>
      </c>
      <c r="E254" s="4" t="s">
        <v>18</v>
      </c>
      <c r="F254" s="4">
        <f>VLOOKUP(E254,基础属性ID!A:B,2,0)</f>
        <v>7</v>
      </c>
      <c r="G254" s="4">
        <f>VLOOKUP(E254,基础属性ID!$A:$E,5,0)</f>
        <v>20</v>
      </c>
      <c r="H254" s="4">
        <v>1</v>
      </c>
      <c r="I254" s="4">
        <v>1</v>
      </c>
      <c r="J254" s="4" t="str">
        <f t="shared" ref="J254:J313" si="94">F254&amp;":"&amp;G254&amp;":"&amp;H254&amp;":"&amp;I254&amp;","</f>
        <v>7:20:1:1,</v>
      </c>
    </row>
    <row r="255" spans="1:10">
      <c r="A255" s="4" t="str">
        <f t="shared" si="80"/>
        <v>41级绿手镯固定伤害</v>
      </c>
      <c r="B255" s="4" t="s">
        <v>218</v>
      </c>
      <c r="C255" s="4" t="s">
        <v>117</v>
      </c>
      <c r="D255" s="4">
        <v>41</v>
      </c>
      <c r="E255" s="4" t="s">
        <v>24</v>
      </c>
      <c r="F255" s="4">
        <f>VLOOKUP(E255,基础属性ID!A:B,2,0)</f>
        <v>9</v>
      </c>
      <c r="G255" s="4">
        <f>VLOOKUP(E255,基础属性ID!$A:$E,5,0)</f>
        <v>50</v>
      </c>
      <c r="H255" s="4">
        <v>3</v>
      </c>
      <c r="I255" s="4">
        <f t="shared" ref="I255:I256" si="95">H255*3</f>
        <v>9</v>
      </c>
      <c r="J255" s="4" t="str">
        <f t="shared" si="94"/>
        <v>9:50:3:9,</v>
      </c>
    </row>
    <row r="256" spans="1:10">
      <c r="A256" s="4" t="str">
        <f t="shared" si="80"/>
        <v>41级绿手镯固定减伤</v>
      </c>
      <c r="B256" s="4" t="s">
        <v>218</v>
      </c>
      <c r="C256" s="4" t="s">
        <v>117</v>
      </c>
      <c r="D256" s="4">
        <v>41</v>
      </c>
      <c r="E256" s="4" t="s">
        <v>25</v>
      </c>
      <c r="F256" s="4">
        <f>VLOOKUP(E256,基础属性ID!A:B,2,0)</f>
        <v>10</v>
      </c>
      <c r="G256" s="4">
        <f>VLOOKUP(E256,基础属性ID!$A:$E,5,0)</f>
        <v>50</v>
      </c>
      <c r="H256" s="4">
        <v>3</v>
      </c>
      <c r="I256" s="4">
        <f t="shared" si="95"/>
        <v>9</v>
      </c>
      <c r="J256" s="4" t="str">
        <f t="shared" si="94"/>
        <v>10:50:3:9,</v>
      </c>
    </row>
    <row r="257" spans="1:10">
      <c r="A257" s="4" t="str">
        <f t="shared" si="80"/>
        <v>41级绿手镯生命吸取</v>
      </c>
      <c r="B257" s="4" t="s">
        <v>218</v>
      </c>
      <c r="C257" s="4" t="s">
        <v>117</v>
      </c>
      <c r="D257" s="4">
        <v>41</v>
      </c>
      <c r="E257" s="4" t="s">
        <v>28</v>
      </c>
      <c r="F257" s="4">
        <f>VLOOKUP(E257,基础属性ID!A:B,2,0)</f>
        <v>11</v>
      </c>
      <c r="G257" s="4">
        <f>VLOOKUP(E257,基础属性ID!$A:$E,5,0)</f>
        <v>50</v>
      </c>
      <c r="H257" s="4">
        <v>2</v>
      </c>
      <c r="I257" s="4">
        <f t="shared" ref="I257:I258" si="96">H257*3</f>
        <v>6</v>
      </c>
      <c r="J257" s="4" t="str">
        <f t="shared" si="94"/>
        <v>11:50:2:6,</v>
      </c>
    </row>
    <row r="258" spans="1:10">
      <c r="A258" s="4" t="str">
        <f t="shared" si="80"/>
        <v>41级绿手镯法力吸取</v>
      </c>
      <c r="B258" s="4" t="s">
        <v>218</v>
      </c>
      <c r="C258" s="4" t="s">
        <v>117</v>
      </c>
      <c r="D258" s="4">
        <v>41</v>
      </c>
      <c r="E258" s="4" t="s">
        <v>29</v>
      </c>
      <c r="F258" s="4">
        <f>VLOOKUP(E258,基础属性ID!A:B,2,0)</f>
        <v>12</v>
      </c>
      <c r="G258" s="4">
        <f>VLOOKUP(E258,基础属性ID!$A:$E,5,0)</f>
        <v>50</v>
      </c>
      <c r="H258" s="4">
        <v>2</v>
      </c>
      <c r="I258" s="4">
        <f t="shared" si="96"/>
        <v>6</v>
      </c>
      <c r="J258" s="4" t="str">
        <f t="shared" si="94"/>
        <v>12:50:2:6,</v>
      </c>
    </row>
    <row r="259" spans="1:10">
      <c r="A259" s="4" t="str">
        <f t="shared" ref="A259:A322" si="97">D259&amp;"级"&amp;C259&amp;B259&amp;E259</f>
        <v>41级绿手镯暴击几率</v>
      </c>
      <c r="B259" s="4" t="s">
        <v>218</v>
      </c>
      <c r="C259" s="4" t="s">
        <v>117</v>
      </c>
      <c r="D259" s="4">
        <v>41</v>
      </c>
      <c r="E259" s="4" t="s">
        <v>21</v>
      </c>
      <c r="F259" s="4">
        <f>VLOOKUP(E259,基础属性ID!A:B,2,0)</f>
        <v>13</v>
      </c>
      <c r="G259" s="4">
        <f>VLOOKUP(E259,基础属性ID!$A:$E,5,0)</f>
        <v>20</v>
      </c>
      <c r="H259" s="4">
        <v>10</v>
      </c>
      <c r="I259" s="4">
        <v>30</v>
      </c>
      <c r="J259" s="4" t="str">
        <f t="shared" si="94"/>
        <v>13:20:10:30,</v>
      </c>
    </row>
    <row r="260" spans="1:10">
      <c r="A260" s="4" t="str">
        <f t="shared" si="97"/>
        <v>41级绿手镯爆击伤害</v>
      </c>
      <c r="B260" s="4" t="s">
        <v>218</v>
      </c>
      <c r="C260" s="4" t="s">
        <v>117</v>
      </c>
      <c r="D260" s="4">
        <v>41</v>
      </c>
      <c r="E260" s="4" t="s">
        <v>76</v>
      </c>
      <c r="F260" s="4">
        <f>VLOOKUP(E260,基础属性ID!A:B,2,0)</f>
        <v>14</v>
      </c>
      <c r="G260" s="4">
        <f>VLOOKUP(E260,基础属性ID!$A:$E,5,0)</f>
        <v>20</v>
      </c>
      <c r="H260" s="4">
        <v>1</v>
      </c>
      <c r="I260" s="4">
        <v>3</v>
      </c>
      <c r="J260" s="4" t="str">
        <f t="shared" si="94"/>
        <v>14:20:1:3,</v>
      </c>
    </row>
    <row r="261" spans="1:10">
      <c r="A261" s="4" t="str">
        <f t="shared" si="97"/>
        <v>41级绿手镯伤害增加</v>
      </c>
      <c r="B261" s="4" t="s">
        <v>218</v>
      </c>
      <c r="C261" s="4" t="s">
        <v>117</v>
      </c>
      <c r="D261" s="4">
        <v>41</v>
      </c>
      <c r="E261" s="4" t="s">
        <v>26</v>
      </c>
      <c r="F261" s="4">
        <f>VLOOKUP(E261,基础属性ID!A:B,2,0)</f>
        <v>15</v>
      </c>
      <c r="G261" s="4">
        <f>VLOOKUP(E261,基础属性ID!$A:$E,5,0)</f>
        <v>10</v>
      </c>
      <c r="H261" s="4">
        <v>50</v>
      </c>
      <c r="I261" s="4">
        <v>100</v>
      </c>
      <c r="J261" s="4" t="str">
        <f t="shared" si="94"/>
        <v>15:10:50:100,</v>
      </c>
    </row>
    <row r="262" spans="1:10">
      <c r="A262" s="4" t="str">
        <f t="shared" si="97"/>
        <v>41级绿手镯伤害减免</v>
      </c>
      <c r="B262" s="4" t="s">
        <v>218</v>
      </c>
      <c r="C262" s="4" t="s">
        <v>117</v>
      </c>
      <c r="D262" s="4">
        <v>41</v>
      </c>
      <c r="E262" s="4" t="s">
        <v>27</v>
      </c>
      <c r="F262" s="4">
        <f>VLOOKUP(E262,基础属性ID!A:B,2,0)</f>
        <v>16</v>
      </c>
      <c r="G262" s="4">
        <f>VLOOKUP(E262,基础属性ID!$A:$E,5,0)</f>
        <v>10</v>
      </c>
      <c r="H262" s="4">
        <v>50</v>
      </c>
      <c r="I262" s="4">
        <v>100</v>
      </c>
      <c r="J262" s="4" t="str">
        <f t="shared" si="94"/>
        <v>16:10:50:100,</v>
      </c>
    </row>
    <row r="263" spans="1:10">
      <c r="A263" s="4" t="str">
        <f t="shared" si="97"/>
        <v>41级绿手镯装备掉率</v>
      </c>
      <c r="B263" s="4" t="s">
        <v>218</v>
      </c>
      <c r="C263" s="4" t="s">
        <v>117</v>
      </c>
      <c r="D263" s="4">
        <v>41</v>
      </c>
      <c r="E263" s="4" t="s">
        <v>30</v>
      </c>
      <c r="F263" s="4">
        <f>VLOOKUP(E263,基础属性ID!A:B,2,0)</f>
        <v>17</v>
      </c>
      <c r="G263" s="4">
        <f>VLOOKUP(E263,基础属性ID!$A:$E,5,0)</f>
        <v>60</v>
      </c>
      <c r="H263" s="4">
        <v>1</v>
      </c>
      <c r="I263" s="4">
        <f t="shared" ref="I263:I265" si="98">H263*3</f>
        <v>3</v>
      </c>
      <c r="J263" s="4" t="str">
        <f t="shared" si="94"/>
        <v>17:60:1:3,</v>
      </c>
    </row>
    <row r="264" spans="1:10">
      <c r="A264" s="4" t="str">
        <f t="shared" si="97"/>
        <v>41级绿手镯极品掉率</v>
      </c>
      <c r="B264" s="4" t="s">
        <v>218</v>
      </c>
      <c r="C264" s="4" t="s">
        <v>117</v>
      </c>
      <c r="D264" s="4">
        <v>41</v>
      </c>
      <c r="E264" s="4" t="s">
        <v>31</v>
      </c>
      <c r="F264" s="4">
        <f>VLOOKUP(E264,基础属性ID!A:B,2,0)</f>
        <v>18</v>
      </c>
      <c r="G264" s="4">
        <f>VLOOKUP(E264,基础属性ID!$A:$E,5,0)</f>
        <v>60</v>
      </c>
      <c r="H264" s="4">
        <v>1</v>
      </c>
      <c r="I264" s="4">
        <f t="shared" si="98"/>
        <v>3</v>
      </c>
      <c r="J264" s="4" t="str">
        <f t="shared" si="94"/>
        <v>18:60:1:3,</v>
      </c>
    </row>
    <row r="265" spans="1:10">
      <c r="A265" s="4" t="str">
        <f t="shared" si="97"/>
        <v>61级绿手镯生命值</v>
      </c>
      <c r="B265" s="4" t="s">
        <v>218</v>
      </c>
      <c r="C265" s="4" t="s">
        <v>117</v>
      </c>
      <c r="D265" s="4">
        <v>61</v>
      </c>
      <c r="E265" s="4" t="s">
        <v>74</v>
      </c>
      <c r="F265" s="4">
        <f>VLOOKUP(E265,基础属性ID!A:B,2,0)</f>
        <v>1</v>
      </c>
      <c r="G265" s="4">
        <f>VLOOKUP(E265,基础属性ID!$A:$E,5,0)</f>
        <v>100</v>
      </c>
      <c r="H265" s="4">
        <v>15</v>
      </c>
      <c r="I265" s="4">
        <f t="shared" si="98"/>
        <v>45</v>
      </c>
      <c r="J265" s="4" t="str">
        <f t="shared" si="94"/>
        <v>1:100:15:45,</v>
      </c>
    </row>
    <row r="266" spans="1:10">
      <c r="A266" s="4" t="str">
        <f t="shared" si="97"/>
        <v>61级绿手镯法力值</v>
      </c>
      <c r="B266" s="4" t="s">
        <v>218</v>
      </c>
      <c r="C266" s="4" t="s">
        <v>117</v>
      </c>
      <c r="D266" s="4">
        <v>61</v>
      </c>
      <c r="E266" s="4" t="s">
        <v>75</v>
      </c>
      <c r="F266" s="4">
        <f>VLOOKUP(E266,基础属性ID!A:B,2,0)</f>
        <v>2</v>
      </c>
      <c r="G266" s="4">
        <f>VLOOKUP(E266,基础属性ID!$A:$E,5,0)</f>
        <v>100</v>
      </c>
      <c r="H266" s="4">
        <v>5</v>
      </c>
      <c r="I266" s="4">
        <v>10</v>
      </c>
      <c r="J266" s="4" t="str">
        <f t="shared" si="94"/>
        <v>2:100:5:10,</v>
      </c>
    </row>
    <row r="267" spans="1:10">
      <c r="A267" s="4" t="str">
        <f t="shared" si="97"/>
        <v>61级绿手镯物理攻击</v>
      </c>
      <c r="B267" s="4" t="s">
        <v>218</v>
      </c>
      <c r="C267" s="4" t="s">
        <v>117</v>
      </c>
      <c r="D267" s="4">
        <v>61</v>
      </c>
      <c r="E267" s="4" t="s">
        <v>13</v>
      </c>
      <c r="F267" s="4">
        <f>VLOOKUP(E267,基础属性ID!A:B,2,0)</f>
        <v>3</v>
      </c>
      <c r="G267" s="4">
        <f>VLOOKUP(E267,基础属性ID!$A:$E,5,0)</f>
        <v>100</v>
      </c>
      <c r="H267" s="4">
        <v>5</v>
      </c>
      <c r="I267" s="4">
        <f t="shared" ref="I267:I270" si="99">H267*3</f>
        <v>15</v>
      </c>
      <c r="J267" s="4" t="str">
        <f t="shared" si="94"/>
        <v>3:100:5:15,</v>
      </c>
    </row>
    <row r="268" spans="1:10">
      <c r="A268" s="4" t="str">
        <f t="shared" si="97"/>
        <v>61级绿手镯魔法攻击</v>
      </c>
      <c r="B268" s="4" t="s">
        <v>218</v>
      </c>
      <c r="C268" s="4" t="s">
        <v>117</v>
      </c>
      <c r="D268" s="4">
        <v>61</v>
      </c>
      <c r="E268" s="4" t="s">
        <v>14</v>
      </c>
      <c r="F268" s="4">
        <f>VLOOKUP(E268,基础属性ID!A:B,2,0)</f>
        <v>4</v>
      </c>
      <c r="G268" s="4">
        <f>VLOOKUP(E268,基础属性ID!$A:$E,5,0)</f>
        <v>100</v>
      </c>
      <c r="H268" s="4">
        <v>5</v>
      </c>
      <c r="I268" s="4">
        <f t="shared" si="99"/>
        <v>15</v>
      </c>
      <c r="J268" s="4" t="str">
        <f t="shared" si="94"/>
        <v>4:100:5:15,</v>
      </c>
    </row>
    <row r="269" spans="1:10">
      <c r="A269" s="4" t="str">
        <f t="shared" si="97"/>
        <v>61级绿手镯道术攻击</v>
      </c>
      <c r="B269" s="4" t="s">
        <v>218</v>
      </c>
      <c r="C269" s="4" t="s">
        <v>117</v>
      </c>
      <c r="D269" s="4">
        <v>61</v>
      </c>
      <c r="E269" s="4" t="s">
        <v>15</v>
      </c>
      <c r="F269" s="4">
        <f>VLOOKUP(E269,基础属性ID!A:B,2,0)</f>
        <v>5</v>
      </c>
      <c r="G269" s="4">
        <f>VLOOKUP(E269,基础属性ID!$A:$E,5,0)</f>
        <v>100</v>
      </c>
      <c r="H269" s="4">
        <v>5</v>
      </c>
      <c r="I269" s="4">
        <f t="shared" si="99"/>
        <v>15</v>
      </c>
      <c r="J269" s="4" t="str">
        <f t="shared" si="94"/>
        <v>5:100:5:15,</v>
      </c>
    </row>
    <row r="270" spans="1:10">
      <c r="A270" s="4" t="str">
        <f t="shared" si="97"/>
        <v>61级绿手镯防御</v>
      </c>
      <c r="B270" s="4" t="s">
        <v>218</v>
      </c>
      <c r="C270" s="4" t="s">
        <v>117</v>
      </c>
      <c r="D270" s="4">
        <v>61</v>
      </c>
      <c r="E270" s="4" t="s">
        <v>17</v>
      </c>
      <c r="F270" s="4">
        <f>VLOOKUP(E270,基础属性ID!A:B,2,0)</f>
        <v>6</v>
      </c>
      <c r="G270" s="4">
        <f>VLOOKUP(E270,基础属性ID!$A:$E,5,0)</f>
        <v>100</v>
      </c>
      <c r="H270" s="4">
        <v>5</v>
      </c>
      <c r="I270" s="4">
        <f t="shared" si="99"/>
        <v>15</v>
      </c>
      <c r="J270" s="4" t="str">
        <f t="shared" si="94"/>
        <v>6:100:5:15,</v>
      </c>
    </row>
    <row r="271" spans="1:10">
      <c r="A271" s="4" t="str">
        <f t="shared" si="97"/>
        <v>61级绿手镯攻速</v>
      </c>
      <c r="B271" s="4" t="s">
        <v>218</v>
      </c>
      <c r="C271" s="4" t="s">
        <v>117</v>
      </c>
      <c r="D271" s="4">
        <v>61</v>
      </c>
      <c r="E271" s="4" t="s">
        <v>18</v>
      </c>
      <c r="F271" s="4">
        <f>VLOOKUP(E271,基础属性ID!A:B,2,0)</f>
        <v>7</v>
      </c>
      <c r="G271" s="4">
        <f>VLOOKUP(E271,基础属性ID!$A:$E,5,0)</f>
        <v>20</v>
      </c>
      <c r="H271" s="4">
        <v>1</v>
      </c>
      <c r="I271" s="4">
        <v>1</v>
      </c>
      <c r="J271" s="4" t="str">
        <f t="shared" si="94"/>
        <v>7:20:1:1,</v>
      </c>
    </row>
    <row r="272" spans="1:10">
      <c r="A272" s="4" t="str">
        <f t="shared" si="97"/>
        <v>61级绿手镯固定伤害</v>
      </c>
      <c r="B272" s="4" t="s">
        <v>218</v>
      </c>
      <c r="C272" s="4" t="s">
        <v>117</v>
      </c>
      <c r="D272" s="4">
        <v>61</v>
      </c>
      <c r="E272" s="4" t="s">
        <v>24</v>
      </c>
      <c r="F272" s="4">
        <f>VLOOKUP(E272,基础属性ID!A:B,2,0)</f>
        <v>9</v>
      </c>
      <c r="G272" s="4">
        <f>VLOOKUP(E272,基础属性ID!$A:$E,5,0)</f>
        <v>50</v>
      </c>
      <c r="H272" s="4">
        <v>4</v>
      </c>
      <c r="I272" s="4">
        <f t="shared" ref="I272:I273" si="100">H272*3</f>
        <v>12</v>
      </c>
      <c r="J272" s="4" t="str">
        <f t="shared" si="94"/>
        <v>9:50:4:12,</v>
      </c>
    </row>
    <row r="273" spans="1:10">
      <c r="A273" s="4" t="str">
        <f t="shared" si="97"/>
        <v>61级绿手镯固定减伤</v>
      </c>
      <c r="B273" s="4" t="s">
        <v>218</v>
      </c>
      <c r="C273" s="4" t="s">
        <v>117</v>
      </c>
      <c r="D273" s="4">
        <v>61</v>
      </c>
      <c r="E273" s="4" t="s">
        <v>25</v>
      </c>
      <c r="F273" s="4">
        <f>VLOOKUP(E273,基础属性ID!A:B,2,0)</f>
        <v>10</v>
      </c>
      <c r="G273" s="4">
        <f>VLOOKUP(E273,基础属性ID!$A:$E,5,0)</f>
        <v>50</v>
      </c>
      <c r="H273" s="4">
        <v>4</v>
      </c>
      <c r="I273" s="4">
        <f t="shared" si="100"/>
        <v>12</v>
      </c>
      <c r="J273" s="4" t="str">
        <f t="shared" si="94"/>
        <v>10:50:4:12,</v>
      </c>
    </row>
    <row r="274" spans="1:10">
      <c r="A274" s="4" t="str">
        <f t="shared" si="97"/>
        <v>61级绿手镯生命吸取</v>
      </c>
      <c r="B274" s="4" t="s">
        <v>218</v>
      </c>
      <c r="C274" s="4" t="s">
        <v>117</v>
      </c>
      <c r="D274" s="4">
        <v>61</v>
      </c>
      <c r="E274" s="4" t="s">
        <v>28</v>
      </c>
      <c r="F274" s="4">
        <f>VLOOKUP(E274,基础属性ID!A:B,2,0)</f>
        <v>11</v>
      </c>
      <c r="G274" s="4">
        <f>VLOOKUP(E274,基础属性ID!$A:$E,5,0)</f>
        <v>50</v>
      </c>
      <c r="H274" s="4">
        <v>3</v>
      </c>
      <c r="I274" s="4">
        <f t="shared" ref="I274:I275" si="101">H274*3</f>
        <v>9</v>
      </c>
      <c r="J274" s="4" t="str">
        <f t="shared" si="94"/>
        <v>11:50:3:9,</v>
      </c>
    </row>
    <row r="275" spans="1:10">
      <c r="A275" s="4" t="str">
        <f t="shared" si="97"/>
        <v>61级绿手镯法力吸取</v>
      </c>
      <c r="B275" s="4" t="s">
        <v>218</v>
      </c>
      <c r="C275" s="4" t="s">
        <v>117</v>
      </c>
      <c r="D275" s="4">
        <v>61</v>
      </c>
      <c r="E275" s="4" t="s">
        <v>29</v>
      </c>
      <c r="F275" s="4">
        <f>VLOOKUP(E275,基础属性ID!A:B,2,0)</f>
        <v>12</v>
      </c>
      <c r="G275" s="4">
        <f>VLOOKUP(E275,基础属性ID!$A:$E,5,0)</f>
        <v>50</v>
      </c>
      <c r="H275" s="4">
        <v>3</v>
      </c>
      <c r="I275" s="4">
        <f t="shared" si="101"/>
        <v>9</v>
      </c>
      <c r="J275" s="4" t="str">
        <f t="shared" si="94"/>
        <v>12:50:3:9,</v>
      </c>
    </row>
    <row r="276" spans="1:10">
      <c r="A276" s="4" t="str">
        <f t="shared" si="97"/>
        <v>61级绿手镯暴击几率</v>
      </c>
      <c r="B276" s="4" t="s">
        <v>218</v>
      </c>
      <c r="C276" s="4" t="s">
        <v>117</v>
      </c>
      <c r="D276" s="4">
        <v>61</v>
      </c>
      <c r="E276" s="4" t="s">
        <v>21</v>
      </c>
      <c r="F276" s="4">
        <f>VLOOKUP(E276,基础属性ID!A:B,2,0)</f>
        <v>13</v>
      </c>
      <c r="G276" s="4">
        <f>VLOOKUP(E276,基础属性ID!$A:$E,5,0)</f>
        <v>20</v>
      </c>
      <c r="H276" s="4">
        <v>10</v>
      </c>
      <c r="I276" s="4">
        <v>30</v>
      </c>
      <c r="J276" s="4" t="str">
        <f t="shared" si="94"/>
        <v>13:20:10:30,</v>
      </c>
    </row>
    <row r="277" spans="1:10">
      <c r="A277" s="4" t="str">
        <f t="shared" si="97"/>
        <v>61级绿手镯爆击伤害</v>
      </c>
      <c r="B277" s="4" t="s">
        <v>218</v>
      </c>
      <c r="C277" s="4" t="s">
        <v>117</v>
      </c>
      <c r="D277" s="4">
        <v>61</v>
      </c>
      <c r="E277" s="4" t="s">
        <v>76</v>
      </c>
      <c r="F277" s="4">
        <f>VLOOKUP(E277,基础属性ID!A:B,2,0)</f>
        <v>14</v>
      </c>
      <c r="G277" s="4">
        <f>VLOOKUP(E277,基础属性ID!$A:$E,5,0)</f>
        <v>20</v>
      </c>
      <c r="H277" s="4">
        <v>1</v>
      </c>
      <c r="I277" s="4">
        <v>3</v>
      </c>
      <c r="J277" s="4" t="str">
        <f t="shared" si="94"/>
        <v>14:20:1:3,</v>
      </c>
    </row>
    <row r="278" spans="1:10">
      <c r="A278" s="4" t="str">
        <f t="shared" si="97"/>
        <v>61级绿手镯伤害增加</v>
      </c>
      <c r="B278" s="4" t="s">
        <v>218</v>
      </c>
      <c r="C278" s="4" t="s">
        <v>117</v>
      </c>
      <c r="D278" s="4">
        <v>61</v>
      </c>
      <c r="E278" s="4" t="s">
        <v>26</v>
      </c>
      <c r="F278" s="4">
        <f>VLOOKUP(E278,基础属性ID!A:B,2,0)</f>
        <v>15</v>
      </c>
      <c r="G278" s="4">
        <f>VLOOKUP(E278,基础属性ID!$A:$E,5,0)</f>
        <v>10</v>
      </c>
      <c r="H278" s="4">
        <v>50</v>
      </c>
      <c r="I278" s="4">
        <v>100</v>
      </c>
      <c r="J278" s="4" t="str">
        <f t="shared" si="94"/>
        <v>15:10:50:100,</v>
      </c>
    </row>
    <row r="279" spans="1:10">
      <c r="A279" s="4" t="str">
        <f t="shared" si="97"/>
        <v>61级绿手镯伤害减免</v>
      </c>
      <c r="B279" s="4" t="s">
        <v>218</v>
      </c>
      <c r="C279" s="4" t="s">
        <v>117</v>
      </c>
      <c r="D279" s="4">
        <v>61</v>
      </c>
      <c r="E279" s="4" t="s">
        <v>27</v>
      </c>
      <c r="F279" s="4">
        <f>VLOOKUP(E279,基础属性ID!A:B,2,0)</f>
        <v>16</v>
      </c>
      <c r="G279" s="4">
        <f>VLOOKUP(E279,基础属性ID!$A:$E,5,0)</f>
        <v>10</v>
      </c>
      <c r="H279" s="4">
        <v>50</v>
      </c>
      <c r="I279" s="4">
        <v>100</v>
      </c>
      <c r="J279" s="4" t="str">
        <f t="shared" si="94"/>
        <v>16:10:50:100,</v>
      </c>
    </row>
    <row r="280" spans="1:10">
      <c r="A280" s="4" t="str">
        <f t="shared" si="97"/>
        <v>61级绿手镯装备掉率</v>
      </c>
      <c r="B280" s="4" t="s">
        <v>218</v>
      </c>
      <c r="C280" s="4" t="s">
        <v>117</v>
      </c>
      <c r="D280" s="4">
        <v>61</v>
      </c>
      <c r="E280" s="4" t="s">
        <v>30</v>
      </c>
      <c r="F280" s="4">
        <f>VLOOKUP(E280,基础属性ID!A:B,2,0)</f>
        <v>17</v>
      </c>
      <c r="G280" s="4">
        <f>VLOOKUP(E280,基础属性ID!$A:$E,5,0)</f>
        <v>60</v>
      </c>
      <c r="H280" s="4">
        <v>1</v>
      </c>
      <c r="I280" s="4">
        <f t="shared" ref="I280:I282" si="102">H280*3</f>
        <v>3</v>
      </c>
      <c r="J280" s="4" t="str">
        <f t="shared" si="94"/>
        <v>17:60:1:3,</v>
      </c>
    </row>
    <row r="281" spans="1:10">
      <c r="A281" s="4" t="str">
        <f t="shared" si="97"/>
        <v>61级绿手镯极品掉率</v>
      </c>
      <c r="B281" s="4" t="s">
        <v>218</v>
      </c>
      <c r="C281" s="4" t="s">
        <v>117</v>
      </c>
      <c r="D281" s="4">
        <v>61</v>
      </c>
      <c r="E281" s="4" t="s">
        <v>31</v>
      </c>
      <c r="F281" s="4">
        <f>VLOOKUP(E281,基础属性ID!A:B,2,0)</f>
        <v>18</v>
      </c>
      <c r="G281" s="4">
        <f>VLOOKUP(E281,基础属性ID!$A:$E,5,0)</f>
        <v>60</v>
      </c>
      <c r="H281" s="4">
        <v>1</v>
      </c>
      <c r="I281" s="4">
        <f t="shared" si="102"/>
        <v>3</v>
      </c>
      <c r="J281" s="4" t="str">
        <f t="shared" si="94"/>
        <v>18:60:1:3,</v>
      </c>
    </row>
    <row r="282" spans="1:10">
      <c r="A282" s="4" t="str">
        <f t="shared" si="97"/>
        <v>21级绿戒指生命值</v>
      </c>
      <c r="B282" s="4" t="s">
        <v>221</v>
      </c>
      <c r="C282" s="4" t="s">
        <v>117</v>
      </c>
      <c r="D282" s="4">
        <v>21</v>
      </c>
      <c r="E282" s="4" t="s">
        <v>74</v>
      </c>
      <c r="F282" s="4">
        <f>VLOOKUP(E282,基础属性ID!A:B,2,0)</f>
        <v>1</v>
      </c>
      <c r="G282" s="4">
        <f>VLOOKUP(E282,基础属性ID!$A:$E,5,0)</f>
        <v>100</v>
      </c>
      <c r="H282" s="4">
        <v>5</v>
      </c>
      <c r="I282" s="4">
        <f t="shared" si="102"/>
        <v>15</v>
      </c>
      <c r="J282" s="4" t="str">
        <f t="shared" si="94"/>
        <v>1:100:5:15,</v>
      </c>
    </row>
    <row r="283" spans="1:10">
      <c r="A283" s="4" t="str">
        <f t="shared" si="97"/>
        <v>21级绿戒指法力值</v>
      </c>
      <c r="B283" s="4" t="s">
        <v>221</v>
      </c>
      <c r="C283" s="4" t="s">
        <v>117</v>
      </c>
      <c r="D283" s="4">
        <v>21</v>
      </c>
      <c r="E283" s="4" t="s">
        <v>75</v>
      </c>
      <c r="F283" s="4">
        <f>VLOOKUP(E283,基础属性ID!A:B,2,0)</f>
        <v>2</v>
      </c>
      <c r="G283" s="4">
        <f>VLOOKUP(E283,基础属性ID!$A:$E,5,0)</f>
        <v>100</v>
      </c>
      <c r="H283" s="4">
        <v>3</v>
      </c>
      <c r="I283" s="4">
        <v>6</v>
      </c>
      <c r="J283" s="4" t="str">
        <f t="shared" si="94"/>
        <v>2:100:3:6,</v>
      </c>
    </row>
    <row r="284" spans="1:10">
      <c r="A284" s="4" t="str">
        <f t="shared" si="97"/>
        <v>21级绿戒指物理攻击</v>
      </c>
      <c r="B284" s="4" t="s">
        <v>221</v>
      </c>
      <c r="C284" s="4" t="s">
        <v>117</v>
      </c>
      <c r="D284" s="4">
        <v>21</v>
      </c>
      <c r="E284" s="4" t="s">
        <v>13</v>
      </c>
      <c r="F284" s="4">
        <f>VLOOKUP(E284,基础属性ID!A:B,2,0)</f>
        <v>3</v>
      </c>
      <c r="G284" s="4">
        <f>VLOOKUP(E284,基础属性ID!$A:$E,5,0)</f>
        <v>100</v>
      </c>
      <c r="H284" s="4">
        <v>2</v>
      </c>
      <c r="I284" s="4">
        <f t="shared" ref="I284:I287" si="103">H284*3</f>
        <v>6</v>
      </c>
      <c r="J284" s="4" t="str">
        <f t="shared" si="94"/>
        <v>3:100:2:6,</v>
      </c>
    </row>
    <row r="285" spans="1:10">
      <c r="A285" s="4" t="str">
        <f t="shared" si="97"/>
        <v>21级绿戒指魔法攻击</v>
      </c>
      <c r="B285" s="4" t="s">
        <v>221</v>
      </c>
      <c r="C285" s="4" t="s">
        <v>117</v>
      </c>
      <c r="D285" s="4">
        <v>21</v>
      </c>
      <c r="E285" s="4" t="s">
        <v>14</v>
      </c>
      <c r="F285" s="4">
        <f>VLOOKUP(E285,基础属性ID!A:B,2,0)</f>
        <v>4</v>
      </c>
      <c r="G285" s="4">
        <f>VLOOKUP(E285,基础属性ID!$A:$E,5,0)</f>
        <v>100</v>
      </c>
      <c r="H285" s="4">
        <v>2</v>
      </c>
      <c r="I285" s="4">
        <f t="shared" si="103"/>
        <v>6</v>
      </c>
      <c r="J285" s="4" t="str">
        <f t="shared" si="94"/>
        <v>4:100:2:6,</v>
      </c>
    </row>
    <row r="286" spans="1:10">
      <c r="A286" s="4" t="str">
        <f t="shared" si="97"/>
        <v>21级绿戒指道术攻击</v>
      </c>
      <c r="B286" s="4" t="s">
        <v>221</v>
      </c>
      <c r="C286" s="4" t="s">
        <v>117</v>
      </c>
      <c r="D286" s="4">
        <v>21</v>
      </c>
      <c r="E286" s="4" t="s">
        <v>15</v>
      </c>
      <c r="F286" s="4">
        <f>VLOOKUP(E286,基础属性ID!A:B,2,0)</f>
        <v>5</v>
      </c>
      <c r="G286" s="4">
        <f>VLOOKUP(E286,基础属性ID!$A:$E,5,0)</f>
        <v>100</v>
      </c>
      <c r="H286" s="4">
        <v>2</v>
      </c>
      <c r="I286" s="4">
        <f t="shared" si="103"/>
        <v>6</v>
      </c>
      <c r="J286" s="4" t="str">
        <f t="shared" si="94"/>
        <v>5:100:2:6,</v>
      </c>
    </row>
    <row r="287" spans="1:10">
      <c r="A287" s="4" t="str">
        <f t="shared" si="97"/>
        <v>21级绿戒指防御</v>
      </c>
      <c r="B287" s="4" t="s">
        <v>221</v>
      </c>
      <c r="C287" s="4" t="s">
        <v>117</v>
      </c>
      <c r="D287" s="4">
        <v>21</v>
      </c>
      <c r="E287" s="4" t="s">
        <v>17</v>
      </c>
      <c r="F287" s="4">
        <f>VLOOKUP(E287,基础属性ID!A:B,2,0)</f>
        <v>6</v>
      </c>
      <c r="G287" s="4">
        <f>VLOOKUP(E287,基础属性ID!$A:$E,5,0)</f>
        <v>100</v>
      </c>
      <c r="H287" s="4">
        <v>2</v>
      </c>
      <c r="I287" s="4">
        <f t="shared" si="103"/>
        <v>6</v>
      </c>
      <c r="J287" s="4" t="str">
        <f t="shared" si="94"/>
        <v>6:100:2:6,</v>
      </c>
    </row>
    <row r="288" spans="1:10">
      <c r="A288" s="4" t="str">
        <f t="shared" si="97"/>
        <v>21级绿戒指攻速</v>
      </c>
      <c r="B288" s="4" t="s">
        <v>221</v>
      </c>
      <c r="C288" s="4" t="s">
        <v>117</v>
      </c>
      <c r="D288" s="4">
        <v>21</v>
      </c>
      <c r="E288" s="4" t="s">
        <v>18</v>
      </c>
      <c r="F288" s="4">
        <f>VLOOKUP(E288,基础属性ID!A:B,2,0)</f>
        <v>7</v>
      </c>
      <c r="G288" s="4">
        <f>VLOOKUP(E288,基础属性ID!$A:$E,5,0)</f>
        <v>20</v>
      </c>
      <c r="H288" s="4">
        <v>1</v>
      </c>
      <c r="I288" s="4">
        <v>1</v>
      </c>
      <c r="J288" s="4" t="str">
        <f t="shared" si="94"/>
        <v>7:20:1:1,</v>
      </c>
    </row>
    <row r="289" spans="1:10">
      <c r="A289" s="4" t="str">
        <f t="shared" si="97"/>
        <v>21级绿戒指固定伤害</v>
      </c>
      <c r="B289" s="4" t="s">
        <v>221</v>
      </c>
      <c r="C289" s="4" t="s">
        <v>117</v>
      </c>
      <c r="D289" s="4">
        <v>21</v>
      </c>
      <c r="E289" s="4" t="s">
        <v>24</v>
      </c>
      <c r="F289" s="4">
        <f>VLOOKUP(E289,基础属性ID!A:B,2,0)</f>
        <v>9</v>
      </c>
      <c r="G289" s="4">
        <f>VLOOKUP(E289,基础属性ID!$A:$E,5,0)</f>
        <v>50</v>
      </c>
      <c r="H289" s="4">
        <v>2</v>
      </c>
      <c r="I289" s="4">
        <f t="shared" ref="I289:I290" si="104">H289*3</f>
        <v>6</v>
      </c>
      <c r="J289" s="4" t="str">
        <f t="shared" si="94"/>
        <v>9:50:2:6,</v>
      </c>
    </row>
    <row r="290" spans="1:10">
      <c r="A290" s="4" t="str">
        <f t="shared" si="97"/>
        <v>21级绿戒指固定减伤</v>
      </c>
      <c r="B290" s="4" t="s">
        <v>221</v>
      </c>
      <c r="C290" s="4" t="s">
        <v>117</v>
      </c>
      <c r="D290" s="4">
        <v>21</v>
      </c>
      <c r="E290" s="4" t="s">
        <v>25</v>
      </c>
      <c r="F290" s="4">
        <f>VLOOKUP(E290,基础属性ID!A:B,2,0)</f>
        <v>10</v>
      </c>
      <c r="G290" s="4">
        <f>VLOOKUP(E290,基础属性ID!$A:$E,5,0)</f>
        <v>50</v>
      </c>
      <c r="H290" s="4">
        <v>2</v>
      </c>
      <c r="I290" s="4">
        <f t="shared" si="104"/>
        <v>6</v>
      </c>
      <c r="J290" s="4" t="str">
        <f t="shared" si="94"/>
        <v>10:50:2:6,</v>
      </c>
    </row>
    <row r="291" spans="1:10">
      <c r="A291" s="4" t="str">
        <f t="shared" si="97"/>
        <v>21级绿戒指生命吸取</v>
      </c>
      <c r="B291" s="4" t="s">
        <v>221</v>
      </c>
      <c r="C291" s="4" t="s">
        <v>117</v>
      </c>
      <c r="D291" s="4">
        <v>21</v>
      </c>
      <c r="E291" s="4" t="s">
        <v>28</v>
      </c>
      <c r="F291" s="4">
        <f>VLOOKUP(E291,基础属性ID!A:B,2,0)</f>
        <v>11</v>
      </c>
      <c r="G291" s="4">
        <f>VLOOKUP(E291,基础属性ID!$A:$E,5,0)</f>
        <v>50</v>
      </c>
      <c r="H291" s="4">
        <v>1</v>
      </c>
      <c r="I291" s="4">
        <f t="shared" ref="I291:I292" si="105">H291*3</f>
        <v>3</v>
      </c>
      <c r="J291" s="4" t="str">
        <f t="shared" si="94"/>
        <v>11:50:1:3,</v>
      </c>
    </row>
    <row r="292" spans="1:10">
      <c r="A292" s="4" t="str">
        <f t="shared" si="97"/>
        <v>21级绿戒指法力吸取</v>
      </c>
      <c r="B292" s="4" t="s">
        <v>221</v>
      </c>
      <c r="C292" s="4" t="s">
        <v>117</v>
      </c>
      <c r="D292" s="4">
        <v>21</v>
      </c>
      <c r="E292" s="4" t="s">
        <v>29</v>
      </c>
      <c r="F292" s="4">
        <f>VLOOKUP(E292,基础属性ID!A:B,2,0)</f>
        <v>12</v>
      </c>
      <c r="G292" s="4">
        <f>VLOOKUP(E292,基础属性ID!$A:$E,5,0)</f>
        <v>50</v>
      </c>
      <c r="H292" s="4">
        <v>1</v>
      </c>
      <c r="I292" s="4">
        <f t="shared" si="105"/>
        <v>3</v>
      </c>
      <c r="J292" s="4" t="str">
        <f t="shared" si="94"/>
        <v>12:50:1:3,</v>
      </c>
    </row>
    <row r="293" spans="1:10">
      <c r="A293" s="4" t="str">
        <f t="shared" si="97"/>
        <v>21级绿戒指暴击几率</v>
      </c>
      <c r="B293" s="4" t="s">
        <v>221</v>
      </c>
      <c r="C293" s="4" t="s">
        <v>117</v>
      </c>
      <c r="D293" s="4">
        <v>21</v>
      </c>
      <c r="E293" s="4" t="s">
        <v>21</v>
      </c>
      <c r="F293" s="4">
        <f>VLOOKUP(E293,基础属性ID!A:B,2,0)</f>
        <v>13</v>
      </c>
      <c r="G293" s="4">
        <f>VLOOKUP(E293,基础属性ID!$A:$E,5,0)</f>
        <v>20</v>
      </c>
      <c r="H293" s="4">
        <v>10</v>
      </c>
      <c r="I293" s="4">
        <v>30</v>
      </c>
      <c r="J293" s="4" t="str">
        <f t="shared" si="94"/>
        <v>13:20:10:30,</v>
      </c>
    </row>
    <row r="294" spans="1:10">
      <c r="A294" s="4" t="str">
        <f t="shared" si="97"/>
        <v>21级绿戒指爆击伤害</v>
      </c>
      <c r="B294" s="4" t="s">
        <v>221</v>
      </c>
      <c r="C294" s="4" t="s">
        <v>117</v>
      </c>
      <c r="D294" s="4">
        <v>21</v>
      </c>
      <c r="E294" s="4" t="s">
        <v>76</v>
      </c>
      <c r="F294" s="4">
        <f>VLOOKUP(E294,基础属性ID!A:B,2,0)</f>
        <v>14</v>
      </c>
      <c r="G294" s="4">
        <f>VLOOKUP(E294,基础属性ID!$A:$E,5,0)</f>
        <v>20</v>
      </c>
      <c r="H294" s="4">
        <v>1</v>
      </c>
      <c r="I294" s="4">
        <v>3</v>
      </c>
      <c r="J294" s="4" t="str">
        <f t="shared" si="94"/>
        <v>14:20:1:3,</v>
      </c>
    </row>
    <row r="295" spans="1:10">
      <c r="A295" s="4" t="str">
        <f t="shared" si="97"/>
        <v>21级绿戒指伤害增加</v>
      </c>
      <c r="B295" s="4" t="s">
        <v>221</v>
      </c>
      <c r="C295" s="4" t="s">
        <v>117</v>
      </c>
      <c r="D295" s="4">
        <v>21</v>
      </c>
      <c r="E295" s="4" t="s">
        <v>26</v>
      </c>
      <c r="F295" s="4">
        <f>VLOOKUP(E295,基础属性ID!A:B,2,0)</f>
        <v>15</v>
      </c>
      <c r="G295" s="4">
        <f>VLOOKUP(E295,基础属性ID!$A:$E,5,0)</f>
        <v>10</v>
      </c>
      <c r="H295" s="4">
        <v>50</v>
      </c>
      <c r="I295" s="4">
        <v>100</v>
      </c>
      <c r="J295" s="4" t="str">
        <f t="shared" si="94"/>
        <v>15:10:50:100,</v>
      </c>
    </row>
    <row r="296" spans="1:10">
      <c r="A296" s="4" t="str">
        <f t="shared" si="97"/>
        <v>21级绿戒指伤害减免</v>
      </c>
      <c r="B296" s="4" t="s">
        <v>221</v>
      </c>
      <c r="C296" s="4" t="s">
        <v>117</v>
      </c>
      <c r="D296" s="4">
        <v>21</v>
      </c>
      <c r="E296" s="4" t="s">
        <v>27</v>
      </c>
      <c r="F296" s="4">
        <f>VLOOKUP(E296,基础属性ID!A:B,2,0)</f>
        <v>16</v>
      </c>
      <c r="G296" s="4">
        <f>VLOOKUP(E296,基础属性ID!$A:$E,5,0)</f>
        <v>10</v>
      </c>
      <c r="H296" s="4">
        <v>50</v>
      </c>
      <c r="I296" s="4">
        <v>100</v>
      </c>
      <c r="J296" s="4" t="str">
        <f t="shared" si="94"/>
        <v>16:10:50:100,</v>
      </c>
    </row>
    <row r="297" spans="1:10">
      <c r="A297" s="4" t="str">
        <f t="shared" si="97"/>
        <v>21级绿戒指装备掉率</v>
      </c>
      <c r="B297" s="4" t="s">
        <v>221</v>
      </c>
      <c r="C297" s="4" t="s">
        <v>117</v>
      </c>
      <c r="D297" s="4">
        <v>21</v>
      </c>
      <c r="E297" s="4" t="s">
        <v>30</v>
      </c>
      <c r="F297" s="4">
        <f>VLOOKUP(E297,基础属性ID!A:B,2,0)</f>
        <v>17</v>
      </c>
      <c r="G297" s="4">
        <f>VLOOKUP(E297,基础属性ID!$A:$E,5,0)</f>
        <v>60</v>
      </c>
      <c r="H297" s="4">
        <v>1</v>
      </c>
      <c r="I297" s="4">
        <f t="shared" ref="I297:I299" si="106">H297*3</f>
        <v>3</v>
      </c>
      <c r="J297" s="4" t="str">
        <f t="shared" si="94"/>
        <v>17:60:1:3,</v>
      </c>
    </row>
    <row r="298" spans="1:10">
      <c r="A298" s="4" t="str">
        <f t="shared" si="97"/>
        <v>21级绿戒指极品掉率</v>
      </c>
      <c r="B298" s="4" t="s">
        <v>221</v>
      </c>
      <c r="C298" s="4" t="s">
        <v>117</v>
      </c>
      <c r="D298" s="4">
        <v>21</v>
      </c>
      <c r="E298" s="4" t="s">
        <v>31</v>
      </c>
      <c r="F298" s="4">
        <f>VLOOKUP(E298,基础属性ID!A:B,2,0)</f>
        <v>18</v>
      </c>
      <c r="G298" s="4">
        <f>VLOOKUP(E298,基础属性ID!$A:$E,5,0)</f>
        <v>60</v>
      </c>
      <c r="H298" s="4">
        <v>1</v>
      </c>
      <c r="I298" s="4">
        <f t="shared" si="106"/>
        <v>3</v>
      </c>
      <c r="J298" s="4" t="str">
        <f t="shared" si="94"/>
        <v>18:60:1:3,</v>
      </c>
    </row>
    <row r="299" spans="1:10">
      <c r="A299" s="4" t="str">
        <f t="shared" si="97"/>
        <v>41级绿戒指生命值</v>
      </c>
      <c r="B299" s="4" t="s">
        <v>221</v>
      </c>
      <c r="C299" s="4" t="s">
        <v>117</v>
      </c>
      <c r="D299" s="4">
        <v>41</v>
      </c>
      <c r="E299" s="4" t="s">
        <v>74</v>
      </c>
      <c r="F299" s="4">
        <f>VLOOKUP(E299,基础属性ID!A:B,2,0)</f>
        <v>1</v>
      </c>
      <c r="G299" s="4">
        <f>VLOOKUP(E299,基础属性ID!$A:$E,5,0)</f>
        <v>100</v>
      </c>
      <c r="H299" s="4">
        <v>10</v>
      </c>
      <c r="I299" s="4">
        <f t="shared" si="106"/>
        <v>30</v>
      </c>
      <c r="J299" s="4" t="str">
        <f t="shared" si="94"/>
        <v>1:100:10:30,</v>
      </c>
    </row>
    <row r="300" spans="1:10">
      <c r="A300" s="4" t="str">
        <f t="shared" si="97"/>
        <v>41级绿戒指法力值</v>
      </c>
      <c r="B300" s="4" t="s">
        <v>221</v>
      </c>
      <c r="C300" s="4" t="s">
        <v>117</v>
      </c>
      <c r="D300" s="4">
        <v>41</v>
      </c>
      <c r="E300" s="4" t="s">
        <v>75</v>
      </c>
      <c r="F300" s="4">
        <f>VLOOKUP(E300,基础属性ID!A:B,2,0)</f>
        <v>2</v>
      </c>
      <c r="G300" s="4">
        <f>VLOOKUP(E300,基础属性ID!$A:$E,5,0)</f>
        <v>100</v>
      </c>
      <c r="H300" s="4">
        <v>4</v>
      </c>
      <c r="I300" s="4">
        <v>8</v>
      </c>
      <c r="J300" s="4" t="str">
        <f t="shared" si="94"/>
        <v>2:100:4:8,</v>
      </c>
    </row>
    <row r="301" spans="1:10">
      <c r="A301" s="4" t="str">
        <f t="shared" si="97"/>
        <v>41级绿戒指物理攻击</v>
      </c>
      <c r="B301" s="4" t="s">
        <v>221</v>
      </c>
      <c r="C301" s="4" t="s">
        <v>117</v>
      </c>
      <c r="D301" s="4">
        <v>41</v>
      </c>
      <c r="E301" s="4" t="s">
        <v>13</v>
      </c>
      <c r="F301" s="4">
        <f>VLOOKUP(E301,基础属性ID!A:B,2,0)</f>
        <v>3</v>
      </c>
      <c r="G301" s="4">
        <f>VLOOKUP(E301,基础属性ID!$A:$E,5,0)</f>
        <v>100</v>
      </c>
      <c r="H301" s="4">
        <v>3</v>
      </c>
      <c r="I301" s="4">
        <f t="shared" ref="I301:I304" si="107">H301*3</f>
        <v>9</v>
      </c>
      <c r="J301" s="4" t="str">
        <f t="shared" si="94"/>
        <v>3:100:3:9,</v>
      </c>
    </row>
    <row r="302" spans="1:10">
      <c r="A302" s="4" t="str">
        <f t="shared" si="97"/>
        <v>41级绿戒指魔法攻击</v>
      </c>
      <c r="B302" s="4" t="s">
        <v>221</v>
      </c>
      <c r="C302" s="4" t="s">
        <v>117</v>
      </c>
      <c r="D302" s="4">
        <v>41</v>
      </c>
      <c r="E302" s="4" t="s">
        <v>14</v>
      </c>
      <c r="F302" s="4">
        <f>VLOOKUP(E302,基础属性ID!A:B,2,0)</f>
        <v>4</v>
      </c>
      <c r="G302" s="4">
        <f>VLOOKUP(E302,基础属性ID!$A:$E,5,0)</f>
        <v>100</v>
      </c>
      <c r="H302" s="4">
        <v>3</v>
      </c>
      <c r="I302" s="4">
        <f t="shared" si="107"/>
        <v>9</v>
      </c>
      <c r="J302" s="4" t="str">
        <f t="shared" si="94"/>
        <v>4:100:3:9,</v>
      </c>
    </row>
    <row r="303" spans="1:10">
      <c r="A303" s="4" t="str">
        <f t="shared" si="97"/>
        <v>41级绿戒指道术攻击</v>
      </c>
      <c r="B303" s="4" t="s">
        <v>221</v>
      </c>
      <c r="C303" s="4" t="s">
        <v>117</v>
      </c>
      <c r="D303" s="4">
        <v>41</v>
      </c>
      <c r="E303" s="4" t="s">
        <v>15</v>
      </c>
      <c r="F303" s="4">
        <f>VLOOKUP(E303,基础属性ID!A:B,2,0)</f>
        <v>5</v>
      </c>
      <c r="G303" s="4">
        <f>VLOOKUP(E303,基础属性ID!$A:$E,5,0)</f>
        <v>100</v>
      </c>
      <c r="H303" s="4">
        <v>3</v>
      </c>
      <c r="I303" s="4">
        <f t="shared" si="107"/>
        <v>9</v>
      </c>
      <c r="J303" s="4" t="str">
        <f t="shared" si="94"/>
        <v>5:100:3:9,</v>
      </c>
    </row>
    <row r="304" spans="1:10">
      <c r="A304" s="4" t="str">
        <f t="shared" si="97"/>
        <v>41级绿戒指防御</v>
      </c>
      <c r="B304" s="4" t="s">
        <v>221</v>
      </c>
      <c r="C304" s="4" t="s">
        <v>117</v>
      </c>
      <c r="D304" s="4">
        <v>41</v>
      </c>
      <c r="E304" s="4" t="s">
        <v>17</v>
      </c>
      <c r="F304" s="4">
        <f>VLOOKUP(E304,基础属性ID!A:B,2,0)</f>
        <v>6</v>
      </c>
      <c r="G304" s="4">
        <f>VLOOKUP(E304,基础属性ID!$A:$E,5,0)</f>
        <v>100</v>
      </c>
      <c r="H304" s="4">
        <v>3</v>
      </c>
      <c r="I304" s="4">
        <f t="shared" si="107"/>
        <v>9</v>
      </c>
      <c r="J304" s="4" t="str">
        <f t="shared" si="94"/>
        <v>6:100:3:9,</v>
      </c>
    </row>
    <row r="305" spans="1:10">
      <c r="A305" s="4" t="str">
        <f t="shared" si="97"/>
        <v>41级绿戒指攻速</v>
      </c>
      <c r="B305" s="4" t="s">
        <v>221</v>
      </c>
      <c r="C305" s="4" t="s">
        <v>117</v>
      </c>
      <c r="D305" s="4">
        <v>41</v>
      </c>
      <c r="E305" s="4" t="s">
        <v>18</v>
      </c>
      <c r="F305" s="4">
        <f>VLOOKUP(E305,基础属性ID!A:B,2,0)</f>
        <v>7</v>
      </c>
      <c r="G305" s="4">
        <f>VLOOKUP(E305,基础属性ID!$A:$E,5,0)</f>
        <v>20</v>
      </c>
      <c r="H305" s="4">
        <v>1</v>
      </c>
      <c r="I305" s="4">
        <v>1</v>
      </c>
      <c r="J305" s="4" t="str">
        <f t="shared" si="94"/>
        <v>7:20:1:1,</v>
      </c>
    </row>
    <row r="306" spans="1:10">
      <c r="A306" s="4" t="str">
        <f t="shared" si="97"/>
        <v>41级绿戒指固定伤害</v>
      </c>
      <c r="B306" s="4" t="s">
        <v>221</v>
      </c>
      <c r="C306" s="4" t="s">
        <v>117</v>
      </c>
      <c r="D306" s="4">
        <v>41</v>
      </c>
      <c r="E306" s="4" t="s">
        <v>24</v>
      </c>
      <c r="F306" s="4">
        <f>VLOOKUP(E306,基础属性ID!A:B,2,0)</f>
        <v>9</v>
      </c>
      <c r="G306" s="4">
        <f>VLOOKUP(E306,基础属性ID!$A:$E,5,0)</f>
        <v>50</v>
      </c>
      <c r="H306" s="4">
        <v>3</v>
      </c>
      <c r="I306" s="4">
        <f t="shared" ref="I306:I307" si="108">H306*3</f>
        <v>9</v>
      </c>
      <c r="J306" s="4" t="str">
        <f t="shared" si="94"/>
        <v>9:50:3:9,</v>
      </c>
    </row>
    <row r="307" spans="1:10">
      <c r="A307" s="4" t="str">
        <f t="shared" si="97"/>
        <v>41级绿戒指固定减伤</v>
      </c>
      <c r="B307" s="4" t="s">
        <v>221</v>
      </c>
      <c r="C307" s="4" t="s">
        <v>117</v>
      </c>
      <c r="D307" s="4">
        <v>41</v>
      </c>
      <c r="E307" s="4" t="s">
        <v>25</v>
      </c>
      <c r="F307" s="4">
        <f>VLOOKUP(E307,基础属性ID!A:B,2,0)</f>
        <v>10</v>
      </c>
      <c r="G307" s="4">
        <f>VLOOKUP(E307,基础属性ID!$A:$E,5,0)</f>
        <v>50</v>
      </c>
      <c r="H307" s="4">
        <v>3</v>
      </c>
      <c r="I307" s="4">
        <f t="shared" si="108"/>
        <v>9</v>
      </c>
      <c r="J307" s="4" t="str">
        <f t="shared" si="94"/>
        <v>10:50:3:9,</v>
      </c>
    </row>
    <row r="308" spans="1:10">
      <c r="A308" s="4" t="str">
        <f t="shared" si="97"/>
        <v>41级绿戒指生命吸取</v>
      </c>
      <c r="B308" s="4" t="s">
        <v>221</v>
      </c>
      <c r="C308" s="4" t="s">
        <v>117</v>
      </c>
      <c r="D308" s="4">
        <v>41</v>
      </c>
      <c r="E308" s="4" t="s">
        <v>28</v>
      </c>
      <c r="F308" s="4">
        <f>VLOOKUP(E308,基础属性ID!A:B,2,0)</f>
        <v>11</v>
      </c>
      <c r="G308" s="4">
        <f>VLOOKUP(E308,基础属性ID!$A:$E,5,0)</f>
        <v>50</v>
      </c>
      <c r="H308" s="4">
        <v>2</v>
      </c>
      <c r="I308" s="4">
        <f t="shared" ref="I308:I309" si="109">H308*3</f>
        <v>6</v>
      </c>
      <c r="J308" s="4" t="str">
        <f t="shared" si="94"/>
        <v>11:50:2:6,</v>
      </c>
    </row>
    <row r="309" spans="1:10">
      <c r="A309" s="4" t="str">
        <f t="shared" si="97"/>
        <v>41级绿戒指法力吸取</v>
      </c>
      <c r="B309" s="4" t="s">
        <v>221</v>
      </c>
      <c r="C309" s="4" t="s">
        <v>117</v>
      </c>
      <c r="D309" s="4">
        <v>41</v>
      </c>
      <c r="E309" s="4" t="s">
        <v>29</v>
      </c>
      <c r="F309" s="4">
        <f>VLOOKUP(E309,基础属性ID!A:B,2,0)</f>
        <v>12</v>
      </c>
      <c r="G309" s="4">
        <f>VLOOKUP(E309,基础属性ID!$A:$E,5,0)</f>
        <v>50</v>
      </c>
      <c r="H309" s="4">
        <v>2</v>
      </c>
      <c r="I309" s="4">
        <f t="shared" si="109"/>
        <v>6</v>
      </c>
      <c r="J309" s="4" t="str">
        <f t="shared" si="94"/>
        <v>12:50:2:6,</v>
      </c>
    </row>
    <row r="310" spans="1:10">
      <c r="A310" s="4" t="str">
        <f t="shared" si="97"/>
        <v>41级绿戒指暴击几率</v>
      </c>
      <c r="B310" s="4" t="s">
        <v>221</v>
      </c>
      <c r="C310" s="4" t="s">
        <v>117</v>
      </c>
      <c r="D310" s="4">
        <v>41</v>
      </c>
      <c r="E310" s="4" t="s">
        <v>21</v>
      </c>
      <c r="F310" s="4">
        <f>VLOOKUP(E310,基础属性ID!A:B,2,0)</f>
        <v>13</v>
      </c>
      <c r="G310" s="4">
        <f>VLOOKUP(E310,基础属性ID!$A:$E,5,0)</f>
        <v>20</v>
      </c>
      <c r="H310" s="4">
        <v>10</v>
      </c>
      <c r="I310" s="4">
        <v>30</v>
      </c>
      <c r="J310" s="4" t="str">
        <f t="shared" si="94"/>
        <v>13:20:10:30,</v>
      </c>
    </row>
    <row r="311" spans="1:10">
      <c r="A311" s="4" t="str">
        <f t="shared" si="97"/>
        <v>41级绿戒指爆击伤害</v>
      </c>
      <c r="B311" s="4" t="s">
        <v>221</v>
      </c>
      <c r="C311" s="4" t="s">
        <v>117</v>
      </c>
      <c r="D311" s="4">
        <v>41</v>
      </c>
      <c r="E311" s="4" t="s">
        <v>76</v>
      </c>
      <c r="F311" s="4">
        <f>VLOOKUP(E311,基础属性ID!A:B,2,0)</f>
        <v>14</v>
      </c>
      <c r="G311" s="4">
        <f>VLOOKUP(E311,基础属性ID!$A:$E,5,0)</f>
        <v>20</v>
      </c>
      <c r="H311" s="4">
        <v>1</v>
      </c>
      <c r="I311" s="4">
        <v>3</v>
      </c>
      <c r="J311" s="4" t="str">
        <f t="shared" si="94"/>
        <v>14:20:1:3,</v>
      </c>
    </row>
    <row r="312" spans="1:10">
      <c r="A312" s="4" t="str">
        <f t="shared" si="97"/>
        <v>41级绿戒指伤害增加</v>
      </c>
      <c r="B312" s="4" t="s">
        <v>221</v>
      </c>
      <c r="C312" s="4" t="s">
        <v>117</v>
      </c>
      <c r="D312" s="4">
        <v>41</v>
      </c>
      <c r="E312" s="4" t="s">
        <v>26</v>
      </c>
      <c r="F312" s="4">
        <f>VLOOKUP(E312,基础属性ID!A:B,2,0)</f>
        <v>15</v>
      </c>
      <c r="G312" s="4">
        <f>VLOOKUP(E312,基础属性ID!$A:$E,5,0)</f>
        <v>10</v>
      </c>
      <c r="H312" s="4">
        <v>50</v>
      </c>
      <c r="I312" s="4">
        <v>100</v>
      </c>
      <c r="J312" s="4" t="str">
        <f t="shared" si="94"/>
        <v>15:10:50:100,</v>
      </c>
    </row>
    <row r="313" spans="1:10">
      <c r="A313" s="4" t="str">
        <f t="shared" si="97"/>
        <v>41级绿戒指伤害减免</v>
      </c>
      <c r="B313" s="4" t="s">
        <v>221</v>
      </c>
      <c r="C313" s="4" t="s">
        <v>117</v>
      </c>
      <c r="D313" s="4">
        <v>41</v>
      </c>
      <c r="E313" s="4" t="s">
        <v>27</v>
      </c>
      <c r="F313" s="4">
        <f>VLOOKUP(E313,基础属性ID!A:B,2,0)</f>
        <v>16</v>
      </c>
      <c r="G313" s="4">
        <f>VLOOKUP(E313,基础属性ID!$A:$E,5,0)</f>
        <v>10</v>
      </c>
      <c r="H313" s="4">
        <v>50</v>
      </c>
      <c r="I313" s="4">
        <v>100</v>
      </c>
      <c r="J313" s="4" t="str">
        <f t="shared" si="94"/>
        <v>16:10:50:100,</v>
      </c>
    </row>
    <row r="314" spans="1:10">
      <c r="A314" s="4" t="str">
        <f t="shared" si="97"/>
        <v>41级绿戒指装备掉率</v>
      </c>
      <c r="B314" s="4" t="s">
        <v>221</v>
      </c>
      <c r="C314" s="4" t="s">
        <v>117</v>
      </c>
      <c r="D314" s="4">
        <v>41</v>
      </c>
      <c r="E314" s="4" t="s">
        <v>30</v>
      </c>
      <c r="F314" s="4">
        <f>VLOOKUP(E314,基础属性ID!A:B,2,0)</f>
        <v>17</v>
      </c>
      <c r="G314" s="4">
        <f>VLOOKUP(E314,基础属性ID!$A:$E,5,0)</f>
        <v>60</v>
      </c>
      <c r="H314" s="4">
        <v>1</v>
      </c>
      <c r="I314" s="4">
        <f t="shared" ref="I314:I316" si="110">H314*3</f>
        <v>3</v>
      </c>
      <c r="J314" s="4" t="str">
        <f t="shared" ref="J314:J376" si="111">F314&amp;":"&amp;G314&amp;":"&amp;H314&amp;":"&amp;I314&amp;","</f>
        <v>17:60:1:3,</v>
      </c>
    </row>
    <row r="315" spans="1:10">
      <c r="A315" s="4" t="str">
        <f t="shared" si="97"/>
        <v>41级绿戒指极品掉率</v>
      </c>
      <c r="B315" s="4" t="s">
        <v>221</v>
      </c>
      <c r="C315" s="4" t="s">
        <v>117</v>
      </c>
      <c r="D315" s="4">
        <v>41</v>
      </c>
      <c r="E315" s="4" t="s">
        <v>31</v>
      </c>
      <c r="F315" s="4">
        <f>VLOOKUP(E315,基础属性ID!A:B,2,0)</f>
        <v>18</v>
      </c>
      <c r="G315" s="4">
        <f>VLOOKUP(E315,基础属性ID!$A:$E,5,0)</f>
        <v>60</v>
      </c>
      <c r="H315" s="4">
        <v>1</v>
      </c>
      <c r="I315" s="4">
        <f t="shared" si="110"/>
        <v>3</v>
      </c>
      <c r="J315" s="4" t="str">
        <f t="shared" si="111"/>
        <v>18:60:1:3,</v>
      </c>
    </row>
    <row r="316" spans="1:10">
      <c r="A316" s="4" t="str">
        <f t="shared" si="97"/>
        <v>61级绿戒指生命值</v>
      </c>
      <c r="B316" s="4" t="s">
        <v>221</v>
      </c>
      <c r="C316" s="4" t="s">
        <v>117</v>
      </c>
      <c r="D316" s="4">
        <v>61</v>
      </c>
      <c r="E316" s="4" t="s">
        <v>74</v>
      </c>
      <c r="F316" s="4">
        <f>VLOOKUP(E316,基础属性ID!A:B,2,0)</f>
        <v>1</v>
      </c>
      <c r="G316" s="4">
        <f>VLOOKUP(E316,基础属性ID!$A:$E,5,0)</f>
        <v>100</v>
      </c>
      <c r="H316" s="4">
        <v>15</v>
      </c>
      <c r="I316" s="4">
        <f t="shared" si="110"/>
        <v>45</v>
      </c>
      <c r="J316" s="4" t="str">
        <f t="shared" si="111"/>
        <v>1:100:15:45,</v>
      </c>
    </row>
    <row r="317" spans="1:10">
      <c r="A317" s="4" t="str">
        <f t="shared" si="97"/>
        <v>61级绿戒指法力值</v>
      </c>
      <c r="B317" s="4" t="s">
        <v>221</v>
      </c>
      <c r="C317" s="4" t="s">
        <v>117</v>
      </c>
      <c r="D317" s="4">
        <v>61</v>
      </c>
      <c r="E317" s="4" t="s">
        <v>75</v>
      </c>
      <c r="F317" s="4">
        <f>VLOOKUP(E317,基础属性ID!A:B,2,0)</f>
        <v>2</v>
      </c>
      <c r="G317" s="4">
        <f>VLOOKUP(E317,基础属性ID!$A:$E,5,0)</f>
        <v>100</v>
      </c>
      <c r="H317" s="4">
        <v>5</v>
      </c>
      <c r="I317" s="4">
        <v>10</v>
      </c>
      <c r="J317" s="4" t="str">
        <f t="shared" si="111"/>
        <v>2:100:5:10,</v>
      </c>
    </row>
    <row r="318" spans="1:10">
      <c r="A318" s="4" t="str">
        <f t="shared" si="97"/>
        <v>61级绿戒指物理攻击</v>
      </c>
      <c r="B318" s="4" t="s">
        <v>221</v>
      </c>
      <c r="C318" s="4" t="s">
        <v>117</v>
      </c>
      <c r="D318" s="4">
        <v>61</v>
      </c>
      <c r="E318" s="4" t="s">
        <v>13</v>
      </c>
      <c r="F318" s="4">
        <f>VLOOKUP(E318,基础属性ID!A:B,2,0)</f>
        <v>3</v>
      </c>
      <c r="G318" s="4">
        <f>VLOOKUP(E318,基础属性ID!$A:$E,5,0)</f>
        <v>100</v>
      </c>
      <c r="H318" s="4">
        <v>5</v>
      </c>
      <c r="I318" s="4">
        <f t="shared" ref="I318:I321" si="112">H318*3</f>
        <v>15</v>
      </c>
      <c r="J318" s="4" t="str">
        <f t="shared" si="111"/>
        <v>3:100:5:15,</v>
      </c>
    </row>
    <row r="319" spans="1:10">
      <c r="A319" s="4" t="str">
        <f t="shared" si="97"/>
        <v>61级绿戒指魔法攻击</v>
      </c>
      <c r="B319" s="4" t="s">
        <v>221</v>
      </c>
      <c r="C319" s="4" t="s">
        <v>117</v>
      </c>
      <c r="D319" s="4">
        <v>61</v>
      </c>
      <c r="E319" s="4" t="s">
        <v>14</v>
      </c>
      <c r="F319" s="4">
        <f>VLOOKUP(E319,基础属性ID!A:B,2,0)</f>
        <v>4</v>
      </c>
      <c r="G319" s="4">
        <f>VLOOKUP(E319,基础属性ID!$A:$E,5,0)</f>
        <v>100</v>
      </c>
      <c r="H319" s="4">
        <v>5</v>
      </c>
      <c r="I319" s="4">
        <f t="shared" si="112"/>
        <v>15</v>
      </c>
      <c r="J319" s="4" t="str">
        <f t="shared" si="111"/>
        <v>4:100:5:15,</v>
      </c>
    </row>
    <row r="320" spans="1:10">
      <c r="A320" s="4" t="str">
        <f t="shared" si="97"/>
        <v>61级绿戒指道术攻击</v>
      </c>
      <c r="B320" s="4" t="s">
        <v>221</v>
      </c>
      <c r="C320" s="4" t="s">
        <v>117</v>
      </c>
      <c r="D320" s="4">
        <v>61</v>
      </c>
      <c r="E320" s="4" t="s">
        <v>15</v>
      </c>
      <c r="F320" s="4">
        <f>VLOOKUP(E320,基础属性ID!A:B,2,0)</f>
        <v>5</v>
      </c>
      <c r="G320" s="4">
        <f>VLOOKUP(E320,基础属性ID!$A:$E,5,0)</f>
        <v>100</v>
      </c>
      <c r="H320" s="4">
        <v>5</v>
      </c>
      <c r="I320" s="4">
        <f t="shared" si="112"/>
        <v>15</v>
      </c>
      <c r="J320" s="4" t="str">
        <f t="shared" si="111"/>
        <v>5:100:5:15,</v>
      </c>
    </row>
    <row r="321" spans="1:10">
      <c r="A321" s="4" t="str">
        <f t="shared" si="97"/>
        <v>61级绿戒指防御</v>
      </c>
      <c r="B321" s="4" t="s">
        <v>221</v>
      </c>
      <c r="C321" s="4" t="s">
        <v>117</v>
      </c>
      <c r="D321" s="4">
        <v>61</v>
      </c>
      <c r="E321" s="4" t="s">
        <v>17</v>
      </c>
      <c r="F321" s="4">
        <f>VLOOKUP(E321,基础属性ID!A:B,2,0)</f>
        <v>6</v>
      </c>
      <c r="G321" s="4">
        <f>VLOOKUP(E321,基础属性ID!$A:$E,5,0)</f>
        <v>100</v>
      </c>
      <c r="H321" s="4">
        <v>5</v>
      </c>
      <c r="I321" s="4">
        <f t="shared" si="112"/>
        <v>15</v>
      </c>
      <c r="J321" s="4" t="str">
        <f t="shared" si="111"/>
        <v>6:100:5:15,</v>
      </c>
    </row>
    <row r="322" spans="1:10">
      <c r="A322" s="4" t="str">
        <f t="shared" si="97"/>
        <v>61级绿戒指攻速</v>
      </c>
      <c r="B322" s="4" t="s">
        <v>221</v>
      </c>
      <c r="C322" s="4" t="s">
        <v>117</v>
      </c>
      <c r="D322" s="4">
        <v>61</v>
      </c>
      <c r="E322" s="4" t="s">
        <v>18</v>
      </c>
      <c r="F322" s="4">
        <f>VLOOKUP(E322,基础属性ID!A:B,2,0)</f>
        <v>7</v>
      </c>
      <c r="G322" s="4">
        <f>VLOOKUP(E322,基础属性ID!$A:$E,5,0)</f>
        <v>20</v>
      </c>
      <c r="H322" s="4">
        <v>1</v>
      </c>
      <c r="I322" s="4">
        <v>1</v>
      </c>
      <c r="J322" s="4" t="str">
        <f t="shared" si="111"/>
        <v>7:20:1:1,</v>
      </c>
    </row>
    <row r="323" spans="1:10">
      <c r="A323" s="4" t="str">
        <f t="shared" ref="A323:A386" si="113">D323&amp;"级"&amp;C323&amp;B323&amp;E323</f>
        <v>61级绿戒指固定伤害</v>
      </c>
      <c r="B323" s="4" t="s">
        <v>221</v>
      </c>
      <c r="C323" s="4" t="s">
        <v>117</v>
      </c>
      <c r="D323" s="4">
        <v>61</v>
      </c>
      <c r="E323" s="4" t="s">
        <v>24</v>
      </c>
      <c r="F323" s="4">
        <f>VLOOKUP(E323,基础属性ID!A:B,2,0)</f>
        <v>9</v>
      </c>
      <c r="G323" s="4">
        <f>VLOOKUP(E323,基础属性ID!$A:$E,5,0)</f>
        <v>50</v>
      </c>
      <c r="H323" s="4">
        <v>4</v>
      </c>
      <c r="I323" s="4">
        <f t="shared" ref="I323:I324" si="114">H323*3</f>
        <v>12</v>
      </c>
      <c r="J323" s="4" t="str">
        <f t="shared" si="111"/>
        <v>9:50:4:12,</v>
      </c>
    </row>
    <row r="324" spans="1:10">
      <c r="A324" s="4" t="str">
        <f t="shared" si="113"/>
        <v>61级绿戒指固定减伤</v>
      </c>
      <c r="B324" s="4" t="s">
        <v>221</v>
      </c>
      <c r="C324" s="4" t="s">
        <v>117</v>
      </c>
      <c r="D324" s="4">
        <v>61</v>
      </c>
      <c r="E324" s="4" t="s">
        <v>25</v>
      </c>
      <c r="F324" s="4">
        <f>VLOOKUP(E324,基础属性ID!A:B,2,0)</f>
        <v>10</v>
      </c>
      <c r="G324" s="4">
        <f>VLOOKUP(E324,基础属性ID!$A:$E,5,0)</f>
        <v>50</v>
      </c>
      <c r="H324" s="4">
        <v>4</v>
      </c>
      <c r="I324" s="4">
        <f t="shared" si="114"/>
        <v>12</v>
      </c>
      <c r="J324" s="4" t="str">
        <f t="shared" si="111"/>
        <v>10:50:4:12,</v>
      </c>
    </row>
    <row r="325" spans="1:10">
      <c r="A325" s="4" t="str">
        <f t="shared" si="113"/>
        <v>61级绿戒指生命吸取</v>
      </c>
      <c r="B325" s="4" t="s">
        <v>221</v>
      </c>
      <c r="C325" s="4" t="s">
        <v>117</v>
      </c>
      <c r="D325" s="4">
        <v>61</v>
      </c>
      <c r="E325" s="4" t="s">
        <v>28</v>
      </c>
      <c r="F325" s="4">
        <f>VLOOKUP(E325,基础属性ID!A:B,2,0)</f>
        <v>11</v>
      </c>
      <c r="G325" s="4">
        <f>VLOOKUP(E325,基础属性ID!$A:$E,5,0)</f>
        <v>50</v>
      </c>
      <c r="H325" s="4">
        <v>3</v>
      </c>
      <c r="I325" s="4">
        <f t="shared" ref="I325:I326" si="115">H325*3</f>
        <v>9</v>
      </c>
      <c r="J325" s="4" t="str">
        <f t="shared" si="111"/>
        <v>11:50:3:9,</v>
      </c>
    </row>
    <row r="326" spans="1:10">
      <c r="A326" s="4" t="str">
        <f t="shared" si="113"/>
        <v>61级绿戒指法力吸取</v>
      </c>
      <c r="B326" s="4" t="s">
        <v>221</v>
      </c>
      <c r="C326" s="4" t="s">
        <v>117</v>
      </c>
      <c r="D326" s="4">
        <v>61</v>
      </c>
      <c r="E326" s="4" t="s">
        <v>29</v>
      </c>
      <c r="F326" s="4">
        <f>VLOOKUP(E326,基础属性ID!A:B,2,0)</f>
        <v>12</v>
      </c>
      <c r="G326" s="4">
        <f>VLOOKUP(E326,基础属性ID!$A:$E,5,0)</f>
        <v>50</v>
      </c>
      <c r="H326" s="4">
        <v>3</v>
      </c>
      <c r="I326" s="4">
        <f t="shared" si="115"/>
        <v>9</v>
      </c>
      <c r="J326" s="4" t="str">
        <f t="shared" si="111"/>
        <v>12:50:3:9,</v>
      </c>
    </row>
    <row r="327" spans="1:10">
      <c r="A327" s="4" t="str">
        <f t="shared" si="113"/>
        <v>61级绿戒指暴击几率</v>
      </c>
      <c r="B327" s="4" t="s">
        <v>221</v>
      </c>
      <c r="C327" s="4" t="s">
        <v>117</v>
      </c>
      <c r="D327" s="4">
        <v>61</v>
      </c>
      <c r="E327" s="4" t="s">
        <v>21</v>
      </c>
      <c r="F327" s="4">
        <f>VLOOKUP(E327,基础属性ID!A:B,2,0)</f>
        <v>13</v>
      </c>
      <c r="G327" s="4">
        <f>VLOOKUP(E327,基础属性ID!$A:$E,5,0)</f>
        <v>20</v>
      </c>
      <c r="H327" s="4">
        <v>10</v>
      </c>
      <c r="I327" s="4">
        <v>30</v>
      </c>
      <c r="J327" s="4" t="str">
        <f t="shared" si="111"/>
        <v>13:20:10:30,</v>
      </c>
    </row>
    <row r="328" spans="1:10">
      <c r="A328" s="4" t="str">
        <f t="shared" si="113"/>
        <v>61级绿戒指爆击伤害</v>
      </c>
      <c r="B328" s="4" t="s">
        <v>221</v>
      </c>
      <c r="C328" s="4" t="s">
        <v>117</v>
      </c>
      <c r="D328" s="4">
        <v>61</v>
      </c>
      <c r="E328" s="4" t="s">
        <v>76</v>
      </c>
      <c r="F328" s="4">
        <f>VLOOKUP(E328,基础属性ID!A:B,2,0)</f>
        <v>14</v>
      </c>
      <c r="G328" s="4">
        <f>VLOOKUP(E328,基础属性ID!$A:$E,5,0)</f>
        <v>20</v>
      </c>
      <c r="H328" s="4">
        <v>1</v>
      </c>
      <c r="I328" s="4">
        <v>3</v>
      </c>
      <c r="J328" s="4" t="str">
        <f t="shared" si="111"/>
        <v>14:20:1:3,</v>
      </c>
    </row>
    <row r="329" spans="1:10">
      <c r="A329" s="4" t="str">
        <f t="shared" si="113"/>
        <v>61级绿戒指伤害增加</v>
      </c>
      <c r="B329" s="4" t="s">
        <v>221</v>
      </c>
      <c r="C329" s="4" t="s">
        <v>117</v>
      </c>
      <c r="D329" s="4">
        <v>61</v>
      </c>
      <c r="E329" s="4" t="s">
        <v>26</v>
      </c>
      <c r="F329" s="4">
        <f>VLOOKUP(E329,基础属性ID!A:B,2,0)</f>
        <v>15</v>
      </c>
      <c r="G329" s="4">
        <f>VLOOKUP(E329,基础属性ID!$A:$E,5,0)</f>
        <v>10</v>
      </c>
      <c r="H329" s="4">
        <v>50</v>
      </c>
      <c r="I329" s="4">
        <v>100</v>
      </c>
      <c r="J329" s="4" t="str">
        <f t="shared" si="111"/>
        <v>15:10:50:100,</v>
      </c>
    </row>
    <row r="330" spans="1:10">
      <c r="A330" s="4" t="str">
        <f t="shared" si="113"/>
        <v>61级绿戒指伤害减免</v>
      </c>
      <c r="B330" s="4" t="s">
        <v>221</v>
      </c>
      <c r="C330" s="4" t="s">
        <v>117</v>
      </c>
      <c r="D330" s="4">
        <v>61</v>
      </c>
      <c r="E330" s="4" t="s">
        <v>27</v>
      </c>
      <c r="F330" s="4">
        <f>VLOOKUP(E330,基础属性ID!A:B,2,0)</f>
        <v>16</v>
      </c>
      <c r="G330" s="4">
        <f>VLOOKUP(E330,基础属性ID!$A:$E,5,0)</f>
        <v>10</v>
      </c>
      <c r="H330" s="4">
        <v>50</v>
      </c>
      <c r="I330" s="4">
        <v>100</v>
      </c>
      <c r="J330" s="4" t="str">
        <f t="shared" si="111"/>
        <v>16:10:50:100,</v>
      </c>
    </row>
    <row r="331" spans="1:10">
      <c r="A331" s="4" t="str">
        <f t="shared" si="113"/>
        <v>61级绿戒指装备掉率</v>
      </c>
      <c r="B331" s="4" t="s">
        <v>221</v>
      </c>
      <c r="C331" s="4" t="s">
        <v>117</v>
      </c>
      <c r="D331" s="4">
        <v>61</v>
      </c>
      <c r="E331" s="4" t="s">
        <v>30</v>
      </c>
      <c r="F331" s="4">
        <f>VLOOKUP(E331,基础属性ID!A:B,2,0)</f>
        <v>17</v>
      </c>
      <c r="G331" s="4">
        <f>VLOOKUP(E331,基础属性ID!$A:$E,5,0)</f>
        <v>60</v>
      </c>
      <c r="H331" s="4">
        <v>1</v>
      </c>
      <c r="I331" s="4">
        <f t="shared" ref="I331:I333" si="116">H331*3</f>
        <v>3</v>
      </c>
      <c r="J331" s="4" t="str">
        <f t="shared" si="111"/>
        <v>17:60:1:3,</v>
      </c>
    </row>
    <row r="332" spans="1:10">
      <c r="A332" s="4" t="str">
        <f t="shared" si="113"/>
        <v>61级绿戒指极品掉率</v>
      </c>
      <c r="B332" s="4" t="s">
        <v>221</v>
      </c>
      <c r="C332" s="4" t="s">
        <v>117</v>
      </c>
      <c r="D332" s="4">
        <v>61</v>
      </c>
      <c r="E332" s="4" t="s">
        <v>31</v>
      </c>
      <c r="F332" s="4">
        <f>VLOOKUP(E332,基础属性ID!A:B,2,0)</f>
        <v>18</v>
      </c>
      <c r="G332" s="4">
        <f>VLOOKUP(E332,基础属性ID!$A:$E,5,0)</f>
        <v>60</v>
      </c>
      <c r="H332" s="4">
        <v>1</v>
      </c>
      <c r="I332" s="4">
        <f t="shared" si="116"/>
        <v>3</v>
      </c>
      <c r="J332" s="4" t="str">
        <f t="shared" si="111"/>
        <v>18:60:1:3,</v>
      </c>
    </row>
    <row r="333" spans="1:10">
      <c r="A333" s="4" t="str">
        <f t="shared" si="113"/>
        <v>1级蓝武器生命值</v>
      </c>
      <c r="B333" s="4" t="s">
        <v>198</v>
      </c>
      <c r="C333" s="4" t="s">
        <v>118</v>
      </c>
      <c r="D333" s="4">
        <v>1</v>
      </c>
      <c r="E333" s="4" t="s">
        <v>74</v>
      </c>
      <c r="F333" s="4">
        <f>VLOOKUP(E333,基础属性ID!A:B,2,0)</f>
        <v>1</v>
      </c>
      <c r="G333" s="4">
        <f>VLOOKUP(E333,基础属性ID!$A:$E,5,0)</f>
        <v>100</v>
      </c>
      <c r="H333" s="4">
        <v>4</v>
      </c>
      <c r="I333" s="4">
        <f t="shared" si="116"/>
        <v>12</v>
      </c>
      <c r="J333" s="4" t="str">
        <f t="shared" si="111"/>
        <v>1:100:4:12,</v>
      </c>
    </row>
    <row r="334" spans="1:10">
      <c r="A334" s="4" t="str">
        <f t="shared" si="113"/>
        <v>1级蓝武器法力值</v>
      </c>
      <c r="B334" s="4" t="s">
        <v>198</v>
      </c>
      <c r="C334" s="4" t="s">
        <v>118</v>
      </c>
      <c r="D334" s="4">
        <v>1</v>
      </c>
      <c r="E334" s="4" t="s">
        <v>75</v>
      </c>
      <c r="F334" s="4">
        <f>VLOOKUP(E334,基础属性ID!A:B,2,0)</f>
        <v>2</v>
      </c>
      <c r="G334" s="4">
        <f>VLOOKUP(E334,基础属性ID!$A:$E,5,0)</f>
        <v>100</v>
      </c>
      <c r="H334" s="4">
        <v>4</v>
      </c>
      <c r="I334" s="4">
        <v>10</v>
      </c>
      <c r="J334" s="4" t="str">
        <f t="shared" si="111"/>
        <v>2:100:4:10,</v>
      </c>
    </row>
    <row r="335" spans="1:10">
      <c r="A335" s="4" t="str">
        <f t="shared" si="113"/>
        <v>1级蓝武器物理攻击</v>
      </c>
      <c r="B335" s="4" t="s">
        <v>198</v>
      </c>
      <c r="C335" s="4" t="s">
        <v>118</v>
      </c>
      <c r="D335" s="4">
        <v>1</v>
      </c>
      <c r="E335" s="4" t="s">
        <v>13</v>
      </c>
      <c r="F335" s="4">
        <f>VLOOKUP(E335,基础属性ID!A:B,2,0)</f>
        <v>3</v>
      </c>
      <c r="G335" s="4">
        <f>VLOOKUP(E335,基础属性ID!$A:$E,5,0)</f>
        <v>100</v>
      </c>
      <c r="H335" s="4">
        <v>2</v>
      </c>
      <c r="I335" s="4">
        <f>H335*3</f>
        <v>6</v>
      </c>
      <c r="J335" s="4" t="str">
        <f t="shared" si="111"/>
        <v>3:100:2:6,</v>
      </c>
    </row>
    <row r="336" spans="1:10">
      <c r="A336" s="4" t="str">
        <f t="shared" si="113"/>
        <v>1级蓝武器魔法攻击</v>
      </c>
      <c r="B336" s="4" t="s">
        <v>198</v>
      </c>
      <c r="C336" s="4" t="s">
        <v>118</v>
      </c>
      <c r="D336" s="4">
        <v>1</v>
      </c>
      <c r="E336" s="4" t="s">
        <v>14</v>
      </c>
      <c r="F336" s="4">
        <f>VLOOKUP(E336,基础属性ID!A:B,2,0)</f>
        <v>4</v>
      </c>
      <c r="G336" s="4">
        <f>VLOOKUP(E336,基础属性ID!$A:$E,5,0)</f>
        <v>100</v>
      </c>
      <c r="H336" s="4">
        <v>2</v>
      </c>
      <c r="I336" s="4">
        <f t="shared" ref="I336:I340" si="117">H336*3</f>
        <v>6</v>
      </c>
      <c r="J336" s="4" t="str">
        <f t="shared" si="111"/>
        <v>4:100:2:6,</v>
      </c>
    </row>
    <row r="337" spans="1:10">
      <c r="A337" s="4" t="str">
        <f t="shared" si="113"/>
        <v>1级蓝武器道术攻击</v>
      </c>
      <c r="B337" s="4" t="s">
        <v>198</v>
      </c>
      <c r="C337" s="4" t="s">
        <v>118</v>
      </c>
      <c r="D337" s="4">
        <v>1</v>
      </c>
      <c r="E337" s="4" t="s">
        <v>15</v>
      </c>
      <c r="F337" s="4">
        <f>VLOOKUP(E337,基础属性ID!A:B,2,0)</f>
        <v>5</v>
      </c>
      <c r="G337" s="4">
        <f>VLOOKUP(E337,基础属性ID!$A:$E,5,0)</f>
        <v>100</v>
      </c>
      <c r="H337" s="4">
        <v>2</v>
      </c>
      <c r="I337" s="4">
        <f t="shared" si="117"/>
        <v>6</v>
      </c>
      <c r="J337" s="4" t="str">
        <f t="shared" si="111"/>
        <v>5:100:2:6,</v>
      </c>
    </row>
    <row r="338" spans="1:10">
      <c r="A338" s="4" t="str">
        <f t="shared" si="113"/>
        <v>1级蓝武器防御</v>
      </c>
      <c r="B338" s="4" t="s">
        <v>198</v>
      </c>
      <c r="C338" s="4" t="s">
        <v>118</v>
      </c>
      <c r="D338" s="4">
        <v>1</v>
      </c>
      <c r="E338" s="4" t="s">
        <v>17</v>
      </c>
      <c r="F338" s="4">
        <f>VLOOKUP(E338,基础属性ID!A:B,2,0)</f>
        <v>6</v>
      </c>
      <c r="G338" s="4">
        <f>VLOOKUP(E338,基础属性ID!$A:$E,5,0)</f>
        <v>100</v>
      </c>
      <c r="H338" s="4">
        <v>2</v>
      </c>
      <c r="I338" s="4">
        <f t="shared" si="117"/>
        <v>6</v>
      </c>
      <c r="J338" s="4" t="str">
        <f t="shared" si="111"/>
        <v>6:100:2:6,</v>
      </c>
    </row>
    <row r="339" spans="1:10">
      <c r="A339" s="4" t="str">
        <f t="shared" si="113"/>
        <v>1级蓝武器固定伤害</v>
      </c>
      <c r="B339" s="4" t="s">
        <v>198</v>
      </c>
      <c r="C339" s="4" t="s">
        <v>118</v>
      </c>
      <c r="D339" s="4">
        <v>1</v>
      </c>
      <c r="E339" s="4" t="s">
        <v>24</v>
      </c>
      <c r="F339" s="4">
        <f>VLOOKUP(E339,基础属性ID!A:B,2,0)</f>
        <v>9</v>
      </c>
      <c r="G339" s="4">
        <f>VLOOKUP(E339,基础属性ID!$A:$E,5,0)</f>
        <v>50</v>
      </c>
      <c r="H339" s="4">
        <v>2</v>
      </c>
      <c r="I339" s="4">
        <f t="shared" si="117"/>
        <v>6</v>
      </c>
      <c r="J339" s="4" t="str">
        <f t="shared" si="111"/>
        <v>9:50:2:6,</v>
      </c>
    </row>
    <row r="340" spans="1:10">
      <c r="A340" s="4" t="str">
        <f t="shared" si="113"/>
        <v>1级蓝武器固定减伤</v>
      </c>
      <c r="B340" s="4" t="s">
        <v>198</v>
      </c>
      <c r="C340" s="4" t="s">
        <v>118</v>
      </c>
      <c r="D340" s="4">
        <v>1</v>
      </c>
      <c r="E340" s="4" t="s">
        <v>25</v>
      </c>
      <c r="F340" s="4">
        <f>VLOOKUP(E340,基础属性ID!A:B,2,0)</f>
        <v>10</v>
      </c>
      <c r="G340" s="4">
        <f>VLOOKUP(E340,基础属性ID!$A:$E,5,0)</f>
        <v>50</v>
      </c>
      <c r="H340" s="4">
        <v>2</v>
      </c>
      <c r="I340" s="4">
        <f t="shared" si="117"/>
        <v>6</v>
      </c>
      <c r="J340" s="4" t="str">
        <f t="shared" si="111"/>
        <v>10:50:2:6,</v>
      </c>
    </row>
    <row r="341" spans="1:10">
      <c r="A341" s="4" t="str">
        <f t="shared" si="113"/>
        <v>1级蓝武器生命吸取</v>
      </c>
      <c r="B341" s="4" t="s">
        <v>198</v>
      </c>
      <c r="C341" s="4" t="s">
        <v>118</v>
      </c>
      <c r="D341" s="4">
        <v>1</v>
      </c>
      <c r="E341" s="4" t="s">
        <v>28</v>
      </c>
      <c r="F341" s="4">
        <f>VLOOKUP(E341,基础属性ID!A:B,2,0)</f>
        <v>11</v>
      </c>
      <c r="G341" s="4">
        <f>VLOOKUP(E341,基础属性ID!$A:$E,5,0)</f>
        <v>50</v>
      </c>
      <c r="H341" s="4">
        <v>1</v>
      </c>
      <c r="I341" s="4">
        <f t="shared" ref="I341:I342" si="118">H341*3</f>
        <v>3</v>
      </c>
      <c r="J341" s="4" t="str">
        <f t="shared" si="111"/>
        <v>11:50:1:3,</v>
      </c>
    </row>
    <row r="342" spans="1:10">
      <c r="A342" s="4" t="str">
        <f t="shared" si="113"/>
        <v>1级蓝武器法力吸取</v>
      </c>
      <c r="B342" s="4" t="s">
        <v>198</v>
      </c>
      <c r="C342" s="4" t="s">
        <v>118</v>
      </c>
      <c r="D342" s="4">
        <v>1</v>
      </c>
      <c r="E342" s="4" t="s">
        <v>29</v>
      </c>
      <c r="F342" s="4">
        <f>VLOOKUP(E342,基础属性ID!A:B,2,0)</f>
        <v>12</v>
      </c>
      <c r="G342" s="4">
        <f>VLOOKUP(E342,基础属性ID!$A:$E,5,0)</f>
        <v>50</v>
      </c>
      <c r="H342" s="4">
        <v>1</v>
      </c>
      <c r="I342" s="4">
        <f t="shared" si="118"/>
        <v>3</v>
      </c>
      <c r="J342" s="4" t="str">
        <f t="shared" si="111"/>
        <v>12:50:1:3,</v>
      </c>
    </row>
    <row r="343" spans="1:10">
      <c r="A343" s="4" t="str">
        <f t="shared" si="113"/>
        <v>1级蓝武器暴击几率</v>
      </c>
      <c r="B343" s="4" t="s">
        <v>198</v>
      </c>
      <c r="C343" s="4" t="s">
        <v>118</v>
      </c>
      <c r="D343" s="4">
        <v>1</v>
      </c>
      <c r="E343" s="4" t="s">
        <v>21</v>
      </c>
      <c r="F343" s="4">
        <f>VLOOKUP(E343,基础属性ID!A:B,2,0)</f>
        <v>13</v>
      </c>
      <c r="G343" s="4">
        <f>VLOOKUP(E343,基础属性ID!$A:$E,5,0)</f>
        <v>20</v>
      </c>
      <c r="H343" s="4">
        <v>20</v>
      </c>
      <c r="I343" s="4">
        <v>50</v>
      </c>
      <c r="J343" s="4" t="str">
        <f t="shared" si="111"/>
        <v>13:20:20:50,</v>
      </c>
    </row>
    <row r="344" spans="1:10">
      <c r="A344" s="4" t="str">
        <f t="shared" si="113"/>
        <v>1级蓝武器爆击伤害</v>
      </c>
      <c r="B344" s="4" t="s">
        <v>198</v>
      </c>
      <c r="C344" s="4" t="s">
        <v>118</v>
      </c>
      <c r="D344" s="4">
        <v>1</v>
      </c>
      <c r="E344" s="4" t="s">
        <v>76</v>
      </c>
      <c r="F344" s="4">
        <f>VLOOKUP(E344,基础属性ID!A:B,2,0)</f>
        <v>14</v>
      </c>
      <c r="G344" s="4">
        <f>VLOOKUP(E344,基础属性ID!$A:$E,5,0)</f>
        <v>20</v>
      </c>
      <c r="H344" s="4">
        <v>2</v>
      </c>
      <c r="I344" s="4">
        <v>5</v>
      </c>
      <c r="J344" s="4" t="str">
        <f t="shared" si="111"/>
        <v>14:20:2:5,</v>
      </c>
    </row>
    <row r="345" spans="1:10">
      <c r="A345" s="4" t="str">
        <f t="shared" si="113"/>
        <v>1级蓝武器装备掉率</v>
      </c>
      <c r="B345" s="4" t="s">
        <v>198</v>
      </c>
      <c r="C345" s="4" t="s">
        <v>118</v>
      </c>
      <c r="D345" s="4">
        <v>1</v>
      </c>
      <c r="E345" s="4" t="s">
        <v>30</v>
      </c>
      <c r="F345" s="4">
        <f>VLOOKUP(E345,基础属性ID!A:B,2,0)</f>
        <v>17</v>
      </c>
      <c r="G345" s="4">
        <f>VLOOKUP(E345,基础属性ID!$A:$E,5,0)</f>
        <v>60</v>
      </c>
      <c r="H345" s="4">
        <v>2</v>
      </c>
      <c r="I345" s="4">
        <v>6</v>
      </c>
      <c r="J345" s="4" t="str">
        <f t="shared" si="111"/>
        <v>17:60:2:6,</v>
      </c>
    </row>
    <row r="346" spans="1:10">
      <c r="A346" s="4" t="str">
        <f t="shared" si="113"/>
        <v>1级蓝武器极品掉率</v>
      </c>
      <c r="B346" s="4" t="s">
        <v>198</v>
      </c>
      <c r="C346" s="4" t="s">
        <v>118</v>
      </c>
      <c r="D346" s="4">
        <v>1</v>
      </c>
      <c r="E346" s="4" t="s">
        <v>31</v>
      </c>
      <c r="F346" s="4">
        <f>VLOOKUP(E346,基础属性ID!A:B,2,0)</f>
        <v>18</v>
      </c>
      <c r="G346" s="4">
        <f>VLOOKUP(E346,基础属性ID!$A:$E,5,0)</f>
        <v>60</v>
      </c>
      <c r="H346" s="4">
        <v>2</v>
      </c>
      <c r="I346" s="4">
        <v>6</v>
      </c>
      <c r="J346" s="4" t="str">
        <f t="shared" si="111"/>
        <v>18:60:2:6,</v>
      </c>
    </row>
    <row r="347" spans="1:10">
      <c r="A347" s="4" t="str">
        <f t="shared" si="113"/>
        <v>1级蓝护甲生命值</v>
      </c>
      <c r="B347" s="4" t="s">
        <v>203</v>
      </c>
      <c r="C347" s="4" t="s">
        <v>118</v>
      </c>
      <c r="D347" s="4">
        <v>1</v>
      </c>
      <c r="E347" s="4" t="s">
        <v>74</v>
      </c>
      <c r="F347" s="4">
        <f>VLOOKUP(E347,基础属性ID!A:B,2,0)</f>
        <v>1</v>
      </c>
      <c r="G347" s="4">
        <f>VLOOKUP(E347,基础属性ID!$A:$E,5,0)</f>
        <v>100</v>
      </c>
      <c r="H347" s="4">
        <v>4</v>
      </c>
      <c r="I347" s="4">
        <f>H347*3</f>
        <v>12</v>
      </c>
      <c r="J347" s="4" t="str">
        <f t="shared" si="111"/>
        <v>1:100:4:12,</v>
      </c>
    </row>
    <row r="348" spans="1:10">
      <c r="A348" s="4" t="str">
        <f t="shared" si="113"/>
        <v>1级蓝护甲法力值</v>
      </c>
      <c r="B348" s="4" t="s">
        <v>203</v>
      </c>
      <c r="C348" s="4" t="s">
        <v>118</v>
      </c>
      <c r="D348" s="4">
        <v>1</v>
      </c>
      <c r="E348" s="4" t="s">
        <v>75</v>
      </c>
      <c r="F348" s="4">
        <f>VLOOKUP(E348,基础属性ID!A:B,2,0)</f>
        <v>2</v>
      </c>
      <c r="G348" s="4">
        <f>VLOOKUP(E348,基础属性ID!$A:$E,5,0)</f>
        <v>100</v>
      </c>
      <c r="H348" s="4">
        <v>4</v>
      </c>
      <c r="I348" s="4">
        <v>10</v>
      </c>
      <c r="J348" s="4" t="str">
        <f t="shared" si="111"/>
        <v>2:100:4:10,</v>
      </c>
    </row>
    <row r="349" spans="1:10">
      <c r="A349" s="4" t="str">
        <f t="shared" si="113"/>
        <v>1级蓝护甲物理攻击</v>
      </c>
      <c r="B349" s="4" t="s">
        <v>203</v>
      </c>
      <c r="C349" s="4" t="s">
        <v>118</v>
      </c>
      <c r="D349" s="4">
        <v>1</v>
      </c>
      <c r="E349" s="4" t="s">
        <v>13</v>
      </c>
      <c r="F349" s="4">
        <f>VLOOKUP(E349,基础属性ID!A:B,2,0)</f>
        <v>3</v>
      </c>
      <c r="G349" s="4">
        <f>VLOOKUP(E349,基础属性ID!$A:$E,5,0)</f>
        <v>100</v>
      </c>
      <c r="H349" s="4">
        <v>2</v>
      </c>
      <c r="I349" s="4">
        <f t="shared" ref="I349:I354" si="119">H349*3</f>
        <v>6</v>
      </c>
      <c r="J349" s="4" t="str">
        <f t="shared" si="111"/>
        <v>3:100:2:6,</v>
      </c>
    </row>
    <row r="350" spans="1:10">
      <c r="A350" s="4" t="str">
        <f t="shared" si="113"/>
        <v>1级蓝护甲魔法攻击</v>
      </c>
      <c r="B350" s="4" t="s">
        <v>203</v>
      </c>
      <c r="C350" s="4" t="s">
        <v>118</v>
      </c>
      <c r="D350" s="4">
        <v>1</v>
      </c>
      <c r="E350" s="4" t="s">
        <v>14</v>
      </c>
      <c r="F350" s="4">
        <f>VLOOKUP(E350,基础属性ID!A:B,2,0)</f>
        <v>4</v>
      </c>
      <c r="G350" s="4">
        <f>VLOOKUP(E350,基础属性ID!$A:$E,5,0)</f>
        <v>100</v>
      </c>
      <c r="H350" s="4">
        <v>2</v>
      </c>
      <c r="I350" s="4">
        <f t="shared" si="119"/>
        <v>6</v>
      </c>
      <c r="J350" s="4" t="str">
        <f t="shared" si="111"/>
        <v>4:100:2:6,</v>
      </c>
    </row>
    <row r="351" spans="1:10">
      <c r="A351" s="4" t="str">
        <f t="shared" si="113"/>
        <v>1级蓝护甲道术攻击</v>
      </c>
      <c r="B351" s="4" t="s">
        <v>203</v>
      </c>
      <c r="C351" s="4" t="s">
        <v>118</v>
      </c>
      <c r="D351" s="4">
        <v>1</v>
      </c>
      <c r="E351" s="4" t="s">
        <v>15</v>
      </c>
      <c r="F351" s="4">
        <f>VLOOKUP(E351,基础属性ID!A:B,2,0)</f>
        <v>5</v>
      </c>
      <c r="G351" s="4">
        <f>VLOOKUP(E351,基础属性ID!$A:$E,5,0)</f>
        <v>100</v>
      </c>
      <c r="H351" s="4">
        <v>2</v>
      </c>
      <c r="I351" s="4">
        <f t="shared" si="119"/>
        <v>6</v>
      </c>
      <c r="J351" s="4" t="str">
        <f t="shared" si="111"/>
        <v>5:100:2:6,</v>
      </c>
    </row>
    <row r="352" spans="1:10">
      <c r="A352" s="4" t="str">
        <f t="shared" si="113"/>
        <v>1级蓝护甲防御</v>
      </c>
      <c r="B352" s="4" t="s">
        <v>203</v>
      </c>
      <c r="C352" s="4" t="s">
        <v>118</v>
      </c>
      <c r="D352" s="4">
        <v>1</v>
      </c>
      <c r="E352" s="4" t="s">
        <v>17</v>
      </c>
      <c r="F352" s="4">
        <f>VLOOKUP(E352,基础属性ID!A:B,2,0)</f>
        <v>6</v>
      </c>
      <c r="G352" s="4">
        <f>VLOOKUP(E352,基础属性ID!$A:$E,5,0)</f>
        <v>100</v>
      </c>
      <c r="H352" s="4">
        <v>2</v>
      </c>
      <c r="I352" s="4">
        <f t="shared" si="119"/>
        <v>6</v>
      </c>
      <c r="J352" s="4" t="str">
        <f t="shared" si="111"/>
        <v>6:100:2:6,</v>
      </c>
    </row>
    <row r="353" spans="1:10">
      <c r="A353" s="4" t="str">
        <f t="shared" si="113"/>
        <v>1级蓝护甲固定伤害</v>
      </c>
      <c r="B353" s="4" t="s">
        <v>203</v>
      </c>
      <c r="C353" s="4" t="s">
        <v>118</v>
      </c>
      <c r="D353" s="4">
        <v>1</v>
      </c>
      <c r="E353" s="4" t="s">
        <v>24</v>
      </c>
      <c r="F353" s="4">
        <f>VLOOKUP(E353,基础属性ID!A:B,2,0)</f>
        <v>9</v>
      </c>
      <c r="G353" s="4">
        <f>VLOOKUP(E353,基础属性ID!$A:$E,5,0)</f>
        <v>50</v>
      </c>
      <c r="H353" s="4">
        <v>2</v>
      </c>
      <c r="I353" s="4">
        <f t="shared" si="119"/>
        <v>6</v>
      </c>
      <c r="J353" s="4" t="str">
        <f t="shared" si="111"/>
        <v>9:50:2:6,</v>
      </c>
    </row>
    <row r="354" spans="1:10">
      <c r="A354" s="4" t="str">
        <f t="shared" si="113"/>
        <v>1级蓝护甲固定减伤</v>
      </c>
      <c r="B354" s="4" t="s">
        <v>203</v>
      </c>
      <c r="C354" s="4" t="s">
        <v>118</v>
      </c>
      <c r="D354" s="4">
        <v>1</v>
      </c>
      <c r="E354" s="4" t="s">
        <v>25</v>
      </c>
      <c r="F354" s="4">
        <f>VLOOKUP(E354,基础属性ID!A:B,2,0)</f>
        <v>10</v>
      </c>
      <c r="G354" s="4">
        <f>VLOOKUP(E354,基础属性ID!$A:$E,5,0)</f>
        <v>50</v>
      </c>
      <c r="H354" s="4">
        <v>2</v>
      </c>
      <c r="I354" s="4">
        <f t="shared" si="119"/>
        <v>6</v>
      </c>
      <c r="J354" s="4" t="str">
        <f t="shared" si="111"/>
        <v>10:50:2:6,</v>
      </c>
    </row>
    <row r="355" spans="1:10">
      <c r="A355" s="4" t="str">
        <f t="shared" si="113"/>
        <v>1级蓝护甲生命吸取</v>
      </c>
      <c r="B355" s="4" t="s">
        <v>203</v>
      </c>
      <c r="C355" s="4" t="s">
        <v>118</v>
      </c>
      <c r="D355" s="4">
        <v>1</v>
      </c>
      <c r="E355" s="4" t="s">
        <v>28</v>
      </c>
      <c r="F355" s="4">
        <f>VLOOKUP(E355,基础属性ID!A:B,2,0)</f>
        <v>11</v>
      </c>
      <c r="G355" s="4">
        <f>VLOOKUP(E355,基础属性ID!$A:$E,5,0)</f>
        <v>50</v>
      </c>
      <c r="H355" s="4">
        <v>1</v>
      </c>
      <c r="I355" s="4">
        <f t="shared" ref="I355:I356" si="120">H355*3</f>
        <v>3</v>
      </c>
      <c r="J355" s="4" t="str">
        <f t="shared" si="111"/>
        <v>11:50:1:3,</v>
      </c>
    </row>
    <row r="356" spans="1:10">
      <c r="A356" s="4" t="str">
        <f t="shared" si="113"/>
        <v>1级蓝护甲法力吸取</v>
      </c>
      <c r="B356" s="4" t="s">
        <v>203</v>
      </c>
      <c r="C356" s="4" t="s">
        <v>118</v>
      </c>
      <c r="D356" s="4">
        <v>1</v>
      </c>
      <c r="E356" s="4" t="s">
        <v>29</v>
      </c>
      <c r="F356" s="4">
        <f>VLOOKUP(E356,基础属性ID!A:B,2,0)</f>
        <v>12</v>
      </c>
      <c r="G356" s="4">
        <f>VLOOKUP(E356,基础属性ID!$A:$E,5,0)</f>
        <v>50</v>
      </c>
      <c r="H356" s="4">
        <v>1</v>
      </c>
      <c r="I356" s="4">
        <f t="shared" si="120"/>
        <v>3</v>
      </c>
      <c r="J356" s="4" t="str">
        <f t="shared" si="111"/>
        <v>12:50:1:3,</v>
      </c>
    </row>
    <row r="357" spans="1:10">
      <c r="A357" s="4" t="str">
        <f t="shared" si="113"/>
        <v>1级蓝护甲暴击几率</v>
      </c>
      <c r="B357" s="4" t="s">
        <v>203</v>
      </c>
      <c r="C357" s="4" t="s">
        <v>118</v>
      </c>
      <c r="D357" s="4">
        <v>1</v>
      </c>
      <c r="E357" s="4" t="s">
        <v>21</v>
      </c>
      <c r="F357" s="4">
        <f>VLOOKUP(E357,基础属性ID!A:B,2,0)</f>
        <v>13</v>
      </c>
      <c r="G357" s="4">
        <f>VLOOKUP(E357,基础属性ID!$A:$E,5,0)</f>
        <v>20</v>
      </c>
      <c r="H357" s="4">
        <v>20</v>
      </c>
      <c r="I357" s="4">
        <v>50</v>
      </c>
      <c r="J357" s="4" t="str">
        <f t="shared" si="111"/>
        <v>13:20:20:50,</v>
      </c>
    </row>
    <row r="358" spans="1:10">
      <c r="A358" s="4" t="str">
        <f t="shared" si="113"/>
        <v>1级蓝护甲爆击伤害</v>
      </c>
      <c r="B358" s="4" t="s">
        <v>203</v>
      </c>
      <c r="C358" s="4" t="s">
        <v>118</v>
      </c>
      <c r="D358" s="4">
        <v>1</v>
      </c>
      <c r="E358" s="4" t="s">
        <v>76</v>
      </c>
      <c r="F358" s="4">
        <f>VLOOKUP(E358,基础属性ID!A:B,2,0)</f>
        <v>14</v>
      </c>
      <c r="G358" s="4">
        <f>VLOOKUP(E358,基础属性ID!$A:$E,5,0)</f>
        <v>20</v>
      </c>
      <c r="H358" s="4">
        <v>2</v>
      </c>
      <c r="I358" s="4">
        <v>5</v>
      </c>
      <c r="J358" s="4" t="str">
        <f t="shared" si="111"/>
        <v>14:20:2:5,</v>
      </c>
    </row>
    <row r="359" spans="1:10">
      <c r="A359" s="4" t="str">
        <f t="shared" si="113"/>
        <v>1级蓝护甲装备掉率</v>
      </c>
      <c r="B359" s="4" t="s">
        <v>203</v>
      </c>
      <c r="C359" s="4" t="s">
        <v>118</v>
      </c>
      <c r="D359" s="4">
        <v>1</v>
      </c>
      <c r="E359" s="4" t="s">
        <v>30</v>
      </c>
      <c r="F359" s="4">
        <f>VLOOKUP(E359,基础属性ID!A:B,2,0)</f>
        <v>17</v>
      </c>
      <c r="G359" s="4">
        <f>VLOOKUP(E359,基础属性ID!$A:$E,5,0)</f>
        <v>60</v>
      </c>
      <c r="H359" s="4">
        <v>2</v>
      </c>
      <c r="I359" s="4">
        <v>6</v>
      </c>
      <c r="J359" s="4" t="str">
        <f t="shared" si="111"/>
        <v>17:60:2:6,</v>
      </c>
    </row>
    <row r="360" spans="1:10">
      <c r="A360" s="4" t="str">
        <f t="shared" si="113"/>
        <v>1级蓝护甲极品掉率</v>
      </c>
      <c r="B360" s="4" t="s">
        <v>203</v>
      </c>
      <c r="C360" s="4" t="s">
        <v>118</v>
      </c>
      <c r="D360" s="4">
        <v>1</v>
      </c>
      <c r="E360" s="4" t="s">
        <v>31</v>
      </c>
      <c r="F360" s="4">
        <f>VLOOKUP(E360,基础属性ID!A:B,2,0)</f>
        <v>18</v>
      </c>
      <c r="G360" s="4">
        <f>VLOOKUP(E360,基础属性ID!$A:$E,5,0)</f>
        <v>60</v>
      </c>
      <c r="H360" s="4">
        <v>2</v>
      </c>
      <c r="I360" s="4">
        <v>6</v>
      </c>
      <c r="J360" s="4" t="str">
        <f t="shared" si="111"/>
        <v>18:60:2:6,</v>
      </c>
    </row>
    <row r="361" spans="1:10">
      <c r="A361" s="4" t="str">
        <f t="shared" si="113"/>
        <v>1级蓝项链生命值</v>
      </c>
      <c r="B361" s="4" t="s">
        <v>215</v>
      </c>
      <c r="C361" s="4" t="s">
        <v>118</v>
      </c>
      <c r="D361" s="4">
        <v>1</v>
      </c>
      <c r="E361" s="4" t="s">
        <v>74</v>
      </c>
      <c r="F361" s="4">
        <f>VLOOKUP(E361,基础属性ID!A:B,2,0)</f>
        <v>1</v>
      </c>
      <c r="G361" s="4">
        <f>VLOOKUP(E361,基础属性ID!$A:$E,5,0)</f>
        <v>100</v>
      </c>
      <c r="H361" s="4">
        <v>4</v>
      </c>
      <c r="I361" s="4">
        <f>H361*3</f>
        <v>12</v>
      </c>
      <c r="J361" s="4" t="str">
        <f t="shared" si="111"/>
        <v>1:100:4:12,</v>
      </c>
    </row>
    <row r="362" spans="1:10">
      <c r="A362" s="4" t="str">
        <f t="shared" si="113"/>
        <v>1级蓝项链法力值</v>
      </c>
      <c r="B362" s="4" t="s">
        <v>215</v>
      </c>
      <c r="C362" s="4" t="s">
        <v>118</v>
      </c>
      <c r="D362" s="4">
        <v>1</v>
      </c>
      <c r="E362" s="4" t="s">
        <v>75</v>
      </c>
      <c r="F362" s="4">
        <f>VLOOKUP(E362,基础属性ID!A:B,2,0)</f>
        <v>2</v>
      </c>
      <c r="G362" s="4">
        <f>VLOOKUP(E362,基础属性ID!$A:$E,5,0)</f>
        <v>100</v>
      </c>
      <c r="H362" s="4">
        <v>4</v>
      </c>
      <c r="I362" s="4">
        <v>10</v>
      </c>
      <c r="J362" s="4" t="str">
        <f t="shared" si="111"/>
        <v>2:100:4:10,</v>
      </c>
    </row>
    <row r="363" spans="1:10">
      <c r="A363" s="4" t="str">
        <f t="shared" si="113"/>
        <v>1级蓝项链物理攻击</v>
      </c>
      <c r="B363" s="4" t="s">
        <v>215</v>
      </c>
      <c r="C363" s="4" t="s">
        <v>118</v>
      </c>
      <c r="D363" s="4">
        <v>1</v>
      </c>
      <c r="E363" s="4" t="s">
        <v>13</v>
      </c>
      <c r="F363" s="4">
        <f>VLOOKUP(E363,基础属性ID!A:B,2,0)</f>
        <v>3</v>
      </c>
      <c r="G363" s="4">
        <f>VLOOKUP(E363,基础属性ID!$A:$E,5,0)</f>
        <v>100</v>
      </c>
      <c r="H363" s="4">
        <v>2</v>
      </c>
      <c r="I363" s="4">
        <f t="shared" ref="I363:I368" si="121">H363*3</f>
        <v>6</v>
      </c>
      <c r="J363" s="4" t="str">
        <f t="shared" si="111"/>
        <v>3:100:2:6,</v>
      </c>
    </row>
    <row r="364" spans="1:10">
      <c r="A364" s="4" t="str">
        <f t="shared" si="113"/>
        <v>1级蓝项链魔法攻击</v>
      </c>
      <c r="B364" s="4" t="s">
        <v>215</v>
      </c>
      <c r="C364" s="4" t="s">
        <v>118</v>
      </c>
      <c r="D364" s="4">
        <v>1</v>
      </c>
      <c r="E364" s="4" t="s">
        <v>14</v>
      </c>
      <c r="F364" s="4">
        <f>VLOOKUP(E364,基础属性ID!A:B,2,0)</f>
        <v>4</v>
      </c>
      <c r="G364" s="4">
        <f>VLOOKUP(E364,基础属性ID!$A:$E,5,0)</f>
        <v>100</v>
      </c>
      <c r="H364" s="4">
        <v>2</v>
      </c>
      <c r="I364" s="4">
        <f t="shared" si="121"/>
        <v>6</v>
      </c>
      <c r="J364" s="4" t="str">
        <f t="shared" si="111"/>
        <v>4:100:2:6,</v>
      </c>
    </row>
    <row r="365" spans="1:10">
      <c r="A365" s="4" t="str">
        <f t="shared" si="113"/>
        <v>1级蓝项链道术攻击</v>
      </c>
      <c r="B365" s="4" t="s">
        <v>215</v>
      </c>
      <c r="C365" s="4" t="s">
        <v>118</v>
      </c>
      <c r="D365" s="4">
        <v>1</v>
      </c>
      <c r="E365" s="4" t="s">
        <v>15</v>
      </c>
      <c r="F365" s="4">
        <f>VLOOKUP(E365,基础属性ID!A:B,2,0)</f>
        <v>5</v>
      </c>
      <c r="G365" s="4">
        <f>VLOOKUP(E365,基础属性ID!$A:$E,5,0)</f>
        <v>100</v>
      </c>
      <c r="H365" s="4">
        <v>2</v>
      </c>
      <c r="I365" s="4">
        <f t="shared" si="121"/>
        <v>6</v>
      </c>
      <c r="J365" s="4" t="str">
        <f t="shared" si="111"/>
        <v>5:100:2:6,</v>
      </c>
    </row>
    <row r="366" spans="1:10">
      <c r="A366" s="4" t="str">
        <f t="shared" si="113"/>
        <v>1级蓝项链防御</v>
      </c>
      <c r="B366" s="4" t="s">
        <v>215</v>
      </c>
      <c r="C366" s="4" t="s">
        <v>118</v>
      </c>
      <c r="D366" s="4">
        <v>1</v>
      </c>
      <c r="E366" s="4" t="s">
        <v>17</v>
      </c>
      <c r="F366" s="4">
        <f>VLOOKUP(E366,基础属性ID!A:B,2,0)</f>
        <v>6</v>
      </c>
      <c r="G366" s="4">
        <f>VLOOKUP(E366,基础属性ID!$A:$E,5,0)</f>
        <v>100</v>
      </c>
      <c r="H366" s="4">
        <v>2</v>
      </c>
      <c r="I366" s="4">
        <f t="shared" si="121"/>
        <v>6</v>
      </c>
      <c r="J366" s="4" t="str">
        <f t="shared" si="111"/>
        <v>6:100:2:6,</v>
      </c>
    </row>
    <row r="367" spans="1:10">
      <c r="A367" s="4" t="str">
        <f t="shared" si="113"/>
        <v>1级蓝项链固定伤害</v>
      </c>
      <c r="B367" s="4" t="s">
        <v>215</v>
      </c>
      <c r="C367" s="4" t="s">
        <v>118</v>
      </c>
      <c r="D367" s="4">
        <v>1</v>
      </c>
      <c r="E367" s="4" t="s">
        <v>24</v>
      </c>
      <c r="F367" s="4">
        <f>VLOOKUP(E367,基础属性ID!A:B,2,0)</f>
        <v>9</v>
      </c>
      <c r="G367" s="4">
        <f>VLOOKUP(E367,基础属性ID!$A:$E,5,0)</f>
        <v>50</v>
      </c>
      <c r="H367" s="4">
        <v>2</v>
      </c>
      <c r="I367" s="4">
        <f t="shared" si="121"/>
        <v>6</v>
      </c>
      <c r="J367" s="4" t="str">
        <f t="shared" si="111"/>
        <v>9:50:2:6,</v>
      </c>
    </row>
    <row r="368" spans="1:10">
      <c r="A368" s="4" t="str">
        <f t="shared" si="113"/>
        <v>1级蓝项链固定减伤</v>
      </c>
      <c r="B368" s="4" t="s">
        <v>215</v>
      </c>
      <c r="C368" s="4" t="s">
        <v>118</v>
      </c>
      <c r="D368" s="4">
        <v>1</v>
      </c>
      <c r="E368" s="4" t="s">
        <v>25</v>
      </c>
      <c r="F368" s="4">
        <f>VLOOKUP(E368,基础属性ID!A:B,2,0)</f>
        <v>10</v>
      </c>
      <c r="G368" s="4">
        <f>VLOOKUP(E368,基础属性ID!$A:$E,5,0)</f>
        <v>50</v>
      </c>
      <c r="H368" s="4">
        <v>2</v>
      </c>
      <c r="I368" s="4">
        <f t="shared" si="121"/>
        <v>6</v>
      </c>
      <c r="J368" s="4" t="str">
        <f t="shared" si="111"/>
        <v>10:50:2:6,</v>
      </c>
    </row>
    <row r="369" spans="1:10">
      <c r="A369" s="4" t="str">
        <f t="shared" si="113"/>
        <v>1级蓝项链生命吸取</v>
      </c>
      <c r="B369" s="4" t="s">
        <v>215</v>
      </c>
      <c r="C369" s="4" t="s">
        <v>118</v>
      </c>
      <c r="D369" s="4">
        <v>1</v>
      </c>
      <c r="E369" s="4" t="s">
        <v>28</v>
      </c>
      <c r="F369" s="4">
        <f>VLOOKUP(E369,基础属性ID!A:B,2,0)</f>
        <v>11</v>
      </c>
      <c r="G369" s="4">
        <f>VLOOKUP(E369,基础属性ID!$A:$E,5,0)</f>
        <v>50</v>
      </c>
      <c r="H369" s="4">
        <v>1</v>
      </c>
      <c r="I369" s="4">
        <f t="shared" ref="I369:I370" si="122">H369*3</f>
        <v>3</v>
      </c>
      <c r="J369" s="4" t="str">
        <f t="shared" si="111"/>
        <v>11:50:1:3,</v>
      </c>
    </row>
    <row r="370" spans="1:10">
      <c r="A370" s="4" t="str">
        <f t="shared" si="113"/>
        <v>1级蓝项链法力吸取</v>
      </c>
      <c r="B370" s="4" t="s">
        <v>215</v>
      </c>
      <c r="C370" s="4" t="s">
        <v>118</v>
      </c>
      <c r="D370" s="4">
        <v>1</v>
      </c>
      <c r="E370" s="4" t="s">
        <v>29</v>
      </c>
      <c r="F370" s="4">
        <f>VLOOKUP(E370,基础属性ID!A:B,2,0)</f>
        <v>12</v>
      </c>
      <c r="G370" s="4">
        <f>VLOOKUP(E370,基础属性ID!$A:$E,5,0)</f>
        <v>50</v>
      </c>
      <c r="H370" s="4">
        <v>1</v>
      </c>
      <c r="I370" s="4">
        <f t="shared" si="122"/>
        <v>3</v>
      </c>
      <c r="J370" s="4" t="str">
        <f t="shared" si="111"/>
        <v>12:50:1:3,</v>
      </c>
    </row>
    <row r="371" spans="1:10">
      <c r="A371" s="4" t="str">
        <f t="shared" si="113"/>
        <v>1级蓝项链暴击几率</v>
      </c>
      <c r="B371" s="4" t="s">
        <v>215</v>
      </c>
      <c r="C371" s="4" t="s">
        <v>118</v>
      </c>
      <c r="D371" s="4">
        <v>1</v>
      </c>
      <c r="E371" s="4" t="s">
        <v>21</v>
      </c>
      <c r="F371" s="4">
        <f>VLOOKUP(E371,基础属性ID!A:B,2,0)</f>
        <v>13</v>
      </c>
      <c r="G371" s="4">
        <f>VLOOKUP(E371,基础属性ID!$A:$E,5,0)</f>
        <v>20</v>
      </c>
      <c r="H371" s="4">
        <v>20</v>
      </c>
      <c r="I371" s="4">
        <v>50</v>
      </c>
      <c r="J371" s="4" t="str">
        <f t="shared" si="111"/>
        <v>13:20:20:50,</v>
      </c>
    </row>
    <row r="372" spans="1:10">
      <c r="A372" s="4" t="str">
        <f t="shared" si="113"/>
        <v>1级蓝项链爆击伤害</v>
      </c>
      <c r="B372" s="4" t="s">
        <v>215</v>
      </c>
      <c r="C372" s="4" t="s">
        <v>118</v>
      </c>
      <c r="D372" s="4">
        <v>1</v>
      </c>
      <c r="E372" s="4" t="s">
        <v>76</v>
      </c>
      <c r="F372" s="4">
        <f>VLOOKUP(E372,基础属性ID!A:B,2,0)</f>
        <v>14</v>
      </c>
      <c r="G372" s="4">
        <f>VLOOKUP(E372,基础属性ID!$A:$E,5,0)</f>
        <v>20</v>
      </c>
      <c r="H372" s="4">
        <v>2</v>
      </c>
      <c r="I372" s="4">
        <v>5</v>
      </c>
      <c r="J372" s="4" t="str">
        <f t="shared" si="111"/>
        <v>14:20:2:5,</v>
      </c>
    </row>
    <row r="373" spans="1:10">
      <c r="A373" s="4" t="str">
        <f t="shared" si="113"/>
        <v>1级蓝项链装备掉率</v>
      </c>
      <c r="B373" s="4" t="s">
        <v>215</v>
      </c>
      <c r="C373" s="4" t="s">
        <v>118</v>
      </c>
      <c r="D373" s="4">
        <v>1</v>
      </c>
      <c r="E373" s="4" t="s">
        <v>30</v>
      </c>
      <c r="F373" s="4">
        <f>VLOOKUP(E373,基础属性ID!A:B,2,0)</f>
        <v>17</v>
      </c>
      <c r="G373" s="4">
        <f>VLOOKUP(E373,基础属性ID!$A:$E,5,0)</f>
        <v>60</v>
      </c>
      <c r="H373" s="4">
        <v>2</v>
      </c>
      <c r="I373" s="4">
        <v>6</v>
      </c>
      <c r="J373" s="4" t="str">
        <f t="shared" si="111"/>
        <v>17:60:2:6,</v>
      </c>
    </row>
    <row r="374" spans="1:10">
      <c r="A374" s="4" t="str">
        <f t="shared" si="113"/>
        <v>1级蓝项链极品掉率</v>
      </c>
      <c r="B374" s="4" t="s">
        <v>215</v>
      </c>
      <c r="C374" s="4" t="s">
        <v>118</v>
      </c>
      <c r="D374" s="4">
        <v>1</v>
      </c>
      <c r="E374" s="4" t="s">
        <v>31</v>
      </c>
      <c r="F374" s="4">
        <f>VLOOKUP(E374,基础属性ID!A:B,2,0)</f>
        <v>18</v>
      </c>
      <c r="G374" s="4">
        <f>VLOOKUP(E374,基础属性ID!$A:$E,5,0)</f>
        <v>60</v>
      </c>
      <c r="H374" s="4">
        <v>2</v>
      </c>
      <c r="I374" s="4">
        <v>6</v>
      </c>
      <c r="J374" s="4" t="str">
        <f t="shared" si="111"/>
        <v>18:60:2:6,</v>
      </c>
    </row>
    <row r="375" spans="1:10">
      <c r="A375" s="4" t="str">
        <f t="shared" si="113"/>
        <v>1级蓝手镯生命值</v>
      </c>
      <c r="B375" s="4" t="s">
        <v>218</v>
      </c>
      <c r="C375" s="4" t="s">
        <v>118</v>
      </c>
      <c r="D375" s="4">
        <v>1</v>
      </c>
      <c r="E375" s="4" t="s">
        <v>74</v>
      </c>
      <c r="F375" s="4">
        <f>VLOOKUP(E375,基础属性ID!A:B,2,0)</f>
        <v>1</v>
      </c>
      <c r="G375" s="4">
        <f>VLOOKUP(E375,基础属性ID!$A:$E,5,0)</f>
        <v>100</v>
      </c>
      <c r="H375" s="4">
        <v>4</v>
      </c>
      <c r="I375" s="4">
        <f>H375*3</f>
        <v>12</v>
      </c>
      <c r="J375" s="4" t="str">
        <f t="shared" si="111"/>
        <v>1:100:4:12,</v>
      </c>
    </row>
    <row r="376" spans="1:10">
      <c r="A376" s="4" t="str">
        <f t="shared" si="113"/>
        <v>1级蓝手镯法力值</v>
      </c>
      <c r="B376" s="4" t="s">
        <v>218</v>
      </c>
      <c r="C376" s="4" t="s">
        <v>118</v>
      </c>
      <c r="D376" s="4">
        <v>1</v>
      </c>
      <c r="E376" s="4" t="s">
        <v>75</v>
      </c>
      <c r="F376" s="4">
        <f>VLOOKUP(E376,基础属性ID!A:B,2,0)</f>
        <v>2</v>
      </c>
      <c r="G376" s="4">
        <f>VLOOKUP(E376,基础属性ID!$A:$E,5,0)</f>
        <v>100</v>
      </c>
      <c r="H376" s="4">
        <v>4</v>
      </c>
      <c r="I376" s="4">
        <v>10</v>
      </c>
      <c r="J376" s="4" t="str">
        <f t="shared" si="111"/>
        <v>2:100:4:10,</v>
      </c>
    </row>
    <row r="377" spans="1:10">
      <c r="A377" s="4" t="str">
        <f t="shared" si="113"/>
        <v>1级蓝手镯物理攻击</v>
      </c>
      <c r="B377" s="4" t="s">
        <v>218</v>
      </c>
      <c r="C377" s="4" t="s">
        <v>118</v>
      </c>
      <c r="D377" s="4">
        <v>1</v>
      </c>
      <c r="E377" s="4" t="s">
        <v>13</v>
      </c>
      <c r="F377" s="4">
        <f>VLOOKUP(E377,基础属性ID!A:B,2,0)</f>
        <v>3</v>
      </c>
      <c r="G377" s="4">
        <f>VLOOKUP(E377,基础属性ID!$A:$E,5,0)</f>
        <v>100</v>
      </c>
      <c r="H377" s="4">
        <v>2</v>
      </c>
      <c r="I377" s="4">
        <f t="shared" ref="I377:I382" si="123">H377*3</f>
        <v>6</v>
      </c>
      <c r="J377" s="4" t="str">
        <f t="shared" ref="J377:J440" si="124">F377&amp;":"&amp;G377&amp;":"&amp;H377&amp;":"&amp;I377&amp;","</f>
        <v>3:100:2:6,</v>
      </c>
    </row>
    <row r="378" spans="1:10">
      <c r="A378" s="4" t="str">
        <f t="shared" si="113"/>
        <v>1级蓝手镯魔法攻击</v>
      </c>
      <c r="B378" s="4" t="s">
        <v>218</v>
      </c>
      <c r="C378" s="4" t="s">
        <v>118</v>
      </c>
      <c r="D378" s="4">
        <v>1</v>
      </c>
      <c r="E378" s="4" t="s">
        <v>14</v>
      </c>
      <c r="F378" s="4">
        <f>VLOOKUP(E378,基础属性ID!A:B,2,0)</f>
        <v>4</v>
      </c>
      <c r="G378" s="4">
        <f>VLOOKUP(E378,基础属性ID!$A:$E,5,0)</f>
        <v>100</v>
      </c>
      <c r="H378" s="4">
        <v>2</v>
      </c>
      <c r="I378" s="4">
        <f t="shared" si="123"/>
        <v>6</v>
      </c>
      <c r="J378" s="4" t="str">
        <f t="shared" si="124"/>
        <v>4:100:2:6,</v>
      </c>
    </row>
    <row r="379" spans="1:10">
      <c r="A379" s="4" t="str">
        <f t="shared" si="113"/>
        <v>1级蓝手镯道术攻击</v>
      </c>
      <c r="B379" s="4" t="s">
        <v>218</v>
      </c>
      <c r="C379" s="4" t="s">
        <v>118</v>
      </c>
      <c r="D379" s="4">
        <v>1</v>
      </c>
      <c r="E379" s="4" t="s">
        <v>15</v>
      </c>
      <c r="F379" s="4">
        <f>VLOOKUP(E379,基础属性ID!A:B,2,0)</f>
        <v>5</v>
      </c>
      <c r="G379" s="4">
        <f>VLOOKUP(E379,基础属性ID!$A:$E,5,0)</f>
        <v>100</v>
      </c>
      <c r="H379" s="4">
        <v>2</v>
      </c>
      <c r="I379" s="4">
        <f t="shared" si="123"/>
        <v>6</v>
      </c>
      <c r="J379" s="4" t="str">
        <f t="shared" si="124"/>
        <v>5:100:2:6,</v>
      </c>
    </row>
    <row r="380" spans="1:10">
      <c r="A380" s="4" t="str">
        <f t="shared" si="113"/>
        <v>1级蓝手镯防御</v>
      </c>
      <c r="B380" s="4" t="s">
        <v>218</v>
      </c>
      <c r="C380" s="4" t="s">
        <v>118</v>
      </c>
      <c r="D380" s="4">
        <v>1</v>
      </c>
      <c r="E380" s="4" t="s">
        <v>17</v>
      </c>
      <c r="F380" s="4">
        <f>VLOOKUP(E380,基础属性ID!A:B,2,0)</f>
        <v>6</v>
      </c>
      <c r="G380" s="4">
        <f>VLOOKUP(E380,基础属性ID!$A:$E,5,0)</f>
        <v>100</v>
      </c>
      <c r="H380" s="4">
        <v>2</v>
      </c>
      <c r="I380" s="4">
        <f t="shared" si="123"/>
        <v>6</v>
      </c>
      <c r="J380" s="4" t="str">
        <f t="shared" si="124"/>
        <v>6:100:2:6,</v>
      </c>
    </row>
    <row r="381" spans="1:10">
      <c r="A381" s="4" t="str">
        <f t="shared" si="113"/>
        <v>1级蓝手镯固定伤害</v>
      </c>
      <c r="B381" s="4" t="s">
        <v>218</v>
      </c>
      <c r="C381" s="4" t="s">
        <v>118</v>
      </c>
      <c r="D381" s="4">
        <v>1</v>
      </c>
      <c r="E381" s="4" t="s">
        <v>24</v>
      </c>
      <c r="F381" s="4">
        <f>VLOOKUP(E381,基础属性ID!A:B,2,0)</f>
        <v>9</v>
      </c>
      <c r="G381" s="4">
        <f>VLOOKUP(E381,基础属性ID!$A:$E,5,0)</f>
        <v>50</v>
      </c>
      <c r="H381" s="4">
        <v>2</v>
      </c>
      <c r="I381" s="4">
        <f t="shared" si="123"/>
        <v>6</v>
      </c>
      <c r="J381" s="4" t="str">
        <f t="shared" si="124"/>
        <v>9:50:2:6,</v>
      </c>
    </row>
    <row r="382" spans="1:10">
      <c r="A382" s="4" t="str">
        <f t="shared" si="113"/>
        <v>1级蓝手镯固定减伤</v>
      </c>
      <c r="B382" s="4" t="s">
        <v>218</v>
      </c>
      <c r="C382" s="4" t="s">
        <v>118</v>
      </c>
      <c r="D382" s="4">
        <v>1</v>
      </c>
      <c r="E382" s="4" t="s">
        <v>25</v>
      </c>
      <c r="F382" s="4">
        <f>VLOOKUP(E382,基础属性ID!A:B,2,0)</f>
        <v>10</v>
      </c>
      <c r="G382" s="4">
        <f>VLOOKUP(E382,基础属性ID!$A:$E,5,0)</f>
        <v>50</v>
      </c>
      <c r="H382" s="4">
        <v>2</v>
      </c>
      <c r="I382" s="4">
        <f t="shared" si="123"/>
        <v>6</v>
      </c>
      <c r="J382" s="4" t="str">
        <f t="shared" si="124"/>
        <v>10:50:2:6,</v>
      </c>
    </row>
    <row r="383" spans="1:10">
      <c r="A383" s="4" t="str">
        <f t="shared" si="113"/>
        <v>1级蓝手镯生命吸取</v>
      </c>
      <c r="B383" s="4" t="s">
        <v>218</v>
      </c>
      <c r="C383" s="4" t="s">
        <v>118</v>
      </c>
      <c r="D383" s="4">
        <v>1</v>
      </c>
      <c r="E383" s="4" t="s">
        <v>28</v>
      </c>
      <c r="F383" s="4">
        <f>VLOOKUP(E383,基础属性ID!A:B,2,0)</f>
        <v>11</v>
      </c>
      <c r="G383" s="4">
        <f>VLOOKUP(E383,基础属性ID!$A:$E,5,0)</f>
        <v>50</v>
      </c>
      <c r="H383" s="4">
        <v>1</v>
      </c>
      <c r="I383" s="4">
        <f t="shared" ref="I383:I384" si="125">H383*3</f>
        <v>3</v>
      </c>
      <c r="J383" s="4" t="str">
        <f t="shared" si="124"/>
        <v>11:50:1:3,</v>
      </c>
    </row>
    <row r="384" spans="1:10">
      <c r="A384" s="4" t="str">
        <f t="shared" si="113"/>
        <v>1级蓝手镯法力吸取</v>
      </c>
      <c r="B384" s="4" t="s">
        <v>218</v>
      </c>
      <c r="C384" s="4" t="s">
        <v>118</v>
      </c>
      <c r="D384" s="4">
        <v>1</v>
      </c>
      <c r="E384" s="4" t="s">
        <v>29</v>
      </c>
      <c r="F384" s="4">
        <f>VLOOKUP(E384,基础属性ID!A:B,2,0)</f>
        <v>12</v>
      </c>
      <c r="G384" s="4">
        <f>VLOOKUP(E384,基础属性ID!$A:$E,5,0)</f>
        <v>50</v>
      </c>
      <c r="H384" s="4">
        <v>1</v>
      </c>
      <c r="I384" s="4">
        <f t="shared" si="125"/>
        <v>3</v>
      </c>
      <c r="J384" s="4" t="str">
        <f t="shared" si="124"/>
        <v>12:50:1:3,</v>
      </c>
    </row>
    <row r="385" spans="1:10">
      <c r="A385" s="4" t="str">
        <f t="shared" si="113"/>
        <v>1级蓝手镯暴击几率</v>
      </c>
      <c r="B385" s="4" t="s">
        <v>218</v>
      </c>
      <c r="C385" s="4" t="s">
        <v>118</v>
      </c>
      <c r="D385" s="4">
        <v>1</v>
      </c>
      <c r="E385" s="4" t="s">
        <v>21</v>
      </c>
      <c r="F385" s="4">
        <f>VLOOKUP(E385,基础属性ID!A:B,2,0)</f>
        <v>13</v>
      </c>
      <c r="G385" s="4">
        <f>VLOOKUP(E385,基础属性ID!$A:$E,5,0)</f>
        <v>20</v>
      </c>
      <c r="H385" s="4">
        <v>20</v>
      </c>
      <c r="I385" s="4">
        <v>50</v>
      </c>
      <c r="J385" s="4" t="str">
        <f t="shared" si="124"/>
        <v>13:20:20:50,</v>
      </c>
    </row>
    <row r="386" spans="1:10">
      <c r="A386" s="4" t="str">
        <f t="shared" si="113"/>
        <v>1级蓝手镯爆击伤害</v>
      </c>
      <c r="B386" s="4" t="s">
        <v>218</v>
      </c>
      <c r="C386" s="4" t="s">
        <v>118</v>
      </c>
      <c r="D386" s="4">
        <v>1</v>
      </c>
      <c r="E386" s="4" t="s">
        <v>76</v>
      </c>
      <c r="F386" s="4">
        <f>VLOOKUP(E386,基础属性ID!A:B,2,0)</f>
        <v>14</v>
      </c>
      <c r="G386" s="4">
        <f>VLOOKUP(E386,基础属性ID!$A:$E,5,0)</f>
        <v>20</v>
      </c>
      <c r="H386" s="4">
        <v>2</v>
      </c>
      <c r="I386" s="4">
        <v>5</v>
      </c>
      <c r="J386" s="4" t="str">
        <f t="shared" si="124"/>
        <v>14:20:2:5,</v>
      </c>
    </row>
    <row r="387" spans="1:10">
      <c r="A387" s="4" t="str">
        <f t="shared" ref="A387:A450" si="126">D387&amp;"级"&amp;C387&amp;B387&amp;E387</f>
        <v>1级蓝手镯装备掉率</v>
      </c>
      <c r="B387" s="4" t="s">
        <v>218</v>
      </c>
      <c r="C387" s="4" t="s">
        <v>118</v>
      </c>
      <c r="D387" s="4">
        <v>1</v>
      </c>
      <c r="E387" s="4" t="s">
        <v>30</v>
      </c>
      <c r="F387" s="4">
        <f>VLOOKUP(E387,基础属性ID!A:B,2,0)</f>
        <v>17</v>
      </c>
      <c r="G387" s="4">
        <f>VLOOKUP(E387,基础属性ID!$A:$E,5,0)</f>
        <v>60</v>
      </c>
      <c r="H387" s="4">
        <v>2</v>
      </c>
      <c r="I387" s="4">
        <v>6</v>
      </c>
      <c r="J387" s="4" t="str">
        <f t="shared" si="124"/>
        <v>17:60:2:6,</v>
      </c>
    </row>
    <row r="388" spans="1:10">
      <c r="A388" s="4" t="str">
        <f t="shared" si="126"/>
        <v>1级蓝手镯极品掉率</v>
      </c>
      <c r="B388" s="4" t="s">
        <v>218</v>
      </c>
      <c r="C388" s="4" t="s">
        <v>118</v>
      </c>
      <c r="D388" s="4">
        <v>1</v>
      </c>
      <c r="E388" s="4" t="s">
        <v>31</v>
      </c>
      <c r="F388" s="4">
        <f>VLOOKUP(E388,基础属性ID!A:B,2,0)</f>
        <v>18</v>
      </c>
      <c r="G388" s="4">
        <f>VLOOKUP(E388,基础属性ID!$A:$E,5,0)</f>
        <v>60</v>
      </c>
      <c r="H388" s="4">
        <v>2</v>
      </c>
      <c r="I388" s="4">
        <v>6</v>
      </c>
      <c r="J388" s="4" t="str">
        <f t="shared" si="124"/>
        <v>18:60:2:6,</v>
      </c>
    </row>
    <row r="389" spans="1:10">
      <c r="A389" s="4" t="str">
        <f t="shared" si="126"/>
        <v>1级蓝戒指生命值</v>
      </c>
      <c r="B389" s="4" t="s">
        <v>221</v>
      </c>
      <c r="C389" s="4" t="s">
        <v>118</v>
      </c>
      <c r="D389" s="4">
        <v>1</v>
      </c>
      <c r="E389" s="4" t="s">
        <v>74</v>
      </c>
      <c r="F389" s="4">
        <f>VLOOKUP(E389,基础属性ID!A:B,2,0)</f>
        <v>1</v>
      </c>
      <c r="G389" s="4">
        <f>VLOOKUP(E389,基础属性ID!$A:$E,5,0)</f>
        <v>100</v>
      </c>
      <c r="H389" s="4">
        <v>4</v>
      </c>
      <c r="I389" s="4">
        <f>H389*3</f>
        <v>12</v>
      </c>
      <c r="J389" s="4" t="str">
        <f t="shared" si="124"/>
        <v>1:100:4:12,</v>
      </c>
    </row>
    <row r="390" spans="1:10">
      <c r="A390" s="4" t="str">
        <f t="shared" si="126"/>
        <v>1级蓝戒指法力值</v>
      </c>
      <c r="B390" s="4" t="s">
        <v>221</v>
      </c>
      <c r="C390" s="4" t="s">
        <v>118</v>
      </c>
      <c r="D390" s="4">
        <v>1</v>
      </c>
      <c r="E390" s="4" t="s">
        <v>75</v>
      </c>
      <c r="F390" s="4">
        <f>VLOOKUP(E390,基础属性ID!A:B,2,0)</f>
        <v>2</v>
      </c>
      <c r="G390" s="4">
        <f>VLOOKUP(E390,基础属性ID!$A:$E,5,0)</f>
        <v>100</v>
      </c>
      <c r="H390" s="4">
        <v>4</v>
      </c>
      <c r="I390" s="4">
        <v>10</v>
      </c>
      <c r="J390" s="4" t="str">
        <f t="shared" si="124"/>
        <v>2:100:4:10,</v>
      </c>
    </row>
    <row r="391" spans="1:10">
      <c r="A391" s="4" t="str">
        <f t="shared" si="126"/>
        <v>1级蓝戒指物理攻击</v>
      </c>
      <c r="B391" s="4" t="s">
        <v>221</v>
      </c>
      <c r="C391" s="4" t="s">
        <v>118</v>
      </c>
      <c r="D391" s="4">
        <v>1</v>
      </c>
      <c r="E391" s="4" t="s">
        <v>13</v>
      </c>
      <c r="F391" s="4">
        <f>VLOOKUP(E391,基础属性ID!A:B,2,0)</f>
        <v>3</v>
      </c>
      <c r="G391" s="4">
        <f>VLOOKUP(E391,基础属性ID!$A:$E,5,0)</f>
        <v>100</v>
      </c>
      <c r="H391" s="4">
        <v>2</v>
      </c>
      <c r="I391" s="4">
        <f t="shared" ref="I391:I396" si="127">H391*3</f>
        <v>6</v>
      </c>
      <c r="J391" s="4" t="str">
        <f t="shared" si="124"/>
        <v>3:100:2:6,</v>
      </c>
    </row>
    <row r="392" spans="1:10">
      <c r="A392" s="4" t="str">
        <f t="shared" si="126"/>
        <v>1级蓝戒指魔法攻击</v>
      </c>
      <c r="B392" s="4" t="s">
        <v>221</v>
      </c>
      <c r="C392" s="4" t="s">
        <v>118</v>
      </c>
      <c r="D392" s="4">
        <v>1</v>
      </c>
      <c r="E392" s="4" t="s">
        <v>14</v>
      </c>
      <c r="F392" s="4">
        <f>VLOOKUP(E392,基础属性ID!A:B,2,0)</f>
        <v>4</v>
      </c>
      <c r="G392" s="4">
        <f>VLOOKUP(E392,基础属性ID!$A:$E,5,0)</f>
        <v>100</v>
      </c>
      <c r="H392" s="4">
        <v>2</v>
      </c>
      <c r="I392" s="4">
        <f t="shared" si="127"/>
        <v>6</v>
      </c>
      <c r="J392" s="4" t="str">
        <f t="shared" si="124"/>
        <v>4:100:2:6,</v>
      </c>
    </row>
    <row r="393" spans="1:10">
      <c r="A393" s="4" t="str">
        <f t="shared" si="126"/>
        <v>1级蓝戒指道术攻击</v>
      </c>
      <c r="B393" s="4" t="s">
        <v>221</v>
      </c>
      <c r="C393" s="4" t="s">
        <v>118</v>
      </c>
      <c r="D393" s="4">
        <v>1</v>
      </c>
      <c r="E393" s="4" t="s">
        <v>15</v>
      </c>
      <c r="F393" s="4">
        <f>VLOOKUP(E393,基础属性ID!A:B,2,0)</f>
        <v>5</v>
      </c>
      <c r="G393" s="4">
        <f>VLOOKUP(E393,基础属性ID!$A:$E,5,0)</f>
        <v>100</v>
      </c>
      <c r="H393" s="4">
        <v>2</v>
      </c>
      <c r="I393" s="4">
        <f t="shared" si="127"/>
        <v>6</v>
      </c>
      <c r="J393" s="4" t="str">
        <f t="shared" si="124"/>
        <v>5:100:2:6,</v>
      </c>
    </row>
    <row r="394" spans="1:10">
      <c r="A394" s="4" t="str">
        <f t="shared" si="126"/>
        <v>1级蓝戒指防御</v>
      </c>
      <c r="B394" s="4" t="s">
        <v>221</v>
      </c>
      <c r="C394" s="4" t="s">
        <v>118</v>
      </c>
      <c r="D394" s="4">
        <v>1</v>
      </c>
      <c r="E394" s="4" t="s">
        <v>17</v>
      </c>
      <c r="F394" s="4">
        <f>VLOOKUP(E394,基础属性ID!A:B,2,0)</f>
        <v>6</v>
      </c>
      <c r="G394" s="4">
        <f>VLOOKUP(E394,基础属性ID!$A:$E,5,0)</f>
        <v>100</v>
      </c>
      <c r="H394" s="4">
        <v>2</v>
      </c>
      <c r="I394" s="4">
        <f t="shared" si="127"/>
        <v>6</v>
      </c>
      <c r="J394" s="4" t="str">
        <f t="shared" si="124"/>
        <v>6:100:2:6,</v>
      </c>
    </row>
    <row r="395" spans="1:10">
      <c r="A395" s="4" t="str">
        <f t="shared" si="126"/>
        <v>1级蓝戒指固定伤害</v>
      </c>
      <c r="B395" s="4" t="s">
        <v>221</v>
      </c>
      <c r="C395" s="4" t="s">
        <v>118</v>
      </c>
      <c r="D395" s="4">
        <v>1</v>
      </c>
      <c r="E395" s="4" t="s">
        <v>24</v>
      </c>
      <c r="F395" s="4">
        <f>VLOOKUP(E395,基础属性ID!A:B,2,0)</f>
        <v>9</v>
      </c>
      <c r="G395" s="4">
        <f>VLOOKUP(E395,基础属性ID!$A:$E,5,0)</f>
        <v>50</v>
      </c>
      <c r="H395" s="4">
        <v>2</v>
      </c>
      <c r="I395" s="4">
        <f t="shared" si="127"/>
        <v>6</v>
      </c>
      <c r="J395" s="4" t="str">
        <f t="shared" si="124"/>
        <v>9:50:2:6,</v>
      </c>
    </row>
    <row r="396" spans="1:10">
      <c r="A396" s="4" t="str">
        <f t="shared" si="126"/>
        <v>1级蓝戒指固定减伤</v>
      </c>
      <c r="B396" s="4" t="s">
        <v>221</v>
      </c>
      <c r="C396" s="4" t="s">
        <v>118</v>
      </c>
      <c r="D396" s="4">
        <v>1</v>
      </c>
      <c r="E396" s="4" t="s">
        <v>25</v>
      </c>
      <c r="F396" s="4">
        <f>VLOOKUP(E396,基础属性ID!A:B,2,0)</f>
        <v>10</v>
      </c>
      <c r="G396" s="4">
        <f>VLOOKUP(E396,基础属性ID!$A:$E,5,0)</f>
        <v>50</v>
      </c>
      <c r="H396" s="4">
        <v>2</v>
      </c>
      <c r="I396" s="4">
        <f t="shared" si="127"/>
        <v>6</v>
      </c>
      <c r="J396" s="4" t="str">
        <f t="shared" si="124"/>
        <v>10:50:2:6,</v>
      </c>
    </row>
    <row r="397" spans="1:10">
      <c r="A397" s="4" t="str">
        <f t="shared" si="126"/>
        <v>1级蓝戒指生命吸取</v>
      </c>
      <c r="B397" s="4" t="s">
        <v>221</v>
      </c>
      <c r="C397" s="4" t="s">
        <v>118</v>
      </c>
      <c r="D397" s="4">
        <v>1</v>
      </c>
      <c r="E397" s="4" t="s">
        <v>28</v>
      </c>
      <c r="F397" s="4">
        <f>VLOOKUP(E397,基础属性ID!A:B,2,0)</f>
        <v>11</v>
      </c>
      <c r="G397" s="4">
        <f>VLOOKUP(E397,基础属性ID!$A:$E,5,0)</f>
        <v>50</v>
      </c>
      <c r="H397" s="4">
        <v>1</v>
      </c>
      <c r="I397" s="4">
        <f t="shared" ref="I397:I398" si="128">H397*3</f>
        <v>3</v>
      </c>
      <c r="J397" s="4" t="str">
        <f t="shared" si="124"/>
        <v>11:50:1:3,</v>
      </c>
    </row>
    <row r="398" spans="1:10">
      <c r="A398" s="4" t="str">
        <f t="shared" si="126"/>
        <v>1级蓝戒指法力吸取</v>
      </c>
      <c r="B398" s="4" t="s">
        <v>221</v>
      </c>
      <c r="C398" s="4" t="s">
        <v>118</v>
      </c>
      <c r="D398" s="4">
        <v>1</v>
      </c>
      <c r="E398" s="4" t="s">
        <v>29</v>
      </c>
      <c r="F398" s="4">
        <f>VLOOKUP(E398,基础属性ID!A:B,2,0)</f>
        <v>12</v>
      </c>
      <c r="G398" s="4">
        <f>VLOOKUP(E398,基础属性ID!$A:$E,5,0)</f>
        <v>50</v>
      </c>
      <c r="H398" s="4">
        <v>1</v>
      </c>
      <c r="I398" s="4">
        <f t="shared" si="128"/>
        <v>3</v>
      </c>
      <c r="J398" s="4" t="str">
        <f t="shared" si="124"/>
        <v>12:50:1:3,</v>
      </c>
    </row>
    <row r="399" spans="1:10">
      <c r="A399" s="4" t="str">
        <f t="shared" si="126"/>
        <v>1级蓝戒指暴击几率</v>
      </c>
      <c r="B399" s="4" t="s">
        <v>221</v>
      </c>
      <c r="C399" s="4" t="s">
        <v>118</v>
      </c>
      <c r="D399" s="4">
        <v>1</v>
      </c>
      <c r="E399" s="4" t="s">
        <v>21</v>
      </c>
      <c r="F399" s="4">
        <f>VLOOKUP(E399,基础属性ID!A:B,2,0)</f>
        <v>13</v>
      </c>
      <c r="G399" s="4">
        <f>VLOOKUP(E399,基础属性ID!$A:$E,5,0)</f>
        <v>20</v>
      </c>
      <c r="H399" s="4">
        <v>20</v>
      </c>
      <c r="I399" s="4">
        <v>50</v>
      </c>
      <c r="J399" s="4" t="str">
        <f t="shared" si="124"/>
        <v>13:20:20:50,</v>
      </c>
    </row>
    <row r="400" spans="1:10">
      <c r="A400" s="4" t="str">
        <f t="shared" si="126"/>
        <v>1级蓝戒指爆击伤害</v>
      </c>
      <c r="B400" s="4" t="s">
        <v>221</v>
      </c>
      <c r="C400" s="4" t="s">
        <v>118</v>
      </c>
      <c r="D400" s="4">
        <v>1</v>
      </c>
      <c r="E400" s="4" t="s">
        <v>76</v>
      </c>
      <c r="F400" s="4">
        <f>VLOOKUP(E400,基础属性ID!A:B,2,0)</f>
        <v>14</v>
      </c>
      <c r="G400" s="4">
        <f>VLOOKUP(E400,基础属性ID!$A:$E,5,0)</f>
        <v>20</v>
      </c>
      <c r="H400" s="4">
        <v>2</v>
      </c>
      <c r="I400" s="4">
        <v>5</v>
      </c>
      <c r="J400" s="4" t="str">
        <f t="shared" si="124"/>
        <v>14:20:2:5,</v>
      </c>
    </row>
    <row r="401" spans="1:10">
      <c r="A401" s="4" t="str">
        <f t="shared" si="126"/>
        <v>1级蓝戒指装备掉率</v>
      </c>
      <c r="B401" s="4" t="s">
        <v>221</v>
      </c>
      <c r="C401" s="4" t="s">
        <v>118</v>
      </c>
      <c r="D401" s="4">
        <v>1</v>
      </c>
      <c r="E401" s="4" t="s">
        <v>30</v>
      </c>
      <c r="F401" s="4">
        <f>VLOOKUP(E401,基础属性ID!A:B,2,0)</f>
        <v>17</v>
      </c>
      <c r="G401" s="4">
        <f>VLOOKUP(E401,基础属性ID!$A:$E,5,0)</f>
        <v>60</v>
      </c>
      <c r="H401" s="4">
        <v>2</v>
      </c>
      <c r="I401" s="4">
        <v>6</v>
      </c>
      <c r="J401" s="4" t="str">
        <f t="shared" si="124"/>
        <v>17:60:2:6,</v>
      </c>
    </row>
    <row r="402" spans="1:10">
      <c r="A402" s="4" t="str">
        <f t="shared" si="126"/>
        <v>1级蓝戒指极品掉率</v>
      </c>
      <c r="B402" s="4" t="s">
        <v>221</v>
      </c>
      <c r="C402" s="4" t="s">
        <v>118</v>
      </c>
      <c r="D402" s="4">
        <v>1</v>
      </c>
      <c r="E402" s="4" t="s">
        <v>31</v>
      </c>
      <c r="F402" s="4">
        <f>VLOOKUP(E402,基础属性ID!A:B,2,0)</f>
        <v>18</v>
      </c>
      <c r="G402" s="4">
        <f>VLOOKUP(E402,基础属性ID!$A:$E,5,0)</f>
        <v>60</v>
      </c>
      <c r="H402" s="4">
        <v>2</v>
      </c>
      <c r="I402" s="4">
        <v>6</v>
      </c>
      <c r="J402" s="4" t="str">
        <f t="shared" si="124"/>
        <v>18:60:2:6,</v>
      </c>
    </row>
    <row r="403" spans="1:10">
      <c r="A403" s="4" t="str">
        <f t="shared" si="126"/>
        <v>21级蓝武器生命值</v>
      </c>
      <c r="B403" s="4" t="s">
        <v>198</v>
      </c>
      <c r="C403" s="4" t="s">
        <v>118</v>
      </c>
      <c r="D403" s="4">
        <v>21</v>
      </c>
      <c r="E403" s="4" t="s">
        <v>74</v>
      </c>
      <c r="F403" s="4">
        <f>VLOOKUP(E403,基础属性ID!A:B,2,0)</f>
        <v>1</v>
      </c>
      <c r="G403" s="4">
        <f>VLOOKUP(E403,基础属性ID!$A:$E,5,0)</f>
        <v>100</v>
      </c>
      <c r="H403" s="4">
        <v>8</v>
      </c>
      <c r="I403" s="4">
        <f>H403*3</f>
        <v>24</v>
      </c>
      <c r="J403" s="4" t="str">
        <f t="shared" si="124"/>
        <v>1:100:8:24,</v>
      </c>
    </row>
    <row r="404" spans="1:10">
      <c r="A404" s="4" t="str">
        <f t="shared" si="126"/>
        <v>21级蓝武器法力值</v>
      </c>
      <c r="B404" s="4" t="s">
        <v>198</v>
      </c>
      <c r="C404" s="4" t="s">
        <v>118</v>
      </c>
      <c r="D404" s="4">
        <v>21</v>
      </c>
      <c r="E404" s="4" t="s">
        <v>75</v>
      </c>
      <c r="F404" s="4">
        <f>VLOOKUP(E404,基础属性ID!A:B,2,0)</f>
        <v>2</v>
      </c>
      <c r="G404" s="4">
        <f>VLOOKUP(E404,基础属性ID!$A:$E,5,0)</f>
        <v>100</v>
      </c>
      <c r="H404" s="4">
        <v>6</v>
      </c>
      <c r="I404" s="4">
        <v>12</v>
      </c>
      <c r="J404" s="4" t="str">
        <f t="shared" si="124"/>
        <v>2:100:6:12,</v>
      </c>
    </row>
    <row r="405" spans="1:10">
      <c r="A405" s="4" t="str">
        <f t="shared" si="126"/>
        <v>21级蓝武器物理攻击</v>
      </c>
      <c r="B405" s="4" t="s">
        <v>198</v>
      </c>
      <c r="C405" s="4" t="s">
        <v>118</v>
      </c>
      <c r="D405" s="4">
        <v>21</v>
      </c>
      <c r="E405" s="4" t="s">
        <v>13</v>
      </c>
      <c r="F405" s="4">
        <f>VLOOKUP(E405,基础属性ID!A:B,2,0)</f>
        <v>3</v>
      </c>
      <c r="G405" s="4">
        <f>VLOOKUP(E405,基础属性ID!$A:$E,5,0)</f>
        <v>100</v>
      </c>
      <c r="H405" s="4">
        <v>3</v>
      </c>
      <c r="I405" s="4">
        <f t="shared" ref="I405:I408" si="129">H405*3</f>
        <v>9</v>
      </c>
      <c r="J405" s="4" t="str">
        <f t="shared" si="124"/>
        <v>3:100:3:9,</v>
      </c>
    </row>
    <row r="406" spans="1:10">
      <c r="A406" s="4" t="str">
        <f t="shared" si="126"/>
        <v>21级蓝武器魔法攻击</v>
      </c>
      <c r="B406" s="4" t="s">
        <v>198</v>
      </c>
      <c r="C406" s="4" t="s">
        <v>118</v>
      </c>
      <c r="D406" s="4">
        <v>21</v>
      </c>
      <c r="E406" s="4" t="s">
        <v>14</v>
      </c>
      <c r="F406" s="4">
        <f>VLOOKUP(E406,基础属性ID!A:B,2,0)</f>
        <v>4</v>
      </c>
      <c r="G406" s="4">
        <f>VLOOKUP(E406,基础属性ID!$A:$E,5,0)</f>
        <v>100</v>
      </c>
      <c r="H406" s="4">
        <v>3</v>
      </c>
      <c r="I406" s="4">
        <f t="shared" si="129"/>
        <v>9</v>
      </c>
      <c r="J406" s="4" t="str">
        <f t="shared" si="124"/>
        <v>4:100:3:9,</v>
      </c>
    </row>
    <row r="407" spans="1:10">
      <c r="A407" s="4" t="str">
        <f t="shared" si="126"/>
        <v>21级蓝武器道术攻击</v>
      </c>
      <c r="B407" s="4" t="s">
        <v>198</v>
      </c>
      <c r="C407" s="4" t="s">
        <v>118</v>
      </c>
      <c r="D407" s="4">
        <v>21</v>
      </c>
      <c r="E407" s="4" t="s">
        <v>15</v>
      </c>
      <c r="F407" s="4">
        <f>VLOOKUP(E407,基础属性ID!A:B,2,0)</f>
        <v>5</v>
      </c>
      <c r="G407" s="4">
        <f>VLOOKUP(E407,基础属性ID!$A:$E,5,0)</f>
        <v>100</v>
      </c>
      <c r="H407" s="4">
        <v>3</v>
      </c>
      <c r="I407" s="4">
        <f t="shared" si="129"/>
        <v>9</v>
      </c>
      <c r="J407" s="4" t="str">
        <f t="shared" si="124"/>
        <v>5:100:3:9,</v>
      </c>
    </row>
    <row r="408" spans="1:10">
      <c r="A408" s="4" t="str">
        <f t="shared" si="126"/>
        <v>21级蓝武器防御</v>
      </c>
      <c r="B408" s="4" t="s">
        <v>198</v>
      </c>
      <c r="C408" s="4" t="s">
        <v>118</v>
      </c>
      <c r="D408" s="4">
        <v>21</v>
      </c>
      <c r="E408" s="4" t="s">
        <v>17</v>
      </c>
      <c r="F408" s="4">
        <f>VLOOKUP(E408,基础属性ID!A:B,2,0)</f>
        <v>6</v>
      </c>
      <c r="G408" s="4">
        <f>VLOOKUP(E408,基础属性ID!$A:$E,5,0)</f>
        <v>100</v>
      </c>
      <c r="H408" s="4">
        <v>3</v>
      </c>
      <c r="I408" s="4">
        <f t="shared" si="129"/>
        <v>9</v>
      </c>
      <c r="J408" s="4" t="str">
        <f t="shared" si="124"/>
        <v>6:100:3:9,</v>
      </c>
    </row>
    <row r="409" spans="1:10">
      <c r="A409" s="4" t="str">
        <f t="shared" si="126"/>
        <v>21级蓝武器攻速</v>
      </c>
      <c r="B409" s="4" t="s">
        <v>198</v>
      </c>
      <c r="C409" s="4" t="s">
        <v>118</v>
      </c>
      <c r="D409" s="4">
        <v>21</v>
      </c>
      <c r="E409" s="4" t="s">
        <v>18</v>
      </c>
      <c r="F409" s="4">
        <f>VLOOKUP(E409,基础属性ID!A:B,2,0)</f>
        <v>7</v>
      </c>
      <c r="G409" s="4">
        <f>VLOOKUP(E409,基础属性ID!$A:$E,5,0)</f>
        <v>20</v>
      </c>
      <c r="H409" s="4">
        <v>1</v>
      </c>
      <c r="I409" s="4">
        <v>1</v>
      </c>
      <c r="J409" s="4" t="str">
        <f t="shared" si="124"/>
        <v>7:20:1:1,</v>
      </c>
    </row>
    <row r="410" spans="1:10">
      <c r="A410" s="4" t="str">
        <f t="shared" si="126"/>
        <v>21级蓝武器幸运</v>
      </c>
      <c r="B410" s="4" t="s">
        <v>198</v>
      </c>
      <c r="C410" s="4" t="s">
        <v>118</v>
      </c>
      <c r="D410" s="4">
        <v>21</v>
      </c>
      <c r="E410" s="4" t="s">
        <v>19</v>
      </c>
      <c r="F410" s="4">
        <f>VLOOKUP(E410,基础属性ID!A:B,2,0)</f>
        <v>8</v>
      </c>
      <c r="G410" s="4">
        <f>VLOOKUP(E410,基础属性ID!$A:$E,5,0)</f>
        <v>20</v>
      </c>
      <c r="H410" s="4">
        <v>1</v>
      </c>
      <c r="I410" s="4">
        <v>2</v>
      </c>
      <c r="J410" s="4" t="str">
        <f t="shared" si="124"/>
        <v>8:20:1:2,</v>
      </c>
    </row>
    <row r="411" spans="1:10">
      <c r="A411" s="4" t="str">
        <f t="shared" si="126"/>
        <v>21级蓝武器固定伤害</v>
      </c>
      <c r="B411" s="4" t="s">
        <v>198</v>
      </c>
      <c r="C411" s="4" t="s">
        <v>118</v>
      </c>
      <c r="D411" s="4">
        <v>21</v>
      </c>
      <c r="E411" s="4" t="s">
        <v>24</v>
      </c>
      <c r="F411" s="4">
        <f>VLOOKUP(E411,基础属性ID!A:B,2,0)</f>
        <v>9</v>
      </c>
      <c r="G411" s="4">
        <f>VLOOKUP(E411,基础属性ID!$A:$E,5,0)</f>
        <v>50</v>
      </c>
      <c r="H411" s="4">
        <v>3</v>
      </c>
      <c r="I411" s="4">
        <f t="shared" ref="I411:I412" si="130">H411*3</f>
        <v>9</v>
      </c>
      <c r="J411" s="4" t="str">
        <f t="shared" si="124"/>
        <v>9:50:3:9,</v>
      </c>
    </row>
    <row r="412" spans="1:10">
      <c r="A412" s="4" t="str">
        <f t="shared" si="126"/>
        <v>21级蓝武器固定减伤</v>
      </c>
      <c r="B412" s="4" t="s">
        <v>198</v>
      </c>
      <c r="C412" s="4" t="s">
        <v>118</v>
      </c>
      <c r="D412" s="4">
        <v>21</v>
      </c>
      <c r="E412" s="4" t="s">
        <v>25</v>
      </c>
      <c r="F412" s="4">
        <f>VLOOKUP(E412,基础属性ID!A:B,2,0)</f>
        <v>10</v>
      </c>
      <c r="G412" s="4">
        <f>VLOOKUP(E412,基础属性ID!$A:$E,5,0)</f>
        <v>50</v>
      </c>
      <c r="H412" s="4">
        <v>3</v>
      </c>
      <c r="I412" s="4">
        <f t="shared" si="130"/>
        <v>9</v>
      </c>
      <c r="J412" s="4" t="str">
        <f t="shared" si="124"/>
        <v>10:50:3:9,</v>
      </c>
    </row>
    <row r="413" spans="1:10">
      <c r="A413" s="4" t="str">
        <f t="shared" si="126"/>
        <v>21级蓝武器生命吸取</v>
      </c>
      <c r="B413" s="4" t="s">
        <v>198</v>
      </c>
      <c r="C413" s="4" t="s">
        <v>118</v>
      </c>
      <c r="D413" s="4">
        <v>21</v>
      </c>
      <c r="E413" s="4" t="s">
        <v>28</v>
      </c>
      <c r="F413" s="4">
        <f>VLOOKUP(E413,基础属性ID!A:B,2,0)</f>
        <v>11</v>
      </c>
      <c r="G413" s="4">
        <f>VLOOKUP(E413,基础属性ID!$A:$E,5,0)</f>
        <v>50</v>
      </c>
      <c r="H413" s="4">
        <v>1</v>
      </c>
      <c r="I413" s="4">
        <f t="shared" ref="I413:I414" si="131">H413*3</f>
        <v>3</v>
      </c>
      <c r="J413" s="4" t="str">
        <f t="shared" si="124"/>
        <v>11:50:1:3,</v>
      </c>
    </row>
    <row r="414" spans="1:10">
      <c r="A414" s="4" t="str">
        <f t="shared" si="126"/>
        <v>21级蓝武器法力吸取</v>
      </c>
      <c r="B414" s="4" t="s">
        <v>198</v>
      </c>
      <c r="C414" s="4" t="s">
        <v>118</v>
      </c>
      <c r="D414" s="4">
        <v>21</v>
      </c>
      <c r="E414" s="4" t="s">
        <v>29</v>
      </c>
      <c r="F414" s="4">
        <f>VLOOKUP(E414,基础属性ID!A:B,2,0)</f>
        <v>12</v>
      </c>
      <c r="G414" s="4">
        <f>VLOOKUP(E414,基础属性ID!$A:$E,5,0)</f>
        <v>50</v>
      </c>
      <c r="H414" s="4">
        <v>1</v>
      </c>
      <c r="I414" s="4">
        <f t="shared" si="131"/>
        <v>3</v>
      </c>
      <c r="J414" s="4" t="str">
        <f t="shared" si="124"/>
        <v>12:50:1:3,</v>
      </c>
    </row>
    <row r="415" spans="1:10">
      <c r="A415" s="4" t="str">
        <f t="shared" si="126"/>
        <v>21级蓝武器暴击几率</v>
      </c>
      <c r="B415" s="4" t="s">
        <v>198</v>
      </c>
      <c r="C415" s="4" t="s">
        <v>118</v>
      </c>
      <c r="D415" s="4">
        <v>21</v>
      </c>
      <c r="E415" s="4" t="s">
        <v>21</v>
      </c>
      <c r="F415" s="4">
        <f>VLOOKUP(E415,基础属性ID!A:B,2,0)</f>
        <v>13</v>
      </c>
      <c r="G415" s="4">
        <f>VLOOKUP(E415,基础属性ID!$A:$E,5,0)</f>
        <v>20</v>
      </c>
      <c r="H415" s="4">
        <v>20</v>
      </c>
      <c r="I415" s="4">
        <v>50</v>
      </c>
      <c r="J415" s="4" t="str">
        <f t="shared" si="124"/>
        <v>13:20:20:50,</v>
      </c>
    </row>
    <row r="416" spans="1:10">
      <c r="A416" s="4" t="str">
        <f t="shared" si="126"/>
        <v>21级蓝武器爆击伤害</v>
      </c>
      <c r="B416" s="4" t="s">
        <v>198</v>
      </c>
      <c r="C416" s="4" t="s">
        <v>118</v>
      </c>
      <c r="D416" s="4">
        <v>21</v>
      </c>
      <c r="E416" s="4" t="s">
        <v>76</v>
      </c>
      <c r="F416" s="4">
        <f>VLOOKUP(E416,基础属性ID!A:B,2,0)</f>
        <v>14</v>
      </c>
      <c r="G416" s="4">
        <f>VLOOKUP(E416,基础属性ID!$A:$E,5,0)</f>
        <v>20</v>
      </c>
      <c r="H416" s="4">
        <v>2</v>
      </c>
      <c r="I416" s="4">
        <v>5</v>
      </c>
      <c r="J416" s="4" t="str">
        <f t="shared" si="124"/>
        <v>14:20:2:5,</v>
      </c>
    </row>
    <row r="417" spans="1:10">
      <c r="A417" s="4" t="str">
        <f t="shared" si="126"/>
        <v>21级蓝武器伤害增加</v>
      </c>
      <c r="B417" s="4" t="s">
        <v>198</v>
      </c>
      <c r="C417" s="4" t="s">
        <v>118</v>
      </c>
      <c r="D417" s="4">
        <v>21</v>
      </c>
      <c r="E417" s="4" t="s">
        <v>26</v>
      </c>
      <c r="F417" s="4">
        <f>VLOOKUP(E417,基础属性ID!A:B,2,0)</f>
        <v>15</v>
      </c>
      <c r="G417" s="4">
        <f>VLOOKUP(E417,基础属性ID!$A:$E,5,0)</f>
        <v>10</v>
      </c>
      <c r="H417" s="4">
        <v>80</v>
      </c>
      <c r="I417" s="4">
        <v>150</v>
      </c>
      <c r="J417" s="4" t="str">
        <f t="shared" si="124"/>
        <v>15:10:80:150,</v>
      </c>
    </row>
    <row r="418" spans="1:10">
      <c r="A418" s="4" t="str">
        <f t="shared" si="126"/>
        <v>21级蓝武器伤害减免</v>
      </c>
      <c r="B418" s="4" t="s">
        <v>198</v>
      </c>
      <c r="C418" s="4" t="s">
        <v>118</v>
      </c>
      <c r="D418" s="4">
        <v>21</v>
      </c>
      <c r="E418" s="4" t="s">
        <v>27</v>
      </c>
      <c r="F418" s="4">
        <f>VLOOKUP(E418,基础属性ID!A:B,2,0)</f>
        <v>16</v>
      </c>
      <c r="G418" s="4">
        <f>VLOOKUP(E418,基础属性ID!$A:$E,5,0)</f>
        <v>10</v>
      </c>
      <c r="H418" s="4">
        <v>80</v>
      </c>
      <c r="I418" s="4">
        <v>150</v>
      </c>
      <c r="J418" s="4" t="str">
        <f t="shared" si="124"/>
        <v>16:10:80:150,</v>
      </c>
    </row>
    <row r="419" spans="1:10">
      <c r="A419" s="4" t="str">
        <f t="shared" si="126"/>
        <v>21级蓝武器装备掉率</v>
      </c>
      <c r="B419" s="4" t="s">
        <v>198</v>
      </c>
      <c r="C419" s="4" t="s">
        <v>118</v>
      </c>
      <c r="D419" s="4">
        <v>21</v>
      </c>
      <c r="E419" s="4" t="s">
        <v>30</v>
      </c>
      <c r="F419" s="4">
        <f>VLOOKUP(E419,基础属性ID!A:B,2,0)</f>
        <v>17</v>
      </c>
      <c r="G419" s="4">
        <f>VLOOKUP(E419,基础属性ID!$A:$E,5,0)</f>
        <v>60</v>
      </c>
      <c r="H419" s="4">
        <v>2</v>
      </c>
      <c r="I419" s="4">
        <v>6</v>
      </c>
      <c r="J419" s="4" t="str">
        <f t="shared" si="124"/>
        <v>17:60:2:6,</v>
      </c>
    </row>
    <row r="420" spans="1:10">
      <c r="A420" s="4" t="str">
        <f t="shared" si="126"/>
        <v>21级蓝武器极品掉率</v>
      </c>
      <c r="B420" s="4" t="s">
        <v>198</v>
      </c>
      <c r="C420" s="4" t="s">
        <v>118</v>
      </c>
      <c r="D420" s="4">
        <v>21</v>
      </c>
      <c r="E420" s="4" t="s">
        <v>31</v>
      </c>
      <c r="F420" s="4">
        <f>VLOOKUP(E420,基础属性ID!A:B,2,0)</f>
        <v>18</v>
      </c>
      <c r="G420" s="4">
        <f>VLOOKUP(E420,基础属性ID!$A:$E,5,0)</f>
        <v>60</v>
      </c>
      <c r="H420" s="4">
        <v>2</v>
      </c>
      <c r="I420" s="4">
        <v>6</v>
      </c>
      <c r="J420" s="4" t="str">
        <f t="shared" si="124"/>
        <v>18:60:2:6,</v>
      </c>
    </row>
    <row r="421" spans="1:10">
      <c r="A421" s="4" t="str">
        <f t="shared" si="126"/>
        <v>41级蓝武器生命值</v>
      </c>
      <c r="B421" s="4" t="s">
        <v>198</v>
      </c>
      <c r="C421" s="4" t="s">
        <v>118</v>
      </c>
      <c r="D421" s="4">
        <v>41</v>
      </c>
      <c r="E421" s="4" t="s">
        <v>74</v>
      </c>
      <c r="F421" s="4">
        <f>VLOOKUP(E421,基础属性ID!A:B,2,0)</f>
        <v>1</v>
      </c>
      <c r="G421" s="4">
        <f>VLOOKUP(E421,基础属性ID!$A:$E,5,0)</f>
        <v>100</v>
      </c>
      <c r="H421" s="4">
        <v>15</v>
      </c>
      <c r="I421" s="4">
        <f>H421*3</f>
        <v>45</v>
      </c>
      <c r="J421" s="4" t="str">
        <f t="shared" si="124"/>
        <v>1:100:15:45,</v>
      </c>
    </row>
    <row r="422" spans="1:10">
      <c r="A422" s="4" t="str">
        <f t="shared" si="126"/>
        <v>41级蓝武器法力值</v>
      </c>
      <c r="B422" s="4" t="s">
        <v>198</v>
      </c>
      <c r="C422" s="4" t="s">
        <v>118</v>
      </c>
      <c r="D422" s="4">
        <v>41</v>
      </c>
      <c r="E422" s="4" t="s">
        <v>75</v>
      </c>
      <c r="F422" s="4">
        <f>VLOOKUP(E422,基础属性ID!A:B,2,0)</f>
        <v>2</v>
      </c>
      <c r="G422" s="4">
        <f>VLOOKUP(E422,基础属性ID!$A:$E,5,0)</f>
        <v>100</v>
      </c>
      <c r="H422" s="4">
        <v>8</v>
      </c>
      <c r="I422" s="4">
        <v>15</v>
      </c>
      <c r="J422" s="4" t="str">
        <f t="shared" si="124"/>
        <v>2:100:8:15,</v>
      </c>
    </row>
    <row r="423" spans="1:10">
      <c r="A423" s="4" t="str">
        <f t="shared" si="126"/>
        <v>41级蓝武器物理攻击</v>
      </c>
      <c r="B423" s="4" t="s">
        <v>198</v>
      </c>
      <c r="C423" s="4" t="s">
        <v>118</v>
      </c>
      <c r="D423" s="4">
        <v>41</v>
      </c>
      <c r="E423" s="4" t="s">
        <v>13</v>
      </c>
      <c r="F423" s="4">
        <f>VLOOKUP(E423,基础属性ID!A:B,2,0)</f>
        <v>3</v>
      </c>
      <c r="G423" s="4">
        <f>VLOOKUP(E423,基础属性ID!$A:$E,5,0)</f>
        <v>100</v>
      </c>
      <c r="H423" s="4">
        <v>4</v>
      </c>
      <c r="I423" s="4">
        <f t="shared" ref="I423:I426" si="132">H423*3</f>
        <v>12</v>
      </c>
      <c r="J423" s="4" t="str">
        <f t="shared" si="124"/>
        <v>3:100:4:12,</v>
      </c>
    </row>
    <row r="424" spans="1:10">
      <c r="A424" s="4" t="str">
        <f t="shared" si="126"/>
        <v>41级蓝武器魔法攻击</v>
      </c>
      <c r="B424" s="4" t="s">
        <v>198</v>
      </c>
      <c r="C424" s="4" t="s">
        <v>118</v>
      </c>
      <c r="D424" s="4">
        <v>41</v>
      </c>
      <c r="E424" s="4" t="s">
        <v>14</v>
      </c>
      <c r="F424" s="4">
        <f>VLOOKUP(E424,基础属性ID!A:B,2,0)</f>
        <v>4</v>
      </c>
      <c r="G424" s="4">
        <f>VLOOKUP(E424,基础属性ID!$A:$E,5,0)</f>
        <v>100</v>
      </c>
      <c r="H424" s="4">
        <v>4</v>
      </c>
      <c r="I424" s="4">
        <f t="shared" si="132"/>
        <v>12</v>
      </c>
      <c r="J424" s="4" t="str">
        <f t="shared" si="124"/>
        <v>4:100:4:12,</v>
      </c>
    </row>
    <row r="425" spans="1:10">
      <c r="A425" s="4" t="str">
        <f t="shared" si="126"/>
        <v>41级蓝武器道术攻击</v>
      </c>
      <c r="B425" s="4" t="s">
        <v>198</v>
      </c>
      <c r="C425" s="4" t="s">
        <v>118</v>
      </c>
      <c r="D425" s="4">
        <v>41</v>
      </c>
      <c r="E425" s="4" t="s">
        <v>15</v>
      </c>
      <c r="F425" s="4">
        <f>VLOOKUP(E425,基础属性ID!A:B,2,0)</f>
        <v>5</v>
      </c>
      <c r="G425" s="4">
        <f>VLOOKUP(E425,基础属性ID!$A:$E,5,0)</f>
        <v>100</v>
      </c>
      <c r="H425" s="4">
        <v>4</v>
      </c>
      <c r="I425" s="4">
        <f t="shared" si="132"/>
        <v>12</v>
      </c>
      <c r="J425" s="4" t="str">
        <f t="shared" si="124"/>
        <v>5:100:4:12,</v>
      </c>
    </row>
    <row r="426" spans="1:10">
      <c r="A426" s="4" t="str">
        <f t="shared" si="126"/>
        <v>41级蓝武器防御</v>
      </c>
      <c r="B426" s="4" t="s">
        <v>198</v>
      </c>
      <c r="C426" s="4" t="s">
        <v>118</v>
      </c>
      <c r="D426" s="4">
        <v>41</v>
      </c>
      <c r="E426" s="4" t="s">
        <v>17</v>
      </c>
      <c r="F426" s="4">
        <f>VLOOKUP(E426,基础属性ID!A:B,2,0)</f>
        <v>6</v>
      </c>
      <c r="G426" s="4">
        <f>VLOOKUP(E426,基础属性ID!$A:$E,5,0)</f>
        <v>100</v>
      </c>
      <c r="H426" s="4">
        <v>4</v>
      </c>
      <c r="I426" s="4">
        <f t="shared" si="132"/>
        <v>12</v>
      </c>
      <c r="J426" s="4" t="str">
        <f t="shared" si="124"/>
        <v>6:100:4:12,</v>
      </c>
    </row>
    <row r="427" spans="1:10">
      <c r="A427" s="4" t="str">
        <f t="shared" si="126"/>
        <v>41级蓝武器攻速</v>
      </c>
      <c r="B427" s="4" t="s">
        <v>198</v>
      </c>
      <c r="C427" s="4" t="s">
        <v>118</v>
      </c>
      <c r="D427" s="4">
        <v>41</v>
      </c>
      <c r="E427" s="4" t="s">
        <v>18</v>
      </c>
      <c r="F427" s="4">
        <f>VLOOKUP(E427,基础属性ID!A:B,2,0)</f>
        <v>7</v>
      </c>
      <c r="G427" s="4">
        <f>VLOOKUP(E427,基础属性ID!$A:$E,5,0)</f>
        <v>20</v>
      </c>
      <c r="H427" s="4">
        <v>1</v>
      </c>
      <c r="I427" s="4">
        <v>1</v>
      </c>
      <c r="J427" s="4" t="str">
        <f t="shared" si="124"/>
        <v>7:20:1:1,</v>
      </c>
    </row>
    <row r="428" spans="1:10">
      <c r="A428" s="4" t="str">
        <f t="shared" si="126"/>
        <v>41级蓝武器幸运</v>
      </c>
      <c r="B428" s="4" t="s">
        <v>198</v>
      </c>
      <c r="C428" s="4" t="s">
        <v>118</v>
      </c>
      <c r="D428" s="4">
        <v>41</v>
      </c>
      <c r="E428" s="4" t="s">
        <v>19</v>
      </c>
      <c r="F428" s="4">
        <f>VLOOKUP(E428,基础属性ID!A:B,2,0)</f>
        <v>8</v>
      </c>
      <c r="G428" s="4">
        <f>VLOOKUP(E428,基础属性ID!$A:$E,5,0)</f>
        <v>20</v>
      </c>
      <c r="H428" s="4">
        <v>1</v>
      </c>
      <c r="I428" s="4">
        <v>2</v>
      </c>
      <c r="J428" s="4" t="str">
        <f t="shared" si="124"/>
        <v>8:20:1:2,</v>
      </c>
    </row>
    <row r="429" spans="1:10">
      <c r="A429" s="4" t="str">
        <f t="shared" si="126"/>
        <v>41级蓝武器固定伤害</v>
      </c>
      <c r="B429" s="4" t="s">
        <v>198</v>
      </c>
      <c r="C429" s="4" t="s">
        <v>118</v>
      </c>
      <c r="D429" s="4">
        <v>41</v>
      </c>
      <c r="E429" s="4" t="s">
        <v>24</v>
      </c>
      <c r="F429" s="4">
        <f>VLOOKUP(E429,基础属性ID!A:B,2,0)</f>
        <v>9</v>
      </c>
      <c r="G429" s="4">
        <f>VLOOKUP(E429,基础属性ID!$A:$E,5,0)</f>
        <v>50</v>
      </c>
      <c r="H429" s="4">
        <v>4</v>
      </c>
      <c r="I429" s="4">
        <f t="shared" ref="I429:I430" si="133">H429*3</f>
        <v>12</v>
      </c>
      <c r="J429" s="4" t="str">
        <f t="shared" si="124"/>
        <v>9:50:4:12,</v>
      </c>
    </row>
    <row r="430" spans="1:10">
      <c r="A430" s="4" t="str">
        <f t="shared" si="126"/>
        <v>41级蓝武器固定减伤</v>
      </c>
      <c r="B430" s="4" t="s">
        <v>198</v>
      </c>
      <c r="C430" s="4" t="s">
        <v>118</v>
      </c>
      <c r="D430" s="4">
        <v>41</v>
      </c>
      <c r="E430" s="4" t="s">
        <v>25</v>
      </c>
      <c r="F430" s="4">
        <f>VLOOKUP(E430,基础属性ID!A:B,2,0)</f>
        <v>10</v>
      </c>
      <c r="G430" s="4">
        <f>VLOOKUP(E430,基础属性ID!$A:$E,5,0)</f>
        <v>50</v>
      </c>
      <c r="H430" s="4">
        <v>4</v>
      </c>
      <c r="I430" s="4">
        <f t="shared" si="133"/>
        <v>12</v>
      </c>
      <c r="J430" s="4" t="str">
        <f t="shared" si="124"/>
        <v>10:50:4:12,</v>
      </c>
    </row>
    <row r="431" spans="1:10">
      <c r="A431" s="4" t="str">
        <f t="shared" si="126"/>
        <v>41级蓝武器生命吸取</v>
      </c>
      <c r="B431" s="4" t="s">
        <v>198</v>
      </c>
      <c r="C431" s="4" t="s">
        <v>118</v>
      </c>
      <c r="D431" s="4">
        <v>41</v>
      </c>
      <c r="E431" s="4" t="s">
        <v>28</v>
      </c>
      <c r="F431" s="4">
        <f>VLOOKUP(E431,基础属性ID!A:B,2,0)</f>
        <v>11</v>
      </c>
      <c r="G431" s="4">
        <f>VLOOKUP(E431,基础属性ID!$A:$E,5,0)</f>
        <v>50</v>
      </c>
      <c r="H431" s="4">
        <v>2</v>
      </c>
      <c r="I431" s="4">
        <f t="shared" ref="I431:I432" si="134">H431*3</f>
        <v>6</v>
      </c>
      <c r="J431" s="4" t="str">
        <f t="shared" si="124"/>
        <v>11:50:2:6,</v>
      </c>
    </row>
    <row r="432" spans="1:10">
      <c r="A432" s="4" t="str">
        <f t="shared" si="126"/>
        <v>41级蓝武器法力吸取</v>
      </c>
      <c r="B432" s="4" t="s">
        <v>198</v>
      </c>
      <c r="C432" s="4" t="s">
        <v>118</v>
      </c>
      <c r="D432" s="4">
        <v>41</v>
      </c>
      <c r="E432" s="4" t="s">
        <v>29</v>
      </c>
      <c r="F432" s="4">
        <f>VLOOKUP(E432,基础属性ID!A:B,2,0)</f>
        <v>12</v>
      </c>
      <c r="G432" s="4">
        <f>VLOOKUP(E432,基础属性ID!$A:$E,5,0)</f>
        <v>50</v>
      </c>
      <c r="H432" s="4">
        <v>2</v>
      </c>
      <c r="I432" s="4">
        <f t="shared" si="134"/>
        <v>6</v>
      </c>
      <c r="J432" s="4" t="str">
        <f t="shared" si="124"/>
        <v>12:50:2:6,</v>
      </c>
    </row>
    <row r="433" spans="1:10">
      <c r="A433" s="4" t="str">
        <f t="shared" si="126"/>
        <v>41级蓝武器暴击几率</v>
      </c>
      <c r="B433" s="4" t="s">
        <v>198</v>
      </c>
      <c r="C433" s="4" t="s">
        <v>118</v>
      </c>
      <c r="D433" s="4">
        <v>41</v>
      </c>
      <c r="E433" s="4" t="s">
        <v>21</v>
      </c>
      <c r="F433" s="4">
        <f>VLOOKUP(E433,基础属性ID!A:B,2,0)</f>
        <v>13</v>
      </c>
      <c r="G433" s="4">
        <f>VLOOKUP(E433,基础属性ID!$A:$E,5,0)</f>
        <v>20</v>
      </c>
      <c r="H433" s="4">
        <v>20</v>
      </c>
      <c r="I433" s="4">
        <v>50</v>
      </c>
      <c r="J433" s="4" t="str">
        <f t="shared" si="124"/>
        <v>13:20:20:50,</v>
      </c>
    </row>
    <row r="434" spans="1:10">
      <c r="A434" s="4" t="str">
        <f t="shared" si="126"/>
        <v>41级蓝武器爆击伤害</v>
      </c>
      <c r="B434" s="4" t="s">
        <v>198</v>
      </c>
      <c r="C434" s="4" t="s">
        <v>118</v>
      </c>
      <c r="D434" s="4">
        <v>41</v>
      </c>
      <c r="E434" s="4" t="s">
        <v>76</v>
      </c>
      <c r="F434" s="4">
        <f>VLOOKUP(E434,基础属性ID!A:B,2,0)</f>
        <v>14</v>
      </c>
      <c r="G434" s="4">
        <f>VLOOKUP(E434,基础属性ID!$A:$E,5,0)</f>
        <v>20</v>
      </c>
      <c r="H434" s="4">
        <v>2</v>
      </c>
      <c r="I434" s="4">
        <v>5</v>
      </c>
      <c r="J434" s="4" t="str">
        <f t="shared" si="124"/>
        <v>14:20:2:5,</v>
      </c>
    </row>
    <row r="435" spans="1:10">
      <c r="A435" s="4" t="str">
        <f t="shared" si="126"/>
        <v>41级蓝武器伤害增加</v>
      </c>
      <c r="B435" s="4" t="s">
        <v>198</v>
      </c>
      <c r="C435" s="4" t="s">
        <v>118</v>
      </c>
      <c r="D435" s="4">
        <v>41</v>
      </c>
      <c r="E435" s="4" t="s">
        <v>26</v>
      </c>
      <c r="F435" s="4">
        <f>VLOOKUP(E435,基础属性ID!A:B,2,0)</f>
        <v>15</v>
      </c>
      <c r="G435" s="4">
        <f>VLOOKUP(E435,基础属性ID!$A:$E,5,0)</f>
        <v>10</v>
      </c>
      <c r="H435" s="4">
        <v>80</v>
      </c>
      <c r="I435" s="4">
        <v>150</v>
      </c>
      <c r="J435" s="4" t="str">
        <f t="shared" si="124"/>
        <v>15:10:80:150,</v>
      </c>
    </row>
    <row r="436" spans="1:10">
      <c r="A436" s="4" t="str">
        <f t="shared" si="126"/>
        <v>41级蓝武器伤害减免</v>
      </c>
      <c r="B436" s="4" t="s">
        <v>198</v>
      </c>
      <c r="C436" s="4" t="s">
        <v>118</v>
      </c>
      <c r="D436" s="4">
        <v>41</v>
      </c>
      <c r="E436" s="4" t="s">
        <v>27</v>
      </c>
      <c r="F436" s="4">
        <f>VLOOKUP(E436,基础属性ID!A:B,2,0)</f>
        <v>16</v>
      </c>
      <c r="G436" s="4">
        <f>VLOOKUP(E436,基础属性ID!$A:$E,5,0)</f>
        <v>10</v>
      </c>
      <c r="H436" s="4">
        <v>80</v>
      </c>
      <c r="I436" s="4">
        <v>150</v>
      </c>
      <c r="J436" s="4" t="str">
        <f t="shared" si="124"/>
        <v>16:10:80:150,</v>
      </c>
    </row>
    <row r="437" spans="1:10">
      <c r="A437" s="4" t="str">
        <f t="shared" si="126"/>
        <v>41级蓝武器装备掉率</v>
      </c>
      <c r="B437" s="4" t="s">
        <v>198</v>
      </c>
      <c r="C437" s="4" t="s">
        <v>118</v>
      </c>
      <c r="D437" s="4">
        <v>41</v>
      </c>
      <c r="E437" s="4" t="s">
        <v>30</v>
      </c>
      <c r="F437" s="4">
        <f>VLOOKUP(E437,基础属性ID!A:B,2,0)</f>
        <v>17</v>
      </c>
      <c r="G437" s="4">
        <f>VLOOKUP(E437,基础属性ID!$A:$E,5,0)</f>
        <v>60</v>
      </c>
      <c r="H437" s="4">
        <v>2</v>
      </c>
      <c r="I437" s="4">
        <v>6</v>
      </c>
      <c r="J437" s="4" t="str">
        <f t="shared" si="124"/>
        <v>17:60:2:6,</v>
      </c>
    </row>
    <row r="438" spans="1:10">
      <c r="A438" s="4" t="str">
        <f t="shared" si="126"/>
        <v>41级蓝武器极品掉率</v>
      </c>
      <c r="B438" s="4" t="s">
        <v>198</v>
      </c>
      <c r="C438" s="4" t="s">
        <v>118</v>
      </c>
      <c r="D438" s="4">
        <v>41</v>
      </c>
      <c r="E438" s="4" t="s">
        <v>31</v>
      </c>
      <c r="F438" s="4">
        <f>VLOOKUP(E438,基础属性ID!A:B,2,0)</f>
        <v>18</v>
      </c>
      <c r="G438" s="4">
        <f>VLOOKUP(E438,基础属性ID!$A:$E,5,0)</f>
        <v>60</v>
      </c>
      <c r="H438" s="4">
        <v>2</v>
      </c>
      <c r="I438" s="4">
        <v>6</v>
      </c>
      <c r="J438" s="4" t="str">
        <f t="shared" si="124"/>
        <v>18:60:2:6,</v>
      </c>
    </row>
    <row r="439" spans="1:10">
      <c r="A439" s="4" t="str">
        <f t="shared" si="126"/>
        <v>61级蓝武器生命值</v>
      </c>
      <c r="B439" s="4" t="s">
        <v>198</v>
      </c>
      <c r="C439" s="4" t="s">
        <v>118</v>
      </c>
      <c r="D439" s="4">
        <v>61</v>
      </c>
      <c r="E439" s="4" t="s">
        <v>74</v>
      </c>
      <c r="F439" s="4">
        <f>VLOOKUP(E439,基础属性ID!A:B,2,0)</f>
        <v>1</v>
      </c>
      <c r="G439" s="4">
        <f>VLOOKUP(E439,基础属性ID!$A:$E,5,0)</f>
        <v>100</v>
      </c>
      <c r="H439" s="4">
        <v>20</v>
      </c>
      <c r="I439" s="4">
        <f>H439*3</f>
        <v>60</v>
      </c>
      <c r="J439" s="4" t="str">
        <f t="shared" si="124"/>
        <v>1:100:20:60,</v>
      </c>
    </row>
    <row r="440" spans="1:10">
      <c r="A440" s="4" t="str">
        <f t="shared" si="126"/>
        <v>61级蓝武器法力值</v>
      </c>
      <c r="B440" s="4" t="s">
        <v>198</v>
      </c>
      <c r="C440" s="4" t="s">
        <v>118</v>
      </c>
      <c r="D440" s="4">
        <v>61</v>
      </c>
      <c r="E440" s="4" t="s">
        <v>75</v>
      </c>
      <c r="F440" s="4">
        <f>VLOOKUP(E440,基础属性ID!A:B,2,0)</f>
        <v>2</v>
      </c>
      <c r="G440" s="4">
        <f>VLOOKUP(E440,基础属性ID!$A:$E,5,0)</f>
        <v>100</v>
      </c>
      <c r="H440" s="4">
        <v>10</v>
      </c>
      <c r="I440" s="4">
        <v>20</v>
      </c>
      <c r="J440" s="4" t="str">
        <f t="shared" si="124"/>
        <v>2:100:10:20,</v>
      </c>
    </row>
    <row r="441" spans="1:10">
      <c r="A441" s="4" t="str">
        <f t="shared" si="126"/>
        <v>61级蓝武器物理攻击</v>
      </c>
      <c r="B441" s="4" t="s">
        <v>198</v>
      </c>
      <c r="C441" s="4" t="s">
        <v>118</v>
      </c>
      <c r="D441" s="4">
        <v>61</v>
      </c>
      <c r="E441" s="4" t="s">
        <v>13</v>
      </c>
      <c r="F441" s="4">
        <f>VLOOKUP(E441,基础属性ID!A:B,2,0)</f>
        <v>3</v>
      </c>
      <c r="G441" s="4">
        <f>VLOOKUP(E441,基础属性ID!$A:$E,5,0)</f>
        <v>100</v>
      </c>
      <c r="H441" s="4">
        <v>6</v>
      </c>
      <c r="I441" s="4">
        <f t="shared" ref="I441:I444" si="135">H441*3</f>
        <v>18</v>
      </c>
      <c r="J441" s="4" t="str">
        <f t="shared" ref="J441:J501" si="136">F441&amp;":"&amp;G441&amp;":"&amp;H441&amp;":"&amp;I441&amp;","</f>
        <v>3:100:6:18,</v>
      </c>
    </row>
    <row r="442" spans="1:10">
      <c r="A442" s="4" t="str">
        <f t="shared" si="126"/>
        <v>61级蓝武器魔法攻击</v>
      </c>
      <c r="B442" s="4" t="s">
        <v>198</v>
      </c>
      <c r="C442" s="4" t="s">
        <v>118</v>
      </c>
      <c r="D442" s="4">
        <v>61</v>
      </c>
      <c r="E442" s="4" t="s">
        <v>14</v>
      </c>
      <c r="F442" s="4">
        <f>VLOOKUP(E442,基础属性ID!A:B,2,0)</f>
        <v>4</v>
      </c>
      <c r="G442" s="4">
        <f>VLOOKUP(E442,基础属性ID!$A:$E,5,0)</f>
        <v>100</v>
      </c>
      <c r="H442" s="4">
        <v>6</v>
      </c>
      <c r="I442" s="4">
        <f t="shared" si="135"/>
        <v>18</v>
      </c>
      <c r="J442" s="4" t="str">
        <f t="shared" si="136"/>
        <v>4:100:6:18,</v>
      </c>
    </row>
    <row r="443" spans="1:10">
      <c r="A443" s="4" t="str">
        <f t="shared" si="126"/>
        <v>61级蓝武器道术攻击</v>
      </c>
      <c r="B443" s="4" t="s">
        <v>198</v>
      </c>
      <c r="C443" s="4" t="s">
        <v>118</v>
      </c>
      <c r="D443" s="4">
        <v>61</v>
      </c>
      <c r="E443" s="4" t="s">
        <v>15</v>
      </c>
      <c r="F443" s="4">
        <f>VLOOKUP(E443,基础属性ID!A:B,2,0)</f>
        <v>5</v>
      </c>
      <c r="G443" s="4">
        <f>VLOOKUP(E443,基础属性ID!$A:$E,5,0)</f>
        <v>100</v>
      </c>
      <c r="H443" s="4">
        <v>6</v>
      </c>
      <c r="I443" s="4">
        <f t="shared" si="135"/>
        <v>18</v>
      </c>
      <c r="J443" s="4" t="str">
        <f t="shared" si="136"/>
        <v>5:100:6:18,</v>
      </c>
    </row>
    <row r="444" spans="1:10">
      <c r="A444" s="4" t="str">
        <f t="shared" si="126"/>
        <v>61级蓝武器防御</v>
      </c>
      <c r="B444" s="4" t="s">
        <v>198</v>
      </c>
      <c r="C444" s="4" t="s">
        <v>118</v>
      </c>
      <c r="D444" s="4">
        <v>61</v>
      </c>
      <c r="E444" s="4" t="s">
        <v>17</v>
      </c>
      <c r="F444" s="4">
        <f>VLOOKUP(E444,基础属性ID!A:B,2,0)</f>
        <v>6</v>
      </c>
      <c r="G444" s="4">
        <f>VLOOKUP(E444,基础属性ID!$A:$E,5,0)</f>
        <v>100</v>
      </c>
      <c r="H444" s="4">
        <v>6</v>
      </c>
      <c r="I444" s="4">
        <f t="shared" si="135"/>
        <v>18</v>
      </c>
      <c r="J444" s="4" t="str">
        <f t="shared" si="136"/>
        <v>6:100:6:18,</v>
      </c>
    </row>
    <row r="445" spans="1:10">
      <c r="A445" s="4" t="str">
        <f t="shared" si="126"/>
        <v>61级蓝武器攻速</v>
      </c>
      <c r="B445" s="4" t="s">
        <v>198</v>
      </c>
      <c r="C445" s="4" t="s">
        <v>118</v>
      </c>
      <c r="D445" s="4">
        <v>61</v>
      </c>
      <c r="E445" s="4" t="s">
        <v>18</v>
      </c>
      <c r="F445" s="4">
        <f>VLOOKUP(E445,基础属性ID!A:B,2,0)</f>
        <v>7</v>
      </c>
      <c r="G445" s="4">
        <f>VLOOKUP(E445,基础属性ID!$A:$E,5,0)</f>
        <v>20</v>
      </c>
      <c r="H445" s="4">
        <v>1</v>
      </c>
      <c r="I445" s="4">
        <v>1</v>
      </c>
      <c r="J445" s="4" t="str">
        <f t="shared" si="136"/>
        <v>7:20:1:1,</v>
      </c>
    </row>
    <row r="446" spans="1:10">
      <c r="A446" s="4" t="str">
        <f t="shared" si="126"/>
        <v>61级蓝武器幸运</v>
      </c>
      <c r="B446" s="4" t="s">
        <v>198</v>
      </c>
      <c r="C446" s="4" t="s">
        <v>118</v>
      </c>
      <c r="D446" s="4">
        <v>61</v>
      </c>
      <c r="E446" s="4" t="s">
        <v>19</v>
      </c>
      <c r="F446" s="4">
        <f>VLOOKUP(E446,基础属性ID!A:B,2,0)</f>
        <v>8</v>
      </c>
      <c r="G446" s="4">
        <f>VLOOKUP(E446,基础属性ID!$A:$E,5,0)</f>
        <v>20</v>
      </c>
      <c r="H446" s="4">
        <v>1</v>
      </c>
      <c r="I446" s="4">
        <v>2</v>
      </c>
      <c r="J446" s="4" t="str">
        <f t="shared" si="136"/>
        <v>8:20:1:2,</v>
      </c>
    </row>
    <row r="447" spans="1:10">
      <c r="A447" s="4" t="str">
        <f t="shared" si="126"/>
        <v>61级蓝武器固定伤害</v>
      </c>
      <c r="B447" s="4" t="s">
        <v>198</v>
      </c>
      <c r="C447" s="4" t="s">
        <v>118</v>
      </c>
      <c r="D447" s="4">
        <v>61</v>
      </c>
      <c r="E447" s="4" t="s">
        <v>24</v>
      </c>
      <c r="F447" s="4">
        <f>VLOOKUP(E447,基础属性ID!A:B,2,0)</f>
        <v>9</v>
      </c>
      <c r="G447" s="4">
        <f>VLOOKUP(E447,基础属性ID!$A:$E,5,0)</f>
        <v>50</v>
      </c>
      <c r="H447" s="4">
        <v>5</v>
      </c>
      <c r="I447" s="4">
        <f t="shared" ref="I447:I448" si="137">H447*3</f>
        <v>15</v>
      </c>
      <c r="J447" s="4" t="str">
        <f t="shared" si="136"/>
        <v>9:50:5:15,</v>
      </c>
    </row>
    <row r="448" spans="1:10">
      <c r="A448" s="4" t="str">
        <f t="shared" si="126"/>
        <v>61级蓝武器固定减伤</v>
      </c>
      <c r="B448" s="4" t="s">
        <v>198</v>
      </c>
      <c r="C448" s="4" t="s">
        <v>118</v>
      </c>
      <c r="D448" s="4">
        <v>61</v>
      </c>
      <c r="E448" s="4" t="s">
        <v>25</v>
      </c>
      <c r="F448" s="4">
        <f>VLOOKUP(E448,基础属性ID!A:B,2,0)</f>
        <v>10</v>
      </c>
      <c r="G448" s="4">
        <f>VLOOKUP(E448,基础属性ID!$A:$E,5,0)</f>
        <v>50</v>
      </c>
      <c r="H448" s="4">
        <v>5</v>
      </c>
      <c r="I448" s="4">
        <f t="shared" si="137"/>
        <v>15</v>
      </c>
      <c r="J448" s="4" t="str">
        <f t="shared" si="136"/>
        <v>10:50:5:15,</v>
      </c>
    </row>
    <row r="449" spans="1:10">
      <c r="A449" s="4" t="str">
        <f t="shared" si="126"/>
        <v>61级蓝武器生命吸取</v>
      </c>
      <c r="B449" s="4" t="s">
        <v>198</v>
      </c>
      <c r="C449" s="4" t="s">
        <v>118</v>
      </c>
      <c r="D449" s="4">
        <v>61</v>
      </c>
      <c r="E449" s="4" t="s">
        <v>28</v>
      </c>
      <c r="F449" s="4">
        <f>VLOOKUP(E449,基础属性ID!A:B,2,0)</f>
        <v>11</v>
      </c>
      <c r="G449" s="4">
        <f>VLOOKUP(E449,基础属性ID!$A:$E,5,0)</f>
        <v>50</v>
      </c>
      <c r="H449" s="4">
        <v>4</v>
      </c>
      <c r="I449" s="4">
        <f t="shared" ref="I449:I450" si="138">H449*3</f>
        <v>12</v>
      </c>
      <c r="J449" s="4" t="str">
        <f t="shared" si="136"/>
        <v>11:50:4:12,</v>
      </c>
    </row>
    <row r="450" spans="1:10">
      <c r="A450" s="4" t="str">
        <f t="shared" si="126"/>
        <v>61级蓝武器法力吸取</v>
      </c>
      <c r="B450" s="4" t="s">
        <v>198</v>
      </c>
      <c r="C450" s="4" t="s">
        <v>118</v>
      </c>
      <c r="D450" s="4">
        <v>61</v>
      </c>
      <c r="E450" s="4" t="s">
        <v>29</v>
      </c>
      <c r="F450" s="4">
        <f>VLOOKUP(E450,基础属性ID!A:B,2,0)</f>
        <v>12</v>
      </c>
      <c r="G450" s="4">
        <f>VLOOKUP(E450,基础属性ID!$A:$E,5,0)</f>
        <v>50</v>
      </c>
      <c r="H450" s="4">
        <v>4</v>
      </c>
      <c r="I450" s="4">
        <f t="shared" si="138"/>
        <v>12</v>
      </c>
      <c r="J450" s="4" t="str">
        <f t="shared" si="136"/>
        <v>12:50:4:12,</v>
      </c>
    </row>
    <row r="451" spans="1:10">
      <c r="A451" s="4" t="str">
        <f t="shared" ref="A451:A514" si="139">D451&amp;"级"&amp;C451&amp;B451&amp;E451</f>
        <v>61级蓝武器暴击几率</v>
      </c>
      <c r="B451" s="4" t="s">
        <v>198</v>
      </c>
      <c r="C451" s="4" t="s">
        <v>118</v>
      </c>
      <c r="D451" s="4">
        <v>61</v>
      </c>
      <c r="E451" s="4" t="s">
        <v>21</v>
      </c>
      <c r="F451" s="4">
        <f>VLOOKUP(E451,基础属性ID!A:B,2,0)</f>
        <v>13</v>
      </c>
      <c r="G451" s="4">
        <f>VLOOKUP(E451,基础属性ID!$A:$E,5,0)</f>
        <v>20</v>
      </c>
      <c r="H451" s="4">
        <v>20</v>
      </c>
      <c r="I451" s="4">
        <v>50</v>
      </c>
      <c r="J451" s="4" t="str">
        <f t="shared" si="136"/>
        <v>13:20:20:50,</v>
      </c>
    </row>
    <row r="452" spans="1:10">
      <c r="A452" s="4" t="str">
        <f t="shared" si="139"/>
        <v>61级蓝武器爆击伤害</v>
      </c>
      <c r="B452" s="4" t="s">
        <v>198</v>
      </c>
      <c r="C452" s="4" t="s">
        <v>118</v>
      </c>
      <c r="D452" s="4">
        <v>61</v>
      </c>
      <c r="E452" s="4" t="s">
        <v>76</v>
      </c>
      <c r="F452" s="4">
        <f>VLOOKUP(E452,基础属性ID!A:B,2,0)</f>
        <v>14</v>
      </c>
      <c r="G452" s="4">
        <f>VLOOKUP(E452,基础属性ID!$A:$E,5,0)</f>
        <v>20</v>
      </c>
      <c r="H452" s="4">
        <v>2</v>
      </c>
      <c r="I452" s="4">
        <v>5</v>
      </c>
      <c r="J452" s="4" t="str">
        <f t="shared" si="136"/>
        <v>14:20:2:5,</v>
      </c>
    </row>
    <row r="453" spans="1:10">
      <c r="A453" s="4" t="str">
        <f t="shared" si="139"/>
        <v>61级蓝武器伤害增加</v>
      </c>
      <c r="B453" s="4" t="s">
        <v>198</v>
      </c>
      <c r="C453" s="4" t="s">
        <v>118</v>
      </c>
      <c r="D453" s="4">
        <v>61</v>
      </c>
      <c r="E453" s="4" t="s">
        <v>26</v>
      </c>
      <c r="F453" s="4">
        <f>VLOOKUP(E453,基础属性ID!A:B,2,0)</f>
        <v>15</v>
      </c>
      <c r="G453" s="4">
        <f>VLOOKUP(E453,基础属性ID!$A:$E,5,0)</f>
        <v>10</v>
      </c>
      <c r="H453" s="4">
        <v>80</v>
      </c>
      <c r="I453" s="4">
        <v>150</v>
      </c>
      <c r="J453" s="4" t="str">
        <f t="shared" si="136"/>
        <v>15:10:80:150,</v>
      </c>
    </row>
    <row r="454" spans="1:10">
      <c r="A454" s="4" t="str">
        <f t="shared" si="139"/>
        <v>61级蓝武器伤害减免</v>
      </c>
      <c r="B454" s="4" t="s">
        <v>198</v>
      </c>
      <c r="C454" s="4" t="s">
        <v>118</v>
      </c>
      <c r="D454" s="4">
        <v>61</v>
      </c>
      <c r="E454" s="4" t="s">
        <v>27</v>
      </c>
      <c r="F454" s="4">
        <f>VLOOKUP(E454,基础属性ID!A:B,2,0)</f>
        <v>16</v>
      </c>
      <c r="G454" s="4">
        <f>VLOOKUP(E454,基础属性ID!$A:$E,5,0)</f>
        <v>10</v>
      </c>
      <c r="H454" s="4">
        <v>80</v>
      </c>
      <c r="I454" s="4">
        <v>150</v>
      </c>
      <c r="J454" s="4" t="str">
        <f t="shared" si="136"/>
        <v>16:10:80:150,</v>
      </c>
    </row>
    <row r="455" spans="1:10">
      <c r="A455" s="4" t="str">
        <f t="shared" si="139"/>
        <v>61级蓝武器装备掉率</v>
      </c>
      <c r="B455" s="4" t="s">
        <v>198</v>
      </c>
      <c r="C455" s="4" t="s">
        <v>118</v>
      </c>
      <c r="D455" s="4">
        <v>61</v>
      </c>
      <c r="E455" s="4" t="s">
        <v>30</v>
      </c>
      <c r="F455" s="4">
        <f>VLOOKUP(E455,基础属性ID!A:B,2,0)</f>
        <v>17</v>
      </c>
      <c r="G455" s="4">
        <f>VLOOKUP(E455,基础属性ID!$A:$E,5,0)</f>
        <v>60</v>
      </c>
      <c r="H455" s="4">
        <v>2</v>
      </c>
      <c r="I455" s="4">
        <v>6</v>
      </c>
      <c r="J455" s="4" t="str">
        <f t="shared" si="136"/>
        <v>17:60:2:6,</v>
      </c>
    </row>
    <row r="456" spans="1:10">
      <c r="A456" s="4" t="str">
        <f t="shared" si="139"/>
        <v>61级蓝武器极品掉率</v>
      </c>
      <c r="B456" s="4" t="s">
        <v>198</v>
      </c>
      <c r="C456" s="4" t="s">
        <v>118</v>
      </c>
      <c r="D456" s="4">
        <v>61</v>
      </c>
      <c r="E456" s="4" t="s">
        <v>31</v>
      </c>
      <c r="F456" s="4">
        <f>VLOOKUP(E456,基础属性ID!A:B,2,0)</f>
        <v>18</v>
      </c>
      <c r="G456" s="4">
        <f>VLOOKUP(E456,基础属性ID!$A:$E,5,0)</f>
        <v>60</v>
      </c>
      <c r="H456" s="4">
        <v>2</v>
      </c>
      <c r="I456" s="4">
        <v>6</v>
      </c>
      <c r="J456" s="4" t="str">
        <f t="shared" si="136"/>
        <v>18:60:2:6,</v>
      </c>
    </row>
    <row r="457" spans="1:10">
      <c r="A457" s="4" t="str">
        <f t="shared" si="139"/>
        <v>21级蓝护甲生命值</v>
      </c>
      <c r="B457" s="4" t="s">
        <v>203</v>
      </c>
      <c r="C457" s="4" t="s">
        <v>118</v>
      </c>
      <c r="D457" s="4">
        <v>21</v>
      </c>
      <c r="E457" s="4" t="s">
        <v>74</v>
      </c>
      <c r="F457" s="4">
        <f>VLOOKUP(E457,基础属性ID!A:B,2,0)</f>
        <v>1</v>
      </c>
      <c r="G457" s="4">
        <f>VLOOKUP(E457,基础属性ID!$A:$E,5,0)</f>
        <v>100</v>
      </c>
      <c r="H457" s="4">
        <v>8</v>
      </c>
      <c r="I457" s="4">
        <f>H457*3</f>
        <v>24</v>
      </c>
      <c r="J457" s="4" t="str">
        <f t="shared" si="136"/>
        <v>1:100:8:24,</v>
      </c>
    </row>
    <row r="458" spans="1:10">
      <c r="A458" s="4" t="str">
        <f t="shared" si="139"/>
        <v>21级蓝护甲法力值</v>
      </c>
      <c r="B458" s="4" t="s">
        <v>203</v>
      </c>
      <c r="C458" s="4" t="s">
        <v>118</v>
      </c>
      <c r="D458" s="4">
        <v>21</v>
      </c>
      <c r="E458" s="4" t="s">
        <v>75</v>
      </c>
      <c r="F458" s="4">
        <f>VLOOKUP(E458,基础属性ID!A:B,2,0)</f>
        <v>2</v>
      </c>
      <c r="G458" s="4">
        <f>VLOOKUP(E458,基础属性ID!$A:$E,5,0)</f>
        <v>100</v>
      </c>
      <c r="H458" s="4">
        <v>4</v>
      </c>
      <c r="I458" s="4">
        <v>10</v>
      </c>
      <c r="J458" s="4" t="str">
        <f t="shared" si="136"/>
        <v>2:100:4:10,</v>
      </c>
    </row>
    <row r="459" spans="1:10">
      <c r="A459" s="4" t="str">
        <f t="shared" si="139"/>
        <v>21级蓝护甲物理攻击</v>
      </c>
      <c r="B459" s="4" t="s">
        <v>203</v>
      </c>
      <c r="C459" s="4" t="s">
        <v>118</v>
      </c>
      <c r="D459" s="4">
        <v>21</v>
      </c>
      <c r="E459" s="4" t="s">
        <v>13</v>
      </c>
      <c r="F459" s="4">
        <f>VLOOKUP(E459,基础属性ID!A:B,2,0)</f>
        <v>3</v>
      </c>
      <c r="G459" s="4">
        <f>VLOOKUP(E459,基础属性ID!$A:$E,5,0)</f>
        <v>100</v>
      </c>
      <c r="H459" s="4">
        <v>3</v>
      </c>
      <c r="I459" s="4">
        <f t="shared" ref="I459:I462" si="140">H459*3</f>
        <v>9</v>
      </c>
      <c r="J459" s="4" t="str">
        <f t="shared" si="136"/>
        <v>3:100:3:9,</v>
      </c>
    </row>
    <row r="460" spans="1:10">
      <c r="A460" s="4" t="str">
        <f t="shared" si="139"/>
        <v>21级蓝护甲魔法攻击</v>
      </c>
      <c r="B460" s="4" t="s">
        <v>203</v>
      </c>
      <c r="C460" s="4" t="s">
        <v>118</v>
      </c>
      <c r="D460" s="4">
        <v>21</v>
      </c>
      <c r="E460" s="4" t="s">
        <v>14</v>
      </c>
      <c r="F460" s="4">
        <f>VLOOKUP(E460,基础属性ID!A:B,2,0)</f>
        <v>4</v>
      </c>
      <c r="G460" s="4">
        <f>VLOOKUP(E460,基础属性ID!$A:$E,5,0)</f>
        <v>100</v>
      </c>
      <c r="H460" s="4">
        <v>3</v>
      </c>
      <c r="I460" s="4">
        <f t="shared" si="140"/>
        <v>9</v>
      </c>
      <c r="J460" s="4" t="str">
        <f t="shared" si="136"/>
        <v>4:100:3:9,</v>
      </c>
    </row>
    <row r="461" spans="1:10">
      <c r="A461" s="4" t="str">
        <f t="shared" si="139"/>
        <v>21级蓝护甲道术攻击</v>
      </c>
      <c r="B461" s="4" t="s">
        <v>203</v>
      </c>
      <c r="C461" s="4" t="s">
        <v>118</v>
      </c>
      <c r="D461" s="4">
        <v>21</v>
      </c>
      <c r="E461" s="4" t="s">
        <v>15</v>
      </c>
      <c r="F461" s="4">
        <f>VLOOKUP(E461,基础属性ID!A:B,2,0)</f>
        <v>5</v>
      </c>
      <c r="G461" s="4">
        <f>VLOOKUP(E461,基础属性ID!$A:$E,5,0)</f>
        <v>100</v>
      </c>
      <c r="H461" s="4">
        <v>3</v>
      </c>
      <c r="I461" s="4">
        <f t="shared" si="140"/>
        <v>9</v>
      </c>
      <c r="J461" s="4" t="str">
        <f t="shared" si="136"/>
        <v>5:100:3:9,</v>
      </c>
    </row>
    <row r="462" spans="1:10">
      <c r="A462" s="4" t="str">
        <f t="shared" si="139"/>
        <v>21级蓝护甲防御</v>
      </c>
      <c r="B462" s="4" t="s">
        <v>203</v>
      </c>
      <c r="C462" s="4" t="s">
        <v>118</v>
      </c>
      <c r="D462" s="4">
        <v>21</v>
      </c>
      <c r="E462" s="4" t="s">
        <v>17</v>
      </c>
      <c r="F462" s="4">
        <f>VLOOKUP(E462,基础属性ID!A:B,2,0)</f>
        <v>6</v>
      </c>
      <c r="G462" s="4">
        <f>VLOOKUP(E462,基础属性ID!$A:$E,5,0)</f>
        <v>100</v>
      </c>
      <c r="H462" s="4">
        <v>3</v>
      </c>
      <c r="I462" s="4">
        <f t="shared" si="140"/>
        <v>9</v>
      </c>
      <c r="J462" s="4" t="str">
        <f t="shared" si="136"/>
        <v>6:100:3:9,</v>
      </c>
    </row>
    <row r="463" spans="1:10">
      <c r="A463" s="4" t="str">
        <f t="shared" si="139"/>
        <v>21级蓝护甲攻速</v>
      </c>
      <c r="B463" s="4" t="s">
        <v>203</v>
      </c>
      <c r="C463" s="4" t="s">
        <v>118</v>
      </c>
      <c r="D463" s="4">
        <v>21</v>
      </c>
      <c r="E463" s="4" t="s">
        <v>18</v>
      </c>
      <c r="F463" s="4">
        <f>VLOOKUP(E463,基础属性ID!A:B,2,0)</f>
        <v>7</v>
      </c>
      <c r="G463" s="4">
        <f>VLOOKUP(E463,基础属性ID!$A:$E,5,0)</f>
        <v>20</v>
      </c>
      <c r="H463" s="4">
        <v>1</v>
      </c>
      <c r="I463" s="4">
        <v>1</v>
      </c>
      <c r="J463" s="4" t="str">
        <f t="shared" si="136"/>
        <v>7:20:1:1,</v>
      </c>
    </row>
    <row r="464" spans="1:10">
      <c r="A464" s="4" t="str">
        <f t="shared" si="139"/>
        <v>21级蓝护甲固定伤害</v>
      </c>
      <c r="B464" s="4" t="s">
        <v>203</v>
      </c>
      <c r="C464" s="4" t="s">
        <v>118</v>
      </c>
      <c r="D464" s="4">
        <v>21</v>
      </c>
      <c r="E464" s="4" t="s">
        <v>24</v>
      </c>
      <c r="F464" s="4">
        <f>VLOOKUP(E464,基础属性ID!A:B,2,0)</f>
        <v>9</v>
      </c>
      <c r="G464" s="4">
        <f>VLOOKUP(E464,基础属性ID!$A:$E,5,0)</f>
        <v>50</v>
      </c>
      <c r="H464" s="4">
        <v>3</v>
      </c>
      <c r="I464" s="4">
        <f t="shared" ref="I464:I465" si="141">H464*3</f>
        <v>9</v>
      </c>
      <c r="J464" s="4" t="str">
        <f t="shared" si="136"/>
        <v>9:50:3:9,</v>
      </c>
    </row>
    <row r="465" spans="1:10">
      <c r="A465" s="4" t="str">
        <f t="shared" si="139"/>
        <v>21级蓝护甲固定减伤</v>
      </c>
      <c r="B465" s="4" t="s">
        <v>203</v>
      </c>
      <c r="C465" s="4" t="s">
        <v>118</v>
      </c>
      <c r="D465" s="4">
        <v>21</v>
      </c>
      <c r="E465" s="4" t="s">
        <v>25</v>
      </c>
      <c r="F465" s="4">
        <f>VLOOKUP(E465,基础属性ID!A:B,2,0)</f>
        <v>10</v>
      </c>
      <c r="G465" s="4">
        <f>VLOOKUP(E465,基础属性ID!$A:$E,5,0)</f>
        <v>50</v>
      </c>
      <c r="H465" s="4">
        <v>3</v>
      </c>
      <c r="I465" s="4">
        <f t="shared" si="141"/>
        <v>9</v>
      </c>
      <c r="J465" s="4" t="str">
        <f t="shared" si="136"/>
        <v>10:50:3:9,</v>
      </c>
    </row>
    <row r="466" spans="1:10">
      <c r="A466" s="4" t="str">
        <f t="shared" si="139"/>
        <v>21级蓝护甲生命吸取</v>
      </c>
      <c r="B466" s="4" t="s">
        <v>203</v>
      </c>
      <c r="C466" s="4" t="s">
        <v>118</v>
      </c>
      <c r="D466" s="4">
        <v>21</v>
      </c>
      <c r="E466" s="4" t="s">
        <v>28</v>
      </c>
      <c r="F466" s="4">
        <f>VLOOKUP(E466,基础属性ID!A:B,2,0)</f>
        <v>11</v>
      </c>
      <c r="G466" s="4">
        <f>VLOOKUP(E466,基础属性ID!$A:$E,5,0)</f>
        <v>50</v>
      </c>
      <c r="H466" s="4">
        <v>1</v>
      </c>
      <c r="I466" s="4">
        <f t="shared" ref="I466:I467" si="142">H466*3</f>
        <v>3</v>
      </c>
      <c r="J466" s="4" t="str">
        <f t="shared" si="136"/>
        <v>11:50:1:3,</v>
      </c>
    </row>
    <row r="467" spans="1:10">
      <c r="A467" s="4" t="str">
        <f t="shared" si="139"/>
        <v>21级蓝护甲法力吸取</v>
      </c>
      <c r="B467" s="4" t="s">
        <v>203</v>
      </c>
      <c r="C467" s="4" t="s">
        <v>118</v>
      </c>
      <c r="D467" s="4">
        <v>21</v>
      </c>
      <c r="E467" s="4" t="s">
        <v>29</v>
      </c>
      <c r="F467" s="4">
        <f>VLOOKUP(E467,基础属性ID!A:B,2,0)</f>
        <v>12</v>
      </c>
      <c r="G467" s="4">
        <f>VLOOKUP(E467,基础属性ID!$A:$E,5,0)</f>
        <v>50</v>
      </c>
      <c r="H467" s="4">
        <v>1</v>
      </c>
      <c r="I467" s="4">
        <f t="shared" si="142"/>
        <v>3</v>
      </c>
      <c r="J467" s="4" t="str">
        <f t="shared" si="136"/>
        <v>12:50:1:3,</v>
      </c>
    </row>
    <row r="468" spans="1:10">
      <c r="A468" s="4" t="str">
        <f t="shared" si="139"/>
        <v>21级蓝护甲暴击几率</v>
      </c>
      <c r="B468" s="4" t="s">
        <v>203</v>
      </c>
      <c r="C468" s="4" t="s">
        <v>118</v>
      </c>
      <c r="D468" s="4">
        <v>21</v>
      </c>
      <c r="E468" s="4" t="s">
        <v>21</v>
      </c>
      <c r="F468" s="4">
        <f>VLOOKUP(E468,基础属性ID!A:B,2,0)</f>
        <v>13</v>
      </c>
      <c r="G468" s="4">
        <f>VLOOKUP(E468,基础属性ID!$A:$E,5,0)</f>
        <v>20</v>
      </c>
      <c r="H468" s="4">
        <v>20</v>
      </c>
      <c r="I468" s="4">
        <v>50</v>
      </c>
      <c r="J468" s="4" t="str">
        <f t="shared" si="136"/>
        <v>13:20:20:50,</v>
      </c>
    </row>
    <row r="469" spans="1:10">
      <c r="A469" s="4" t="str">
        <f t="shared" si="139"/>
        <v>21级蓝护甲爆击伤害</v>
      </c>
      <c r="B469" s="4" t="s">
        <v>203</v>
      </c>
      <c r="C469" s="4" t="s">
        <v>118</v>
      </c>
      <c r="D469" s="4">
        <v>21</v>
      </c>
      <c r="E469" s="4" t="s">
        <v>76</v>
      </c>
      <c r="F469" s="4">
        <f>VLOOKUP(E469,基础属性ID!A:B,2,0)</f>
        <v>14</v>
      </c>
      <c r="G469" s="4">
        <f>VLOOKUP(E469,基础属性ID!$A:$E,5,0)</f>
        <v>20</v>
      </c>
      <c r="H469" s="4">
        <v>2</v>
      </c>
      <c r="I469" s="4">
        <v>5</v>
      </c>
      <c r="J469" s="4" t="str">
        <f t="shared" si="136"/>
        <v>14:20:2:5,</v>
      </c>
    </row>
    <row r="470" spans="1:10">
      <c r="A470" s="4" t="str">
        <f t="shared" si="139"/>
        <v>21级蓝护甲伤害增加</v>
      </c>
      <c r="B470" s="4" t="s">
        <v>203</v>
      </c>
      <c r="C470" s="4" t="s">
        <v>118</v>
      </c>
      <c r="D470" s="4">
        <v>21</v>
      </c>
      <c r="E470" s="4" t="s">
        <v>26</v>
      </c>
      <c r="F470" s="4">
        <f>VLOOKUP(E470,基础属性ID!A:B,2,0)</f>
        <v>15</v>
      </c>
      <c r="G470" s="4">
        <f>VLOOKUP(E470,基础属性ID!$A:$E,5,0)</f>
        <v>10</v>
      </c>
      <c r="H470" s="4">
        <v>80</v>
      </c>
      <c r="I470" s="4">
        <v>150</v>
      </c>
      <c r="J470" s="4" t="str">
        <f t="shared" si="136"/>
        <v>15:10:80:150,</v>
      </c>
    </row>
    <row r="471" spans="1:10">
      <c r="A471" s="4" t="str">
        <f t="shared" si="139"/>
        <v>21级蓝护甲伤害减免</v>
      </c>
      <c r="B471" s="4" t="s">
        <v>203</v>
      </c>
      <c r="C471" s="4" t="s">
        <v>118</v>
      </c>
      <c r="D471" s="4">
        <v>21</v>
      </c>
      <c r="E471" s="4" t="s">
        <v>27</v>
      </c>
      <c r="F471" s="4">
        <f>VLOOKUP(E471,基础属性ID!A:B,2,0)</f>
        <v>16</v>
      </c>
      <c r="G471" s="4">
        <f>VLOOKUP(E471,基础属性ID!$A:$E,5,0)</f>
        <v>10</v>
      </c>
      <c r="H471" s="4">
        <v>80</v>
      </c>
      <c r="I471" s="4">
        <v>150</v>
      </c>
      <c r="J471" s="4" t="str">
        <f t="shared" si="136"/>
        <v>16:10:80:150,</v>
      </c>
    </row>
    <row r="472" spans="1:10">
      <c r="A472" s="4" t="str">
        <f t="shared" si="139"/>
        <v>21级蓝护甲装备掉率</v>
      </c>
      <c r="B472" s="4" t="s">
        <v>203</v>
      </c>
      <c r="C472" s="4" t="s">
        <v>118</v>
      </c>
      <c r="D472" s="4">
        <v>21</v>
      </c>
      <c r="E472" s="4" t="s">
        <v>30</v>
      </c>
      <c r="F472" s="4">
        <f>VLOOKUP(E472,基础属性ID!A:B,2,0)</f>
        <v>17</v>
      </c>
      <c r="G472" s="4">
        <f>VLOOKUP(E472,基础属性ID!$A:$E,5,0)</f>
        <v>60</v>
      </c>
      <c r="H472" s="4">
        <v>2</v>
      </c>
      <c r="I472" s="4">
        <v>6</v>
      </c>
      <c r="J472" s="4" t="str">
        <f t="shared" si="136"/>
        <v>17:60:2:6,</v>
      </c>
    </row>
    <row r="473" spans="1:10">
      <c r="A473" s="4" t="str">
        <f t="shared" si="139"/>
        <v>21级蓝护甲极品掉率</v>
      </c>
      <c r="B473" s="4" t="s">
        <v>203</v>
      </c>
      <c r="C473" s="4" t="s">
        <v>118</v>
      </c>
      <c r="D473" s="4">
        <v>21</v>
      </c>
      <c r="E473" s="4" t="s">
        <v>31</v>
      </c>
      <c r="F473" s="4">
        <f>VLOOKUP(E473,基础属性ID!A:B,2,0)</f>
        <v>18</v>
      </c>
      <c r="G473" s="4">
        <f>VLOOKUP(E473,基础属性ID!$A:$E,5,0)</f>
        <v>60</v>
      </c>
      <c r="H473" s="4">
        <v>2</v>
      </c>
      <c r="I473" s="4">
        <v>6</v>
      </c>
      <c r="J473" s="4" t="str">
        <f t="shared" si="136"/>
        <v>18:60:2:6,</v>
      </c>
    </row>
    <row r="474" spans="1:10">
      <c r="A474" s="4" t="str">
        <f t="shared" si="139"/>
        <v>41级蓝护甲生命值</v>
      </c>
      <c r="B474" s="4" t="s">
        <v>203</v>
      </c>
      <c r="C474" s="4" t="s">
        <v>118</v>
      </c>
      <c r="D474" s="4">
        <v>41</v>
      </c>
      <c r="E474" s="4" t="s">
        <v>74</v>
      </c>
      <c r="F474" s="4">
        <f>VLOOKUP(E474,基础属性ID!A:B,2,0)</f>
        <v>1</v>
      </c>
      <c r="G474" s="4">
        <f>VLOOKUP(E474,基础属性ID!$A:$E,5,0)</f>
        <v>100</v>
      </c>
      <c r="H474" s="4">
        <v>15</v>
      </c>
      <c r="I474" s="4">
        <f>H474*3</f>
        <v>45</v>
      </c>
      <c r="J474" s="4" t="str">
        <f t="shared" si="136"/>
        <v>1:100:15:45,</v>
      </c>
    </row>
    <row r="475" spans="1:10">
      <c r="A475" s="4" t="str">
        <f t="shared" si="139"/>
        <v>41级蓝护甲法力值</v>
      </c>
      <c r="B475" s="4" t="s">
        <v>203</v>
      </c>
      <c r="C475" s="4" t="s">
        <v>118</v>
      </c>
      <c r="D475" s="4">
        <v>41</v>
      </c>
      <c r="E475" s="4" t="s">
        <v>75</v>
      </c>
      <c r="F475" s="4">
        <f>VLOOKUP(E475,基础属性ID!A:B,2,0)</f>
        <v>2</v>
      </c>
      <c r="G475" s="4">
        <f>VLOOKUP(E475,基础属性ID!$A:$E,5,0)</f>
        <v>100</v>
      </c>
      <c r="H475" s="4">
        <v>6</v>
      </c>
      <c r="I475" s="4">
        <v>12</v>
      </c>
      <c r="J475" s="4" t="str">
        <f t="shared" si="136"/>
        <v>2:100:6:12,</v>
      </c>
    </row>
    <row r="476" spans="1:10">
      <c r="A476" s="4" t="str">
        <f t="shared" si="139"/>
        <v>41级蓝护甲物理攻击</v>
      </c>
      <c r="B476" s="4" t="s">
        <v>203</v>
      </c>
      <c r="C476" s="4" t="s">
        <v>118</v>
      </c>
      <c r="D476" s="4">
        <v>41</v>
      </c>
      <c r="E476" s="4" t="s">
        <v>13</v>
      </c>
      <c r="F476" s="4">
        <f>VLOOKUP(E476,基础属性ID!A:B,2,0)</f>
        <v>3</v>
      </c>
      <c r="G476" s="4">
        <f>VLOOKUP(E476,基础属性ID!$A:$E,5,0)</f>
        <v>100</v>
      </c>
      <c r="H476" s="4">
        <v>4</v>
      </c>
      <c r="I476" s="4">
        <f t="shared" ref="I476:I479" si="143">H476*3</f>
        <v>12</v>
      </c>
      <c r="J476" s="4" t="str">
        <f t="shared" si="136"/>
        <v>3:100:4:12,</v>
      </c>
    </row>
    <row r="477" spans="1:10">
      <c r="A477" s="4" t="str">
        <f t="shared" si="139"/>
        <v>41级蓝护甲魔法攻击</v>
      </c>
      <c r="B477" s="4" t="s">
        <v>203</v>
      </c>
      <c r="C477" s="4" t="s">
        <v>118</v>
      </c>
      <c r="D477" s="4">
        <v>41</v>
      </c>
      <c r="E477" s="4" t="s">
        <v>14</v>
      </c>
      <c r="F477" s="4">
        <f>VLOOKUP(E477,基础属性ID!A:B,2,0)</f>
        <v>4</v>
      </c>
      <c r="G477" s="4">
        <f>VLOOKUP(E477,基础属性ID!$A:$E,5,0)</f>
        <v>100</v>
      </c>
      <c r="H477" s="4">
        <v>4</v>
      </c>
      <c r="I477" s="4">
        <f t="shared" si="143"/>
        <v>12</v>
      </c>
      <c r="J477" s="4" t="str">
        <f t="shared" si="136"/>
        <v>4:100:4:12,</v>
      </c>
    </row>
    <row r="478" spans="1:10">
      <c r="A478" s="4" t="str">
        <f t="shared" si="139"/>
        <v>41级蓝护甲道术攻击</v>
      </c>
      <c r="B478" s="4" t="s">
        <v>203</v>
      </c>
      <c r="C478" s="4" t="s">
        <v>118</v>
      </c>
      <c r="D478" s="4">
        <v>41</v>
      </c>
      <c r="E478" s="4" t="s">
        <v>15</v>
      </c>
      <c r="F478" s="4">
        <f>VLOOKUP(E478,基础属性ID!A:B,2,0)</f>
        <v>5</v>
      </c>
      <c r="G478" s="4">
        <f>VLOOKUP(E478,基础属性ID!$A:$E,5,0)</f>
        <v>100</v>
      </c>
      <c r="H478" s="4">
        <v>4</v>
      </c>
      <c r="I478" s="4">
        <f t="shared" si="143"/>
        <v>12</v>
      </c>
      <c r="J478" s="4" t="str">
        <f t="shared" si="136"/>
        <v>5:100:4:12,</v>
      </c>
    </row>
    <row r="479" spans="1:10">
      <c r="A479" s="4" t="str">
        <f t="shared" si="139"/>
        <v>41级蓝护甲防御</v>
      </c>
      <c r="B479" s="4" t="s">
        <v>203</v>
      </c>
      <c r="C479" s="4" t="s">
        <v>118</v>
      </c>
      <c r="D479" s="4">
        <v>41</v>
      </c>
      <c r="E479" s="4" t="s">
        <v>17</v>
      </c>
      <c r="F479" s="4">
        <f>VLOOKUP(E479,基础属性ID!A:B,2,0)</f>
        <v>6</v>
      </c>
      <c r="G479" s="4">
        <f>VLOOKUP(E479,基础属性ID!$A:$E,5,0)</f>
        <v>100</v>
      </c>
      <c r="H479" s="4">
        <v>4</v>
      </c>
      <c r="I479" s="4">
        <f t="shared" si="143"/>
        <v>12</v>
      </c>
      <c r="J479" s="4" t="str">
        <f t="shared" si="136"/>
        <v>6:100:4:12,</v>
      </c>
    </row>
    <row r="480" spans="1:10">
      <c r="A480" s="4" t="str">
        <f t="shared" si="139"/>
        <v>41级蓝护甲攻速</v>
      </c>
      <c r="B480" s="4" t="s">
        <v>203</v>
      </c>
      <c r="C480" s="4" t="s">
        <v>118</v>
      </c>
      <c r="D480" s="4">
        <v>41</v>
      </c>
      <c r="E480" s="4" t="s">
        <v>18</v>
      </c>
      <c r="F480" s="4">
        <f>VLOOKUP(E480,基础属性ID!A:B,2,0)</f>
        <v>7</v>
      </c>
      <c r="G480" s="4">
        <f>VLOOKUP(E480,基础属性ID!$A:$E,5,0)</f>
        <v>20</v>
      </c>
      <c r="H480" s="4">
        <v>1</v>
      </c>
      <c r="I480" s="4">
        <v>1</v>
      </c>
      <c r="J480" s="4" t="str">
        <f t="shared" si="136"/>
        <v>7:20:1:1,</v>
      </c>
    </row>
    <row r="481" spans="1:10">
      <c r="A481" s="4" t="str">
        <f t="shared" si="139"/>
        <v>41级蓝护甲固定伤害</v>
      </c>
      <c r="B481" s="4" t="s">
        <v>203</v>
      </c>
      <c r="C481" s="4" t="s">
        <v>118</v>
      </c>
      <c r="D481" s="4">
        <v>41</v>
      </c>
      <c r="E481" s="4" t="s">
        <v>24</v>
      </c>
      <c r="F481" s="4">
        <f>VLOOKUP(E481,基础属性ID!A:B,2,0)</f>
        <v>9</v>
      </c>
      <c r="G481" s="4">
        <f>VLOOKUP(E481,基础属性ID!$A:$E,5,0)</f>
        <v>50</v>
      </c>
      <c r="H481" s="4">
        <v>4</v>
      </c>
      <c r="I481" s="4">
        <f t="shared" ref="I481:I482" si="144">H481*3</f>
        <v>12</v>
      </c>
      <c r="J481" s="4" t="str">
        <f t="shared" si="136"/>
        <v>9:50:4:12,</v>
      </c>
    </row>
    <row r="482" spans="1:10">
      <c r="A482" s="4" t="str">
        <f t="shared" si="139"/>
        <v>41级蓝护甲固定减伤</v>
      </c>
      <c r="B482" s="4" t="s">
        <v>203</v>
      </c>
      <c r="C482" s="4" t="s">
        <v>118</v>
      </c>
      <c r="D482" s="4">
        <v>41</v>
      </c>
      <c r="E482" s="4" t="s">
        <v>25</v>
      </c>
      <c r="F482" s="4">
        <f>VLOOKUP(E482,基础属性ID!A:B,2,0)</f>
        <v>10</v>
      </c>
      <c r="G482" s="4">
        <f>VLOOKUP(E482,基础属性ID!$A:$E,5,0)</f>
        <v>50</v>
      </c>
      <c r="H482" s="4">
        <v>4</v>
      </c>
      <c r="I482" s="4">
        <f t="shared" si="144"/>
        <v>12</v>
      </c>
      <c r="J482" s="4" t="str">
        <f t="shared" si="136"/>
        <v>10:50:4:12,</v>
      </c>
    </row>
    <row r="483" spans="1:10">
      <c r="A483" s="4" t="str">
        <f t="shared" si="139"/>
        <v>41级蓝护甲生命吸取</v>
      </c>
      <c r="B483" s="4" t="s">
        <v>203</v>
      </c>
      <c r="C483" s="4" t="s">
        <v>118</v>
      </c>
      <c r="D483" s="4">
        <v>41</v>
      </c>
      <c r="E483" s="4" t="s">
        <v>28</v>
      </c>
      <c r="F483" s="4">
        <f>VLOOKUP(E483,基础属性ID!A:B,2,0)</f>
        <v>11</v>
      </c>
      <c r="G483" s="4">
        <f>VLOOKUP(E483,基础属性ID!$A:$E,5,0)</f>
        <v>50</v>
      </c>
      <c r="H483" s="4">
        <v>2</v>
      </c>
      <c r="I483" s="4">
        <f t="shared" ref="I483:I484" si="145">H483*3</f>
        <v>6</v>
      </c>
      <c r="J483" s="4" t="str">
        <f t="shared" si="136"/>
        <v>11:50:2:6,</v>
      </c>
    </row>
    <row r="484" spans="1:10">
      <c r="A484" s="4" t="str">
        <f t="shared" si="139"/>
        <v>41级蓝护甲法力吸取</v>
      </c>
      <c r="B484" s="4" t="s">
        <v>203</v>
      </c>
      <c r="C484" s="4" t="s">
        <v>118</v>
      </c>
      <c r="D484" s="4">
        <v>41</v>
      </c>
      <c r="E484" s="4" t="s">
        <v>29</v>
      </c>
      <c r="F484" s="4">
        <f>VLOOKUP(E484,基础属性ID!A:B,2,0)</f>
        <v>12</v>
      </c>
      <c r="G484" s="4">
        <f>VLOOKUP(E484,基础属性ID!$A:$E,5,0)</f>
        <v>50</v>
      </c>
      <c r="H484" s="4">
        <v>2</v>
      </c>
      <c r="I484" s="4">
        <f t="shared" si="145"/>
        <v>6</v>
      </c>
      <c r="J484" s="4" t="str">
        <f t="shared" si="136"/>
        <v>12:50:2:6,</v>
      </c>
    </row>
    <row r="485" spans="1:10">
      <c r="A485" s="4" t="str">
        <f t="shared" si="139"/>
        <v>41级蓝护甲暴击几率</v>
      </c>
      <c r="B485" s="4" t="s">
        <v>203</v>
      </c>
      <c r="C485" s="4" t="s">
        <v>118</v>
      </c>
      <c r="D485" s="4">
        <v>41</v>
      </c>
      <c r="E485" s="4" t="s">
        <v>21</v>
      </c>
      <c r="F485" s="4">
        <f>VLOOKUP(E485,基础属性ID!A:B,2,0)</f>
        <v>13</v>
      </c>
      <c r="G485" s="4">
        <f>VLOOKUP(E485,基础属性ID!$A:$E,5,0)</f>
        <v>20</v>
      </c>
      <c r="H485" s="4">
        <v>20</v>
      </c>
      <c r="I485" s="4">
        <v>50</v>
      </c>
      <c r="J485" s="4" t="str">
        <f t="shared" si="136"/>
        <v>13:20:20:50,</v>
      </c>
    </row>
    <row r="486" spans="1:10">
      <c r="A486" s="4" t="str">
        <f t="shared" si="139"/>
        <v>41级蓝护甲爆击伤害</v>
      </c>
      <c r="B486" s="4" t="s">
        <v>203</v>
      </c>
      <c r="C486" s="4" t="s">
        <v>118</v>
      </c>
      <c r="D486" s="4">
        <v>41</v>
      </c>
      <c r="E486" s="4" t="s">
        <v>76</v>
      </c>
      <c r="F486" s="4">
        <f>VLOOKUP(E486,基础属性ID!A:B,2,0)</f>
        <v>14</v>
      </c>
      <c r="G486" s="4">
        <f>VLOOKUP(E486,基础属性ID!$A:$E,5,0)</f>
        <v>20</v>
      </c>
      <c r="H486" s="4">
        <v>2</v>
      </c>
      <c r="I486" s="4">
        <v>5</v>
      </c>
      <c r="J486" s="4" t="str">
        <f t="shared" si="136"/>
        <v>14:20:2:5,</v>
      </c>
    </row>
    <row r="487" spans="1:10">
      <c r="A487" s="4" t="str">
        <f t="shared" si="139"/>
        <v>41级蓝护甲伤害增加</v>
      </c>
      <c r="B487" s="4" t="s">
        <v>203</v>
      </c>
      <c r="C487" s="4" t="s">
        <v>118</v>
      </c>
      <c r="D487" s="4">
        <v>41</v>
      </c>
      <c r="E487" s="4" t="s">
        <v>26</v>
      </c>
      <c r="F487" s="4">
        <f>VLOOKUP(E487,基础属性ID!A:B,2,0)</f>
        <v>15</v>
      </c>
      <c r="G487" s="4">
        <f>VLOOKUP(E487,基础属性ID!$A:$E,5,0)</f>
        <v>10</v>
      </c>
      <c r="H487" s="4">
        <v>80</v>
      </c>
      <c r="I487" s="4">
        <v>150</v>
      </c>
      <c r="J487" s="4" t="str">
        <f t="shared" si="136"/>
        <v>15:10:80:150,</v>
      </c>
    </row>
    <row r="488" spans="1:10">
      <c r="A488" s="4" t="str">
        <f t="shared" si="139"/>
        <v>41级蓝护甲伤害减免</v>
      </c>
      <c r="B488" s="4" t="s">
        <v>203</v>
      </c>
      <c r="C488" s="4" t="s">
        <v>118</v>
      </c>
      <c r="D488" s="4">
        <v>41</v>
      </c>
      <c r="E488" s="4" t="s">
        <v>27</v>
      </c>
      <c r="F488" s="4">
        <f>VLOOKUP(E488,基础属性ID!A:B,2,0)</f>
        <v>16</v>
      </c>
      <c r="G488" s="4">
        <f>VLOOKUP(E488,基础属性ID!$A:$E,5,0)</f>
        <v>10</v>
      </c>
      <c r="H488" s="4">
        <v>80</v>
      </c>
      <c r="I488" s="4">
        <v>150</v>
      </c>
      <c r="J488" s="4" t="str">
        <f t="shared" si="136"/>
        <v>16:10:80:150,</v>
      </c>
    </row>
    <row r="489" spans="1:10">
      <c r="A489" s="4" t="str">
        <f t="shared" si="139"/>
        <v>41级蓝护甲装备掉率</v>
      </c>
      <c r="B489" s="4" t="s">
        <v>203</v>
      </c>
      <c r="C489" s="4" t="s">
        <v>118</v>
      </c>
      <c r="D489" s="4">
        <v>41</v>
      </c>
      <c r="E489" s="4" t="s">
        <v>30</v>
      </c>
      <c r="F489" s="4">
        <f>VLOOKUP(E489,基础属性ID!A:B,2,0)</f>
        <v>17</v>
      </c>
      <c r="G489" s="4">
        <f>VLOOKUP(E489,基础属性ID!$A:$E,5,0)</f>
        <v>60</v>
      </c>
      <c r="H489" s="4">
        <v>2</v>
      </c>
      <c r="I489" s="4">
        <v>6</v>
      </c>
      <c r="J489" s="4" t="str">
        <f t="shared" si="136"/>
        <v>17:60:2:6,</v>
      </c>
    </row>
    <row r="490" spans="1:10">
      <c r="A490" s="4" t="str">
        <f t="shared" si="139"/>
        <v>41级蓝护甲极品掉率</v>
      </c>
      <c r="B490" s="4" t="s">
        <v>203</v>
      </c>
      <c r="C490" s="4" t="s">
        <v>118</v>
      </c>
      <c r="D490" s="4">
        <v>41</v>
      </c>
      <c r="E490" s="4" t="s">
        <v>31</v>
      </c>
      <c r="F490" s="4">
        <f>VLOOKUP(E490,基础属性ID!A:B,2,0)</f>
        <v>18</v>
      </c>
      <c r="G490" s="4">
        <f>VLOOKUP(E490,基础属性ID!$A:$E,5,0)</f>
        <v>60</v>
      </c>
      <c r="H490" s="4">
        <v>2</v>
      </c>
      <c r="I490" s="4">
        <v>6</v>
      </c>
      <c r="J490" s="4" t="str">
        <f t="shared" si="136"/>
        <v>18:60:2:6,</v>
      </c>
    </row>
    <row r="491" spans="1:10">
      <c r="A491" s="4" t="str">
        <f t="shared" si="139"/>
        <v>61级蓝护甲生命值</v>
      </c>
      <c r="B491" s="4" t="s">
        <v>203</v>
      </c>
      <c r="C491" s="4" t="s">
        <v>118</v>
      </c>
      <c r="D491" s="4">
        <v>61</v>
      </c>
      <c r="E491" s="4" t="s">
        <v>74</v>
      </c>
      <c r="F491" s="4">
        <f>VLOOKUP(E491,基础属性ID!A:B,2,0)</f>
        <v>1</v>
      </c>
      <c r="G491" s="4">
        <f>VLOOKUP(E491,基础属性ID!$A:$E,5,0)</f>
        <v>100</v>
      </c>
      <c r="H491" s="4">
        <v>20</v>
      </c>
      <c r="I491" s="4">
        <f>H491*3</f>
        <v>60</v>
      </c>
      <c r="J491" s="4" t="str">
        <f t="shared" si="136"/>
        <v>1:100:20:60,</v>
      </c>
    </row>
    <row r="492" spans="1:10">
      <c r="A492" s="4" t="str">
        <f t="shared" si="139"/>
        <v>61级蓝护甲法力值</v>
      </c>
      <c r="B492" s="4" t="s">
        <v>203</v>
      </c>
      <c r="C492" s="4" t="s">
        <v>118</v>
      </c>
      <c r="D492" s="4">
        <v>61</v>
      </c>
      <c r="E492" s="4" t="s">
        <v>75</v>
      </c>
      <c r="F492" s="4">
        <f>VLOOKUP(E492,基础属性ID!A:B,2,0)</f>
        <v>2</v>
      </c>
      <c r="G492" s="4">
        <f>VLOOKUP(E492,基础属性ID!$A:$E,5,0)</f>
        <v>100</v>
      </c>
      <c r="H492" s="4">
        <v>8</v>
      </c>
      <c r="I492" s="4">
        <v>15</v>
      </c>
      <c r="J492" s="4" t="str">
        <f t="shared" si="136"/>
        <v>2:100:8:15,</v>
      </c>
    </row>
    <row r="493" spans="1:10">
      <c r="A493" s="4" t="str">
        <f t="shared" si="139"/>
        <v>61级蓝护甲物理攻击</v>
      </c>
      <c r="B493" s="4" t="s">
        <v>203</v>
      </c>
      <c r="C493" s="4" t="s">
        <v>118</v>
      </c>
      <c r="D493" s="4">
        <v>61</v>
      </c>
      <c r="E493" s="4" t="s">
        <v>13</v>
      </c>
      <c r="F493" s="4">
        <f>VLOOKUP(E493,基础属性ID!A:B,2,0)</f>
        <v>3</v>
      </c>
      <c r="G493" s="4">
        <f>VLOOKUP(E493,基础属性ID!$A:$E,5,0)</f>
        <v>100</v>
      </c>
      <c r="H493" s="4">
        <v>6</v>
      </c>
      <c r="I493" s="4">
        <f t="shared" ref="I493:I496" si="146">H493*3</f>
        <v>18</v>
      </c>
      <c r="J493" s="4" t="str">
        <f t="shared" si="136"/>
        <v>3:100:6:18,</v>
      </c>
    </row>
    <row r="494" spans="1:10">
      <c r="A494" s="4" t="str">
        <f t="shared" si="139"/>
        <v>61级蓝护甲魔法攻击</v>
      </c>
      <c r="B494" s="4" t="s">
        <v>203</v>
      </c>
      <c r="C494" s="4" t="s">
        <v>118</v>
      </c>
      <c r="D494" s="4">
        <v>61</v>
      </c>
      <c r="E494" s="4" t="s">
        <v>14</v>
      </c>
      <c r="F494" s="4">
        <f>VLOOKUP(E494,基础属性ID!A:B,2,0)</f>
        <v>4</v>
      </c>
      <c r="G494" s="4">
        <f>VLOOKUP(E494,基础属性ID!$A:$E,5,0)</f>
        <v>100</v>
      </c>
      <c r="H494" s="4">
        <v>6</v>
      </c>
      <c r="I494" s="4">
        <f t="shared" si="146"/>
        <v>18</v>
      </c>
      <c r="J494" s="4" t="str">
        <f t="shared" si="136"/>
        <v>4:100:6:18,</v>
      </c>
    </row>
    <row r="495" spans="1:10">
      <c r="A495" s="4" t="str">
        <f t="shared" si="139"/>
        <v>61级蓝护甲道术攻击</v>
      </c>
      <c r="B495" s="4" t="s">
        <v>203</v>
      </c>
      <c r="C495" s="4" t="s">
        <v>118</v>
      </c>
      <c r="D495" s="4">
        <v>61</v>
      </c>
      <c r="E495" s="4" t="s">
        <v>15</v>
      </c>
      <c r="F495" s="4">
        <f>VLOOKUP(E495,基础属性ID!A:B,2,0)</f>
        <v>5</v>
      </c>
      <c r="G495" s="4">
        <f>VLOOKUP(E495,基础属性ID!$A:$E,5,0)</f>
        <v>100</v>
      </c>
      <c r="H495" s="4">
        <v>6</v>
      </c>
      <c r="I495" s="4">
        <f t="shared" si="146"/>
        <v>18</v>
      </c>
      <c r="J495" s="4" t="str">
        <f t="shared" si="136"/>
        <v>5:100:6:18,</v>
      </c>
    </row>
    <row r="496" spans="1:10">
      <c r="A496" s="4" t="str">
        <f t="shared" si="139"/>
        <v>61级蓝护甲防御</v>
      </c>
      <c r="B496" s="4" t="s">
        <v>203</v>
      </c>
      <c r="C496" s="4" t="s">
        <v>118</v>
      </c>
      <c r="D496" s="4">
        <v>61</v>
      </c>
      <c r="E496" s="4" t="s">
        <v>17</v>
      </c>
      <c r="F496" s="4">
        <f>VLOOKUP(E496,基础属性ID!A:B,2,0)</f>
        <v>6</v>
      </c>
      <c r="G496" s="4">
        <f>VLOOKUP(E496,基础属性ID!$A:$E,5,0)</f>
        <v>100</v>
      </c>
      <c r="H496" s="4">
        <v>6</v>
      </c>
      <c r="I496" s="4">
        <f t="shared" si="146"/>
        <v>18</v>
      </c>
      <c r="J496" s="4" t="str">
        <f t="shared" si="136"/>
        <v>6:100:6:18,</v>
      </c>
    </row>
    <row r="497" spans="1:10">
      <c r="A497" s="4" t="str">
        <f t="shared" si="139"/>
        <v>61级蓝护甲攻速</v>
      </c>
      <c r="B497" s="4" t="s">
        <v>203</v>
      </c>
      <c r="C497" s="4" t="s">
        <v>118</v>
      </c>
      <c r="D497" s="4">
        <v>61</v>
      </c>
      <c r="E497" s="4" t="s">
        <v>18</v>
      </c>
      <c r="F497" s="4">
        <f>VLOOKUP(E497,基础属性ID!A:B,2,0)</f>
        <v>7</v>
      </c>
      <c r="G497" s="4">
        <f>VLOOKUP(E497,基础属性ID!$A:$E,5,0)</f>
        <v>20</v>
      </c>
      <c r="H497" s="4">
        <v>1</v>
      </c>
      <c r="I497" s="4">
        <v>1</v>
      </c>
      <c r="J497" s="4" t="str">
        <f t="shared" si="136"/>
        <v>7:20:1:1,</v>
      </c>
    </row>
    <row r="498" spans="1:10">
      <c r="A498" s="4" t="str">
        <f t="shared" si="139"/>
        <v>61级蓝护甲固定伤害</v>
      </c>
      <c r="B498" s="4" t="s">
        <v>203</v>
      </c>
      <c r="C498" s="4" t="s">
        <v>118</v>
      </c>
      <c r="D498" s="4">
        <v>61</v>
      </c>
      <c r="E498" s="4" t="s">
        <v>24</v>
      </c>
      <c r="F498" s="4">
        <f>VLOOKUP(E498,基础属性ID!A:B,2,0)</f>
        <v>9</v>
      </c>
      <c r="G498" s="4">
        <f>VLOOKUP(E498,基础属性ID!$A:$E,5,0)</f>
        <v>50</v>
      </c>
      <c r="H498" s="4">
        <v>5</v>
      </c>
      <c r="I498" s="4">
        <f t="shared" ref="I498:I499" si="147">H498*3</f>
        <v>15</v>
      </c>
      <c r="J498" s="4" t="str">
        <f t="shared" si="136"/>
        <v>9:50:5:15,</v>
      </c>
    </row>
    <row r="499" spans="1:10">
      <c r="A499" s="4" t="str">
        <f t="shared" si="139"/>
        <v>61级蓝护甲固定减伤</v>
      </c>
      <c r="B499" s="4" t="s">
        <v>203</v>
      </c>
      <c r="C499" s="4" t="s">
        <v>118</v>
      </c>
      <c r="D499" s="4">
        <v>61</v>
      </c>
      <c r="E499" s="4" t="s">
        <v>25</v>
      </c>
      <c r="F499" s="4">
        <f>VLOOKUP(E499,基础属性ID!A:B,2,0)</f>
        <v>10</v>
      </c>
      <c r="G499" s="4">
        <f>VLOOKUP(E499,基础属性ID!$A:$E,5,0)</f>
        <v>50</v>
      </c>
      <c r="H499" s="4">
        <v>5</v>
      </c>
      <c r="I499" s="4">
        <f t="shared" si="147"/>
        <v>15</v>
      </c>
      <c r="J499" s="4" t="str">
        <f t="shared" si="136"/>
        <v>10:50:5:15,</v>
      </c>
    </row>
    <row r="500" spans="1:10">
      <c r="A500" s="4" t="str">
        <f t="shared" si="139"/>
        <v>61级蓝护甲生命吸取</v>
      </c>
      <c r="B500" s="4" t="s">
        <v>203</v>
      </c>
      <c r="C500" s="4" t="s">
        <v>118</v>
      </c>
      <c r="D500" s="4">
        <v>61</v>
      </c>
      <c r="E500" s="4" t="s">
        <v>28</v>
      </c>
      <c r="F500" s="4">
        <f>VLOOKUP(E500,基础属性ID!A:B,2,0)</f>
        <v>11</v>
      </c>
      <c r="G500" s="4">
        <f>VLOOKUP(E500,基础属性ID!$A:$E,5,0)</f>
        <v>50</v>
      </c>
      <c r="H500" s="4">
        <v>4</v>
      </c>
      <c r="I500" s="4">
        <f t="shared" ref="I500:I501" si="148">H500*3</f>
        <v>12</v>
      </c>
      <c r="J500" s="4" t="str">
        <f t="shared" si="136"/>
        <v>11:50:4:12,</v>
      </c>
    </row>
    <row r="501" spans="1:10">
      <c r="A501" s="4" t="str">
        <f t="shared" si="139"/>
        <v>61级蓝护甲法力吸取</v>
      </c>
      <c r="B501" s="4" t="s">
        <v>203</v>
      </c>
      <c r="C501" s="4" t="s">
        <v>118</v>
      </c>
      <c r="D501" s="4">
        <v>61</v>
      </c>
      <c r="E501" s="4" t="s">
        <v>29</v>
      </c>
      <c r="F501" s="4">
        <f>VLOOKUP(E501,基础属性ID!A:B,2,0)</f>
        <v>12</v>
      </c>
      <c r="G501" s="4">
        <f>VLOOKUP(E501,基础属性ID!$A:$E,5,0)</f>
        <v>50</v>
      </c>
      <c r="H501" s="4">
        <v>4</v>
      </c>
      <c r="I501" s="4">
        <f t="shared" si="148"/>
        <v>12</v>
      </c>
      <c r="J501" s="4" t="str">
        <f t="shared" si="136"/>
        <v>12:50:4:12,</v>
      </c>
    </row>
    <row r="502" spans="1:10">
      <c r="A502" s="4" t="str">
        <f t="shared" si="139"/>
        <v>61级蓝护甲暴击几率</v>
      </c>
      <c r="B502" s="4" t="s">
        <v>203</v>
      </c>
      <c r="C502" s="4" t="s">
        <v>118</v>
      </c>
      <c r="D502" s="4">
        <v>61</v>
      </c>
      <c r="E502" s="4" t="s">
        <v>21</v>
      </c>
      <c r="F502" s="4">
        <f>VLOOKUP(E502,基础属性ID!A:B,2,0)</f>
        <v>13</v>
      </c>
      <c r="G502" s="4">
        <f>VLOOKUP(E502,基础属性ID!$A:$E,5,0)</f>
        <v>20</v>
      </c>
      <c r="H502" s="4">
        <v>20</v>
      </c>
      <c r="I502" s="4">
        <v>50</v>
      </c>
      <c r="J502" s="4" t="str">
        <f t="shared" ref="J502:J565" si="149">F502&amp;":"&amp;G502&amp;":"&amp;H502&amp;":"&amp;I502&amp;","</f>
        <v>13:20:20:50,</v>
      </c>
    </row>
    <row r="503" spans="1:10">
      <c r="A503" s="4" t="str">
        <f t="shared" si="139"/>
        <v>61级蓝护甲爆击伤害</v>
      </c>
      <c r="B503" s="4" t="s">
        <v>203</v>
      </c>
      <c r="C503" s="4" t="s">
        <v>118</v>
      </c>
      <c r="D503" s="4">
        <v>61</v>
      </c>
      <c r="E503" s="4" t="s">
        <v>76</v>
      </c>
      <c r="F503" s="4">
        <f>VLOOKUP(E503,基础属性ID!A:B,2,0)</f>
        <v>14</v>
      </c>
      <c r="G503" s="4">
        <f>VLOOKUP(E503,基础属性ID!$A:$E,5,0)</f>
        <v>20</v>
      </c>
      <c r="H503" s="4">
        <v>2</v>
      </c>
      <c r="I503" s="4">
        <v>5</v>
      </c>
      <c r="J503" s="4" t="str">
        <f t="shared" si="149"/>
        <v>14:20:2:5,</v>
      </c>
    </row>
    <row r="504" spans="1:10">
      <c r="A504" s="4" t="str">
        <f t="shared" si="139"/>
        <v>61级蓝护甲伤害增加</v>
      </c>
      <c r="B504" s="4" t="s">
        <v>203</v>
      </c>
      <c r="C504" s="4" t="s">
        <v>118</v>
      </c>
      <c r="D504" s="4">
        <v>61</v>
      </c>
      <c r="E504" s="4" t="s">
        <v>26</v>
      </c>
      <c r="F504" s="4">
        <f>VLOOKUP(E504,基础属性ID!A:B,2,0)</f>
        <v>15</v>
      </c>
      <c r="G504" s="4">
        <f>VLOOKUP(E504,基础属性ID!$A:$E,5,0)</f>
        <v>10</v>
      </c>
      <c r="H504" s="4">
        <v>80</v>
      </c>
      <c r="I504" s="4">
        <v>150</v>
      </c>
      <c r="J504" s="4" t="str">
        <f t="shared" si="149"/>
        <v>15:10:80:150,</v>
      </c>
    </row>
    <row r="505" spans="1:10">
      <c r="A505" s="4" t="str">
        <f t="shared" si="139"/>
        <v>61级蓝护甲伤害减免</v>
      </c>
      <c r="B505" s="4" t="s">
        <v>203</v>
      </c>
      <c r="C505" s="4" t="s">
        <v>118</v>
      </c>
      <c r="D505" s="4">
        <v>61</v>
      </c>
      <c r="E505" s="4" t="s">
        <v>27</v>
      </c>
      <c r="F505" s="4">
        <f>VLOOKUP(E505,基础属性ID!A:B,2,0)</f>
        <v>16</v>
      </c>
      <c r="G505" s="4">
        <f>VLOOKUP(E505,基础属性ID!$A:$E,5,0)</f>
        <v>10</v>
      </c>
      <c r="H505" s="4">
        <v>80</v>
      </c>
      <c r="I505" s="4">
        <v>150</v>
      </c>
      <c r="J505" s="4" t="str">
        <f t="shared" si="149"/>
        <v>16:10:80:150,</v>
      </c>
    </row>
    <row r="506" spans="1:10">
      <c r="A506" s="4" t="str">
        <f t="shared" si="139"/>
        <v>61级蓝护甲装备掉率</v>
      </c>
      <c r="B506" s="4" t="s">
        <v>203</v>
      </c>
      <c r="C506" s="4" t="s">
        <v>118</v>
      </c>
      <c r="D506" s="4">
        <v>61</v>
      </c>
      <c r="E506" s="4" t="s">
        <v>30</v>
      </c>
      <c r="F506" s="4">
        <f>VLOOKUP(E506,基础属性ID!A:B,2,0)</f>
        <v>17</v>
      </c>
      <c r="G506" s="4">
        <f>VLOOKUP(E506,基础属性ID!$A:$E,5,0)</f>
        <v>60</v>
      </c>
      <c r="H506" s="4">
        <v>2</v>
      </c>
      <c r="I506" s="4">
        <v>6</v>
      </c>
      <c r="J506" s="4" t="str">
        <f t="shared" si="149"/>
        <v>17:60:2:6,</v>
      </c>
    </row>
    <row r="507" spans="1:10">
      <c r="A507" s="4" t="str">
        <f t="shared" si="139"/>
        <v>61级蓝护甲极品掉率</v>
      </c>
      <c r="B507" s="4" t="s">
        <v>203</v>
      </c>
      <c r="C507" s="4" t="s">
        <v>118</v>
      </c>
      <c r="D507" s="4">
        <v>61</v>
      </c>
      <c r="E507" s="4" t="s">
        <v>31</v>
      </c>
      <c r="F507" s="4">
        <f>VLOOKUP(E507,基础属性ID!A:B,2,0)</f>
        <v>18</v>
      </c>
      <c r="G507" s="4">
        <f>VLOOKUP(E507,基础属性ID!$A:$E,5,0)</f>
        <v>60</v>
      </c>
      <c r="H507" s="4">
        <v>2</v>
      </c>
      <c r="I507" s="4">
        <v>6</v>
      </c>
      <c r="J507" s="4" t="str">
        <f t="shared" si="149"/>
        <v>18:60:2:6,</v>
      </c>
    </row>
    <row r="508" spans="1:10">
      <c r="A508" s="4" t="str">
        <f t="shared" si="139"/>
        <v>21级蓝项链生命值</v>
      </c>
      <c r="B508" s="4" t="s">
        <v>215</v>
      </c>
      <c r="C508" s="4" t="s">
        <v>118</v>
      </c>
      <c r="D508" s="4">
        <v>21</v>
      </c>
      <c r="E508" s="4" t="s">
        <v>74</v>
      </c>
      <c r="F508" s="4">
        <f>VLOOKUP(E508,基础属性ID!A:B,2,0)</f>
        <v>1</v>
      </c>
      <c r="G508" s="4">
        <f>VLOOKUP(E508,基础属性ID!$A:$E,5,0)</f>
        <v>100</v>
      </c>
      <c r="H508" s="4">
        <v>8</v>
      </c>
      <c r="I508" s="4">
        <f>H508*3</f>
        <v>24</v>
      </c>
      <c r="J508" s="4" t="str">
        <f t="shared" si="149"/>
        <v>1:100:8:24,</v>
      </c>
    </row>
    <row r="509" spans="1:10">
      <c r="A509" s="4" t="str">
        <f t="shared" si="139"/>
        <v>21级蓝项链法力值</v>
      </c>
      <c r="B509" s="4" t="s">
        <v>215</v>
      </c>
      <c r="C509" s="4" t="s">
        <v>118</v>
      </c>
      <c r="D509" s="4">
        <v>21</v>
      </c>
      <c r="E509" s="4" t="s">
        <v>75</v>
      </c>
      <c r="F509" s="4">
        <f>VLOOKUP(E509,基础属性ID!A:B,2,0)</f>
        <v>2</v>
      </c>
      <c r="G509" s="4">
        <f>VLOOKUP(E509,基础属性ID!$A:$E,5,0)</f>
        <v>100</v>
      </c>
      <c r="H509" s="4">
        <v>10</v>
      </c>
      <c r="I509" s="4">
        <v>20</v>
      </c>
      <c r="J509" s="4" t="str">
        <f t="shared" si="149"/>
        <v>2:100:10:20,</v>
      </c>
    </row>
    <row r="510" spans="1:10">
      <c r="A510" s="4" t="str">
        <f t="shared" si="139"/>
        <v>21级蓝项链物理攻击</v>
      </c>
      <c r="B510" s="4" t="s">
        <v>215</v>
      </c>
      <c r="C510" s="4" t="s">
        <v>118</v>
      </c>
      <c r="D510" s="4">
        <v>21</v>
      </c>
      <c r="E510" s="4" t="s">
        <v>13</v>
      </c>
      <c r="F510" s="4">
        <f>VLOOKUP(E510,基础属性ID!A:B,2,0)</f>
        <v>3</v>
      </c>
      <c r="G510" s="4">
        <f>VLOOKUP(E510,基础属性ID!$A:$E,5,0)</f>
        <v>100</v>
      </c>
      <c r="H510" s="4">
        <v>3</v>
      </c>
      <c r="I510" s="4">
        <f t="shared" ref="I510:I513" si="150">H510*3</f>
        <v>9</v>
      </c>
      <c r="J510" s="4" t="str">
        <f t="shared" si="149"/>
        <v>3:100:3:9,</v>
      </c>
    </row>
    <row r="511" spans="1:10">
      <c r="A511" s="4" t="str">
        <f t="shared" si="139"/>
        <v>21级蓝项链魔法攻击</v>
      </c>
      <c r="B511" s="4" t="s">
        <v>215</v>
      </c>
      <c r="C511" s="4" t="s">
        <v>118</v>
      </c>
      <c r="D511" s="4">
        <v>21</v>
      </c>
      <c r="E511" s="4" t="s">
        <v>14</v>
      </c>
      <c r="F511" s="4">
        <f>VLOOKUP(E511,基础属性ID!A:B,2,0)</f>
        <v>4</v>
      </c>
      <c r="G511" s="4">
        <f>VLOOKUP(E511,基础属性ID!$A:$E,5,0)</f>
        <v>100</v>
      </c>
      <c r="H511" s="4">
        <v>3</v>
      </c>
      <c r="I511" s="4">
        <f t="shared" si="150"/>
        <v>9</v>
      </c>
      <c r="J511" s="4" t="str">
        <f t="shared" si="149"/>
        <v>4:100:3:9,</v>
      </c>
    </row>
    <row r="512" spans="1:10">
      <c r="A512" s="4" t="str">
        <f t="shared" si="139"/>
        <v>21级蓝项链道术攻击</v>
      </c>
      <c r="B512" s="4" t="s">
        <v>215</v>
      </c>
      <c r="C512" s="4" t="s">
        <v>118</v>
      </c>
      <c r="D512" s="4">
        <v>21</v>
      </c>
      <c r="E512" s="4" t="s">
        <v>15</v>
      </c>
      <c r="F512" s="4">
        <f>VLOOKUP(E512,基础属性ID!A:B,2,0)</f>
        <v>5</v>
      </c>
      <c r="G512" s="4">
        <f>VLOOKUP(E512,基础属性ID!$A:$E,5,0)</f>
        <v>100</v>
      </c>
      <c r="H512" s="4">
        <v>3</v>
      </c>
      <c r="I512" s="4">
        <f t="shared" si="150"/>
        <v>9</v>
      </c>
      <c r="J512" s="4" t="str">
        <f t="shared" si="149"/>
        <v>5:100:3:9,</v>
      </c>
    </row>
    <row r="513" spans="1:10">
      <c r="A513" s="4" t="str">
        <f t="shared" si="139"/>
        <v>21级蓝项链防御</v>
      </c>
      <c r="B513" s="4" t="s">
        <v>215</v>
      </c>
      <c r="C513" s="4" t="s">
        <v>118</v>
      </c>
      <c r="D513" s="4">
        <v>21</v>
      </c>
      <c r="E513" s="4" t="s">
        <v>17</v>
      </c>
      <c r="F513" s="4">
        <f>VLOOKUP(E513,基础属性ID!A:B,2,0)</f>
        <v>6</v>
      </c>
      <c r="G513" s="4">
        <f>VLOOKUP(E513,基础属性ID!$A:$E,5,0)</f>
        <v>100</v>
      </c>
      <c r="H513" s="4">
        <v>3</v>
      </c>
      <c r="I513" s="4">
        <f t="shared" si="150"/>
        <v>9</v>
      </c>
      <c r="J513" s="4" t="str">
        <f t="shared" si="149"/>
        <v>6:100:3:9,</v>
      </c>
    </row>
    <row r="514" spans="1:10">
      <c r="A514" s="4" t="str">
        <f t="shared" si="139"/>
        <v>21级蓝项链攻速</v>
      </c>
      <c r="B514" s="4" t="s">
        <v>215</v>
      </c>
      <c r="C514" s="4" t="s">
        <v>118</v>
      </c>
      <c r="D514" s="4">
        <v>21</v>
      </c>
      <c r="E514" s="4" t="s">
        <v>18</v>
      </c>
      <c r="F514" s="4">
        <f>VLOOKUP(E514,基础属性ID!A:B,2,0)</f>
        <v>7</v>
      </c>
      <c r="G514" s="4">
        <f>VLOOKUP(E514,基础属性ID!$A:$E,5,0)</f>
        <v>20</v>
      </c>
      <c r="H514" s="4">
        <v>1</v>
      </c>
      <c r="I514" s="4">
        <v>1</v>
      </c>
      <c r="J514" s="4" t="str">
        <f t="shared" si="149"/>
        <v>7:20:1:1,</v>
      </c>
    </row>
    <row r="515" spans="1:10">
      <c r="A515" s="4" t="str">
        <f t="shared" ref="A515:A578" si="151">D515&amp;"级"&amp;C515&amp;B515&amp;E515</f>
        <v>21级蓝项链幸运</v>
      </c>
      <c r="B515" s="4" t="s">
        <v>215</v>
      </c>
      <c r="C515" s="4" t="s">
        <v>118</v>
      </c>
      <c r="D515" s="4">
        <v>21</v>
      </c>
      <c r="E515" s="4" t="s">
        <v>19</v>
      </c>
      <c r="F515" s="4">
        <f>VLOOKUP(E515,基础属性ID!A:B,2,0)</f>
        <v>8</v>
      </c>
      <c r="G515" s="4">
        <f>VLOOKUP(E515,基础属性ID!$A:$E,5,0)</f>
        <v>20</v>
      </c>
      <c r="H515" s="4">
        <v>1</v>
      </c>
      <c r="I515" s="4">
        <v>2</v>
      </c>
      <c r="J515" s="4" t="str">
        <f t="shared" si="149"/>
        <v>8:20:1:2,</v>
      </c>
    </row>
    <row r="516" spans="1:10">
      <c r="A516" s="4" t="str">
        <f t="shared" si="151"/>
        <v>21级蓝项链固定伤害</v>
      </c>
      <c r="B516" s="4" t="s">
        <v>215</v>
      </c>
      <c r="C516" s="4" t="s">
        <v>118</v>
      </c>
      <c r="D516" s="4">
        <v>21</v>
      </c>
      <c r="E516" s="4" t="s">
        <v>24</v>
      </c>
      <c r="F516" s="4">
        <f>VLOOKUP(E516,基础属性ID!A:B,2,0)</f>
        <v>9</v>
      </c>
      <c r="G516" s="4">
        <f>VLOOKUP(E516,基础属性ID!$A:$E,5,0)</f>
        <v>50</v>
      </c>
      <c r="H516" s="4">
        <v>3</v>
      </c>
      <c r="I516" s="4">
        <f t="shared" ref="I516:I517" si="152">H516*3</f>
        <v>9</v>
      </c>
      <c r="J516" s="4" t="str">
        <f t="shared" si="149"/>
        <v>9:50:3:9,</v>
      </c>
    </row>
    <row r="517" spans="1:10">
      <c r="A517" s="4" t="str">
        <f t="shared" si="151"/>
        <v>21级蓝项链固定减伤</v>
      </c>
      <c r="B517" s="4" t="s">
        <v>215</v>
      </c>
      <c r="C517" s="4" t="s">
        <v>118</v>
      </c>
      <c r="D517" s="4">
        <v>21</v>
      </c>
      <c r="E517" s="4" t="s">
        <v>25</v>
      </c>
      <c r="F517" s="4">
        <f>VLOOKUP(E517,基础属性ID!A:B,2,0)</f>
        <v>10</v>
      </c>
      <c r="G517" s="4">
        <f>VLOOKUP(E517,基础属性ID!$A:$E,5,0)</f>
        <v>50</v>
      </c>
      <c r="H517" s="4">
        <v>3</v>
      </c>
      <c r="I517" s="4">
        <f t="shared" si="152"/>
        <v>9</v>
      </c>
      <c r="J517" s="4" t="str">
        <f t="shared" si="149"/>
        <v>10:50:3:9,</v>
      </c>
    </row>
    <row r="518" spans="1:10">
      <c r="A518" s="4" t="str">
        <f t="shared" si="151"/>
        <v>21级蓝项链生命吸取</v>
      </c>
      <c r="B518" s="4" t="s">
        <v>215</v>
      </c>
      <c r="C518" s="4" t="s">
        <v>118</v>
      </c>
      <c r="D518" s="4">
        <v>21</v>
      </c>
      <c r="E518" s="4" t="s">
        <v>28</v>
      </c>
      <c r="F518" s="4">
        <f>VLOOKUP(E518,基础属性ID!A:B,2,0)</f>
        <v>11</v>
      </c>
      <c r="G518" s="4">
        <f>VLOOKUP(E518,基础属性ID!$A:$E,5,0)</f>
        <v>50</v>
      </c>
      <c r="H518" s="4">
        <v>1</v>
      </c>
      <c r="I518" s="4">
        <f t="shared" ref="I518:I519" si="153">H518*3</f>
        <v>3</v>
      </c>
      <c r="J518" s="4" t="str">
        <f t="shared" si="149"/>
        <v>11:50:1:3,</v>
      </c>
    </row>
    <row r="519" spans="1:10">
      <c r="A519" s="4" t="str">
        <f t="shared" si="151"/>
        <v>21级蓝项链法力吸取</v>
      </c>
      <c r="B519" s="4" t="s">
        <v>215</v>
      </c>
      <c r="C519" s="4" t="s">
        <v>118</v>
      </c>
      <c r="D519" s="4">
        <v>21</v>
      </c>
      <c r="E519" s="4" t="s">
        <v>29</v>
      </c>
      <c r="F519" s="4">
        <f>VLOOKUP(E519,基础属性ID!A:B,2,0)</f>
        <v>12</v>
      </c>
      <c r="G519" s="4">
        <f>VLOOKUP(E519,基础属性ID!$A:$E,5,0)</f>
        <v>50</v>
      </c>
      <c r="H519" s="4">
        <v>1</v>
      </c>
      <c r="I519" s="4">
        <f t="shared" si="153"/>
        <v>3</v>
      </c>
      <c r="J519" s="4" t="str">
        <f t="shared" si="149"/>
        <v>12:50:1:3,</v>
      </c>
    </row>
    <row r="520" spans="1:10">
      <c r="A520" s="4" t="str">
        <f t="shared" si="151"/>
        <v>21级蓝项链暴击几率</v>
      </c>
      <c r="B520" s="4" t="s">
        <v>215</v>
      </c>
      <c r="C520" s="4" t="s">
        <v>118</v>
      </c>
      <c r="D520" s="4">
        <v>21</v>
      </c>
      <c r="E520" s="4" t="s">
        <v>21</v>
      </c>
      <c r="F520" s="4">
        <f>VLOOKUP(E520,基础属性ID!A:B,2,0)</f>
        <v>13</v>
      </c>
      <c r="G520" s="4">
        <f>VLOOKUP(E520,基础属性ID!$A:$E,5,0)</f>
        <v>20</v>
      </c>
      <c r="H520" s="4">
        <v>20</v>
      </c>
      <c r="I520" s="4">
        <v>50</v>
      </c>
      <c r="J520" s="4" t="str">
        <f t="shared" si="149"/>
        <v>13:20:20:50,</v>
      </c>
    </row>
    <row r="521" spans="1:10">
      <c r="A521" s="4" t="str">
        <f t="shared" si="151"/>
        <v>21级蓝项链爆击伤害</v>
      </c>
      <c r="B521" s="4" t="s">
        <v>215</v>
      </c>
      <c r="C521" s="4" t="s">
        <v>118</v>
      </c>
      <c r="D521" s="4">
        <v>21</v>
      </c>
      <c r="E521" s="4" t="s">
        <v>76</v>
      </c>
      <c r="F521" s="4">
        <f>VLOOKUP(E521,基础属性ID!A:B,2,0)</f>
        <v>14</v>
      </c>
      <c r="G521" s="4">
        <f>VLOOKUP(E521,基础属性ID!$A:$E,5,0)</f>
        <v>20</v>
      </c>
      <c r="H521" s="4">
        <v>2</v>
      </c>
      <c r="I521" s="4">
        <v>5</v>
      </c>
      <c r="J521" s="4" t="str">
        <f t="shared" si="149"/>
        <v>14:20:2:5,</v>
      </c>
    </row>
    <row r="522" spans="1:10">
      <c r="A522" s="4" t="str">
        <f t="shared" si="151"/>
        <v>21级蓝项链伤害增加</v>
      </c>
      <c r="B522" s="4" t="s">
        <v>215</v>
      </c>
      <c r="C522" s="4" t="s">
        <v>118</v>
      </c>
      <c r="D522" s="4">
        <v>21</v>
      </c>
      <c r="E522" s="4" t="s">
        <v>26</v>
      </c>
      <c r="F522" s="4">
        <f>VLOOKUP(E522,基础属性ID!A:B,2,0)</f>
        <v>15</v>
      </c>
      <c r="G522" s="4">
        <f>VLOOKUP(E522,基础属性ID!$A:$E,5,0)</f>
        <v>10</v>
      </c>
      <c r="H522" s="4">
        <v>80</v>
      </c>
      <c r="I522" s="4">
        <v>150</v>
      </c>
      <c r="J522" s="4" t="str">
        <f t="shared" si="149"/>
        <v>15:10:80:150,</v>
      </c>
    </row>
    <row r="523" spans="1:10">
      <c r="A523" s="4" t="str">
        <f t="shared" si="151"/>
        <v>21级蓝项链伤害减免</v>
      </c>
      <c r="B523" s="4" t="s">
        <v>215</v>
      </c>
      <c r="C523" s="4" t="s">
        <v>118</v>
      </c>
      <c r="D523" s="4">
        <v>21</v>
      </c>
      <c r="E523" s="4" t="s">
        <v>27</v>
      </c>
      <c r="F523" s="4">
        <f>VLOOKUP(E523,基础属性ID!A:B,2,0)</f>
        <v>16</v>
      </c>
      <c r="G523" s="4">
        <f>VLOOKUP(E523,基础属性ID!$A:$E,5,0)</f>
        <v>10</v>
      </c>
      <c r="H523" s="4">
        <v>80</v>
      </c>
      <c r="I523" s="4">
        <v>150</v>
      </c>
      <c r="J523" s="4" t="str">
        <f t="shared" si="149"/>
        <v>16:10:80:150,</v>
      </c>
    </row>
    <row r="524" spans="1:10">
      <c r="A524" s="4" t="str">
        <f t="shared" si="151"/>
        <v>21级蓝项链装备掉率</v>
      </c>
      <c r="B524" s="4" t="s">
        <v>215</v>
      </c>
      <c r="C524" s="4" t="s">
        <v>118</v>
      </c>
      <c r="D524" s="4">
        <v>21</v>
      </c>
      <c r="E524" s="4" t="s">
        <v>30</v>
      </c>
      <c r="F524" s="4">
        <f>VLOOKUP(E524,基础属性ID!A:B,2,0)</f>
        <v>17</v>
      </c>
      <c r="G524" s="4">
        <f>VLOOKUP(E524,基础属性ID!$A:$E,5,0)</f>
        <v>60</v>
      </c>
      <c r="H524" s="4">
        <v>2</v>
      </c>
      <c r="I524" s="4">
        <v>6</v>
      </c>
      <c r="J524" s="4" t="str">
        <f t="shared" si="149"/>
        <v>17:60:2:6,</v>
      </c>
    </row>
    <row r="525" spans="1:10">
      <c r="A525" s="4" t="str">
        <f t="shared" si="151"/>
        <v>21级蓝项链极品掉率</v>
      </c>
      <c r="B525" s="4" t="s">
        <v>215</v>
      </c>
      <c r="C525" s="4" t="s">
        <v>118</v>
      </c>
      <c r="D525" s="4">
        <v>21</v>
      </c>
      <c r="E525" s="4" t="s">
        <v>31</v>
      </c>
      <c r="F525" s="4">
        <f>VLOOKUP(E525,基础属性ID!A:B,2,0)</f>
        <v>18</v>
      </c>
      <c r="G525" s="4">
        <f>VLOOKUP(E525,基础属性ID!$A:$E,5,0)</f>
        <v>60</v>
      </c>
      <c r="H525" s="4">
        <v>2</v>
      </c>
      <c r="I525" s="4">
        <v>6</v>
      </c>
      <c r="J525" s="4" t="str">
        <f t="shared" si="149"/>
        <v>18:60:2:6,</v>
      </c>
    </row>
    <row r="526" spans="1:10">
      <c r="A526" s="4" t="str">
        <f t="shared" si="151"/>
        <v>41级蓝项链生命值</v>
      </c>
      <c r="B526" s="4" t="s">
        <v>215</v>
      </c>
      <c r="C526" s="4" t="s">
        <v>118</v>
      </c>
      <c r="D526" s="4">
        <v>41</v>
      </c>
      <c r="E526" s="4" t="s">
        <v>74</v>
      </c>
      <c r="F526" s="4">
        <f>VLOOKUP(E526,基础属性ID!A:B,2,0)</f>
        <v>1</v>
      </c>
      <c r="G526" s="4">
        <f>VLOOKUP(E526,基础属性ID!$A:$E,5,0)</f>
        <v>100</v>
      </c>
      <c r="H526" s="4">
        <v>15</v>
      </c>
      <c r="I526" s="4">
        <f>H526*3</f>
        <v>45</v>
      </c>
      <c r="J526" s="4" t="str">
        <f t="shared" si="149"/>
        <v>1:100:15:45,</v>
      </c>
    </row>
    <row r="527" spans="1:10">
      <c r="A527" s="4" t="str">
        <f t="shared" si="151"/>
        <v>41级蓝项链法力值</v>
      </c>
      <c r="B527" s="4" t="s">
        <v>215</v>
      </c>
      <c r="C527" s="4" t="s">
        <v>118</v>
      </c>
      <c r="D527" s="4">
        <v>41</v>
      </c>
      <c r="E527" s="4" t="s">
        <v>75</v>
      </c>
      <c r="F527" s="4">
        <f>VLOOKUP(E527,基础属性ID!A:B,2,0)</f>
        <v>2</v>
      </c>
      <c r="G527" s="4">
        <f>VLOOKUP(E527,基础属性ID!$A:$E,5,0)</f>
        <v>100</v>
      </c>
      <c r="H527" s="4">
        <v>4</v>
      </c>
      <c r="I527" s="4">
        <v>10</v>
      </c>
      <c r="J527" s="4" t="str">
        <f t="shared" si="149"/>
        <v>2:100:4:10,</v>
      </c>
    </row>
    <row r="528" spans="1:10">
      <c r="A528" s="4" t="str">
        <f t="shared" si="151"/>
        <v>41级蓝项链物理攻击</v>
      </c>
      <c r="B528" s="4" t="s">
        <v>215</v>
      </c>
      <c r="C528" s="4" t="s">
        <v>118</v>
      </c>
      <c r="D528" s="4">
        <v>41</v>
      </c>
      <c r="E528" s="4" t="s">
        <v>13</v>
      </c>
      <c r="F528" s="4">
        <f>VLOOKUP(E528,基础属性ID!A:B,2,0)</f>
        <v>3</v>
      </c>
      <c r="G528" s="4">
        <f>VLOOKUP(E528,基础属性ID!$A:$E,5,0)</f>
        <v>100</v>
      </c>
      <c r="H528" s="4">
        <v>4</v>
      </c>
      <c r="I528" s="4">
        <f t="shared" ref="I528:I531" si="154">H528*3</f>
        <v>12</v>
      </c>
      <c r="J528" s="4" t="str">
        <f t="shared" si="149"/>
        <v>3:100:4:12,</v>
      </c>
    </row>
    <row r="529" spans="1:10">
      <c r="A529" s="4" t="str">
        <f t="shared" si="151"/>
        <v>41级蓝项链魔法攻击</v>
      </c>
      <c r="B529" s="4" t="s">
        <v>215</v>
      </c>
      <c r="C529" s="4" t="s">
        <v>118</v>
      </c>
      <c r="D529" s="4">
        <v>41</v>
      </c>
      <c r="E529" s="4" t="s">
        <v>14</v>
      </c>
      <c r="F529" s="4">
        <f>VLOOKUP(E529,基础属性ID!A:B,2,0)</f>
        <v>4</v>
      </c>
      <c r="G529" s="4">
        <f>VLOOKUP(E529,基础属性ID!$A:$E,5,0)</f>
        <v>100</v>
      </c>
      <c r="H529" s="4">
        <v>4</v>
      </c>
      <c r="I529" s="4">
        <f t="shared" si="154"/>
        <v>12</v>
      </c>
      <c r="J529" s="4" t="str">
        <f t="shared" si="149"/>
        <v>4:100:4:12,</v>
      </c>
    </row>
    <row r="530" spans="1:10">
      <c r="A530" s="4" t="str">
        <f t="shared" si="151"/>
        <v>41级蓝项链道术攻击</v>
      </c>
      <c r="B530" s="4" t="s">
        <v>215</v>
      </c>
      <c r="C530" s="4" t="s">
        <v>118</v>
      </c>
      <c r="D530" s="4">
        <v>41</v>
      </c>
      <c r="E530" s="4" t="s">
        <v>15</v>
      </c>
      <c r="F530" s="4">
        <f>VLOOKUP(E530,基础属性ID!A:B,2,0)</f>
        <v>5</v>
      </c>
      <c r="G530" s="4">
        <f>VLOOKUP(E530,基础属性ID!$A:$E,5,0)</f>
        <v>100</v>
      </c>
      <c r="H530" s="4">
        <v>4</v>
      </c>
      <c r="I530" s="4">
        <f t="shared" si="154"/>
        <v>12</v>
      </c>
      <c r="J530" s="4" t="str">
        <f t="shared" si="149"/>
        <v>5:100:4:12,</v>
      </c>
    </row>
    <row r="531" spans="1:10">
      <c r="A531" s="4" t="str">
        <f t="shared" si="151"/>
        <v>41级蓝项链防御</v>
      </c>
      <c r="B531" s="4" t="s">
        <v>215</v>
      </c>
      <c r="C531" s="4" t="s">
        <v>118</v>
      </c>
      <c r="D531" s="4">
        <v>41</v>
      </c>
      <c r="E531" s="4" t="s">
        <v>17</v>
      </c>
      <c r="F531" s="4">
        <f>VLOOKUP(E531,基础属性ID!A:B,2,0)</f>
        <v>6</v>
      </c>
      <c r="G531" s="4">
        <f>VLOOKUP(E531,基础属性ID!$A:$E,5,0)</f>
        <v>100</v>
      </c>
      <c r="H531" s="4">
        <v>4</v>
      </c>
      <c r="I531" s="4">
        <f t="shared" si="154"/>
        <v>12</v>
      </c>
      <c r="J531" s="4" t="str">
        <f t="shared" si="149"/>
        <v>6:100:4:12,</v>
      </c>
    </row>
    <row r="532" spans="1:10">
      <c r="A532" s="4" t="str">
        <f t="shared" si="151"/>
        <v>41级蓝项链攻速</v>
      </c>
      <c r="B532" s="4" t="s">
        <v>215</v>
      </c>
      <c r="C532" s="4" t="s">
        <v>118</v>
      </c>
      <c r="D532" s="4">
        <v>41</v>
      </c>
      <c r="E532" s="4" t="s">
        <v>18</v>
      </c>
      <c r="F532" s="4">
        <f>VLOOKUP(E532,基础属性ID!A:B,2,0)</f>
        <v>7</v>
      </c>
      <c r="G532" s="4">
        <f>VLOOKUP(E532,基础属性ID!$A:$E,5,0)</f>
        <v>20</v>
      </c>
      <c r="H532" s="4">
        <v>1</v>
      </c>
      <c r="I532" s="4">
        <v>1</v>
      </c>
      <c r="J532" s="4" t="str">
        <f t="shared" si="149"/>
        <v>7:20:1:1,</v>
      </c>
    </row>
    <row r="533" spans="1:10">
      <c r="A533" s="4" t="str">
        <f t="shared" si="151"/>
        <v>41级蓝项链幸运</v>
      </c>
      <c r="B533" s="4" t="s">
        <v>215</v>
      </c>
      <c r="C533" s="4" t="s">
        <v>118</v>
      </c>
      <c r="D533" s="4">
        <v>41</v>
      </c>
      <c r="E533" s="4" t="s">
        <v>19</v>
      </c>
      <c r="F533" s="4">
        <f>VLOOKUP(E533,基础属性ID!A:B,2,0)</f>
        <v>8</v>
      </c>
      <c r="G533" s="4">
        <f>VLOOKUP(E533,基础属性ID!$A:$E,5,0)</f>
        <v>20</v>
      </c>
      <c r="H533" s="4">
        <v>1</v>
      </c>
      <c r="I533" s="4">
        <v>2</v>
      </c>
      <c r="J533" s="4" t="str">
        <f t="shared" si="149"/>
        <v>8:20:1:2,</v>
      </c>
    </row>
    <row r="534" spans="1:10">
      <c r="A534" s="4" t="str">
        <f t="shared" si="151"/>
        <v>41级蓝项链固定伤害</v>
      </c>
      <c r="B534" s="4" t="s">
        <v>215</v>
      </c>
      <c r="C534" s="4" t="s">
        <v>118</v>
      </c>
      <c r="D534" s="4">
        <v>41</v>
      </c>
      <c r="E534" s="4" t="s">
        <v>24</v>
      </c>
      <c r="F534" s="4">
        <f>VLOOKUP(E534,基础属性ID!A:B,2,0)</f>
        <v>9</v>
      </c>
      <c r="G534" s="4">
        <f>VLOOKUP(E534,基础属性ID!$A:$E,5,0)</f>
        <v>50</v>
      </c>
      <c r="H534" s="4">
        <v>4</v>
      </c>
      <c r="I534" s="4">
        <f t="shared" ref="I534:I535" si="155">H534*3</f>
        <v>12</v>
      </c>
      <c r="J534" s="4" t="str">
        <f t="shared" si="149"/>
        <v>9:50:4:12,</v>
      </c>
    </row>
    <row r="535" spans="1:10">
      <c r="A535" s="4" t="str">
        <f t="shared" si="151"/>
        <v>41级蓝项链固定减伤</v>
      </c>
      <c r="B535" s="4" t="s">
        <v>215</v>
      </c>
      <c r="C535" s="4" t="s">
        <v>118</v>
      </c>
      <c r="D535" s="4">
        <v>41</v>
      </c>
      <c r="E535" s="4" t="s">
        <v>25</v>
      </c>
      <c r="F535" s="4">
        <f>VLOOKUP(E535,基础属性ID!A:B,2,0)</f>
        <v>10</v>
      </c>
      <c r="G535" s="4">
        <f>VLOOKUP(E535,基础属性ID!$A:$E,5,0)</f>
        <v>50</v>
      </c>
      <c r="H535" s="4">
        <v>4</v>
      </c>
      <c r="I535" s="4">
        <f t="shared" si="155"/>
        <v>12</v>
      </c>
      <c r="J535" s="4" t="str">
        <f t="shared" si="149"/>
        <v>10:50:4:12,</v>
      </c>
    </row>
    <row r="536" spans="1:10">
      <c r="A536" s="4" t="str">
        <f t="shared" si="151"/>
        <v>41级蓝项链生命吸取</v>
      </c>
      <c r="B536" s="4" t="s">
        <v>215</v>
      </c>
      <c r="C536" s="4" t="s">
        <v>118</v>
      </c>
      <c r="D536" s="4">
        <v>41</v>
      </c>
      <c r="E536" s="4" t="s">
        <v>28</v>
      </c>
      <c r="F536" s="4">
        <f>VLOOKUP(E536,基础属性ID!A:B,2,0)</f>
        <v>11</v>
      </c>
      <c r="G536" s="4">
        <f>VLOOKUP(E536,基础属性ID!$A:$E,5,0)</f>
        <v>50</v>
      </c>
      <c r="H536" s="4">
        <v>2</v>
      </c>
      <c r="I536" s="4">
        <f t="shared" ref="I536:I537" si="156">H536*3</f>
        <v>6</v>
      </c>
      <c r="J536" s="4" t="str">
        <f t="shared" si="149"/>
        <v>11:50:2:6,</v>
      </c>
    </row>
    <row r="537" spans="1:10">
      <c r="A537" s="4" t="str">
        <f t="shared" si="151"/>
        <v>41级蓝项链法力吸取</v>
      </c>
      <c r="B537" s="4" t="s">
        <v>215</v>
      </c>
      <c r="C537" s="4" t="s">
        <v>118</v>
      </c>
      <c r="D537" s="4">
        <v>41</v>
      </c>
      <c r="E537" s="4" t="s">
        <v>29</v>
      </c>
      <c r="F537" s="4">
        <f>VLOOKUP(E537,基础属性ID!A:B,2,0)</f>
        <v>12</v>
      </c>
      <c r="G537" s="4">
        <f>VLOOKUP(E537,基础属性ID!$A:$E,5,0)</f>
        <v>50</v>
      </c>
      <c r="H537" s="4">
        <v>2</v>
      </c>
      <c r="I537" s="4">
        <f t="shared" si="156"/>
        <v>6</v>
      </c>
      <c r="J537" s="4" t="str">
        <f t="shared" si="149"/>
        <v>12:50:2:6,</v>
      </c>
    </row>
    <row r="538" spans="1:10">
      <c r="A538" s="4" t="str">
        <f t="shared" si="151"/>
        <v>41级蓝项链暴击几率</v>
      </c>
      <c r="B538" s="4" t="s">
        <v>215</v>
      </c>
      <c r="C538" s="4" t="s">
        <v>118</v>
      </c>
      <c r="D538" s="4">
        <v>41</v>
      </c>
      <c r="E538" s="4" t="s">
        <v>21</v>
      </c>
      <c r="F538" s="4">
        <f>VLOOKUP(E538,基础属性ID!A:B,2,0)</f>
        <v>13</v>
      </c>
      <c r="G538" s="4">
        <f>VLOOKUP(E538,基础属性ID!$A:$E,5,0)</f>
        <v>20</v>
      </c>
      <c r="H538" s="4">
        <v>20</v>
      </c>
      <c r="I538" s="4">
        <v>50</v>
      </c>
      <c r="J538" s="4" t="str">
        <f t="shared" si="149"/>
        <v>13:20:20:50,</v>
      </c>
    </row>
    <row r="539" spans="1:10">
      <c r="A539" s="4" t="str">
        <f t="shared" si="151"/>
        <v>41级蓝项链爆击伤害</v>
      </c>
      <c r="B539" s="4" t="s">
        <v>215</v>
      </c>
      <c r="C539" s="4" t="s">
        <v>118</v>
      </c>
      <c r="D539" s="4">
        <v>41</v>
      </c>
      <c r="E539" s="4" t="s">
        <v>76</v>
      </c>
      <c r="F539" s="4">
        <f>VLOOKUP(E539,基础属性ID!A:B,2,0)</f>
        <v>14</v>
      </c>
      <c r="G539" s="4">
        <f>VLOOKUP(E539,基础属性ID!$A:$E,5,0)</f>
        <v>20</v>
      </c>
      <c r="H539" s="4">
        <v>2</v>
      </c>
      <c r="I539" s="4">
        <v>5</v>
      </c>
      <c r="J539" s="4" t="str">
        <f t="shared" si="149"/>
        <v>14:20:2:5,</v>
      </c>
    </row>
    <row r="540" spans="1:10">
      <c r="A540" s="4" t="str">
        <f t="shared" si="151"/>
        <v>41级蓝项链伤害增加</v>
      </c>
      <c r="B540" s="4" t="s">
        <v>215</v>
      </c>
      <c r="C540" s="4" t="s">
        <v>118</v>
      </c>
      <c r="D540" s="4">
        <v>41</v>
      </c>
      <c r="E540" s="4" t="s">
        <v>26</v>
      </c>
      <c r="F540" s="4">
        <f>VLOOKUP(E540,基础属性ID!A:B,2,0)</f>
        <v>15</v>
      </c>
      <c r="G540" s="4">
        <f>VLOOKUP(E540,基础属性ID!$A:$E,5,0)</f>
        <v>10</v>
      </c>
      <c r="H540" s="4">
        <v>80</v>
      </c>
      <c r="I540" s="4">
        <v>150</v>
      </c>
      <c r="J540" s="4" t="str">
        <f t="shared" si="149"/>
        <v>15:10:80:150,</v>
      </c>
    </row>
    <row r="541" spans="1:10">
      <c r="A541" s="4" t="str">
        <f t="shared" si="151"/>
        <v>41级蓝项链伤害减免</v>
      </c>
      <c r="B541" s="4" t="s">
        <v>215</v>
      </c>
      <c r="C541" s="4" t="s">
        <v>118</v>
      </c>
      <c r="D541" s="4">
        <v>41</v>
      </c>
      <c r="E541" s="4" t="s">
        <v>27</v>
      </c>
      <c r="F541" s="4">
        <f>VLOOKUP(E541,基础属性ID!A:B,2,0)</f>
        <v>16</v>
      </c>
      <c r="G541" s="4">
        <f>VLOOKUP(E541,基础属性ID!$A:$E,5,0)</f>
        <v>10</v>
      </c>
      <c r="H541" s="4">
        <v>80</v>
      </c>
      <c r="I541" s="4">
        <v>150</v>
      </c>
      <c r="J541" s="4" t="str">
        <f t="shared" si="149"/>
        <v>16:10:80:150,</v>
      </c>
    </row>
    <row r="542" spans="1:10">
      <c r="A542" s="4" t="str">
        <f t="shared" si="151"/>
        <v>41级蓝项链装备掉率</v>
      </c>
      <c r="B542" s="4" t="s">
        <v>215</v>
      </c>
      <c r="C542" s="4" t="s">
        <v>118</v>
      </c>
      <c r="D542" s="4">
        <v>41</v>
      </c>
      <c r="E542" s="4" t="s">
        <v>30</v>
      </c>
      <c r="F542" s="4">
        <f>VLOOKUP(E542,基础属性ID!A:B,2,0)</f>
        <v>17</v>
      </c>
      <c r="G542" s="4">
        <f>VLOOKUP(E542,基础属性ID!$A:$E,5,0)</f>
        <v>60</v>
      </c>
      <c r="H542" s="4">
        <v>2</v>
      </c>
      <c r="I542" s="4">
        <v>6</v>
      </c>
      <c r="J542" s="4" t="str">
        <f t="shared" si="149"/>
        <v>17:60:2:6,</v>
      </c>
    </row>
    <row r="543" spans="1:10">
      <c r="A543" s="4" t="str">
        <f t="shared" si="151"/>
        <v>41级蓝项链极品掉率</v>
      </c>
      <c r="B543" s="4" t="s">
        <v>215</v>
      </c>
      <c r="C543" s="4" t="s">
        <v>118</v>
      </c>
      <c r="D543" s="4">
        <v>41</v>
      </c>
      <c r="E543" s="4" t="s">
        <v>31</v>
      </c>
      <c r="F543" s="4">
        <f>VLOOKUP(E543,基础属性ID!A:B,2,0)</f>
        <v>18</v>
      </c>
      <c r="G543" s="4">
        <f>VLOOKUP(E543,基础属性ID!$A:$E,5,0)</f>
        <v>60</v>
      </c>
      <c r="H543" s="4">
        <v>2</v>
      </c>
      <c r="I543" s="4">
        <v>6</v>
      </c>
      <c r="J543" s="4" t="str">
        <f t="shared" si="149"/>
        <v>18:60:2:6,</v>
      </c>
    </row>
    <row r="544" spans="1:10">
      <c r="A544" s="4" t="str">
        <f t="shared" si="151"/>
        <v>61级蓝项链生命值</v>
      </c>
      <c r="B544" s="4" t="s">
        <v>215</v>
      </c>
      <c r="C544" s="4" t="s">
        <v>118</v>
      </c>
      <c r="D544" s="4">
        <v>61</v>
      </c>
      <c r="E544" s="4" t="s">
        <v>74</v>
      </c>
      <c r="F544" s="4">
        <f>VLOOKUP(E544,基础属性ID!A:B,2,0)</f>
        <v>1</v>
      </c>
      <c r="G544" s="4">
        <f>VLOOKUP(E544,基础属性ID!$A:$E,5,0)</f>
        <v>100</v>
      </c>
      <c r="H544" s="4">
        <v>20</v>
      </c>
      <c r="I544" s="4">
        <f>H544*3</f>
        <v>60</v>
      </c>
      <c r="J544" s="4" t="str">
        <f t="shared" si="149"/>
        <v>1:100:20:60,</v>
      </c>
    </row>
    <row r="545" spans="1:10">
      <c r="A545" s="4" t="str">
        <f t="shared" si="151"/>
        <v>61级蓝项链法力值</v>
      </c>
      <c r="B545" s="4" t="s">
        <v>215</v>
      </c>
      <c r="C545" s="4" t="s">
        <v>118</v>
      </c>
      <c r="D545" s="4">
        <v>61</v>
      </c>
      <c r="E545" s="4" t="s">
        <v>75</v>
      </c>
      <c r="F545" s="4">
        <f>VLOOKUP(E545,基础属性ID!A:B,2,0)</f>
        <v>2</v>
      </c>
      <c r="G545" s="4">
        <f>VLOOKUP(E545,基础属性ID!$A:$E,5,0)</f>
        <v>100</v>
      </c>
      <c r="H545" s="4">
        <v>6</v>
      </c>
      <c r="I545" s="4">
        <v>12</v>
      </c>
      <c r="J545" s="4" t="str">
        <f t="shared" si="149"/>
        <v>2:100:6:12,</v>
      </c>
    </row>
    <row r="546" spans="1:10">
      <c r="A546" s="4" t="str">
        <f t="shared" si="151"/>
        <v>61级蓝项链物理攻击</v>
      </c>
      <c r="B546" s="4" t="s">
        <v>215</v>
      </c>
      <c r="C546" s="4" t="s">
        <v>118</v>
      </c>
      <c r="D546" s="4">
        <v>61</v>
      </c>
      <c r="E546" s="4" t="s">
        <v>13</v>
      </c>
      <c r="F546" s="4">
        <f>VLOOKUP(E546,基础属性ID!A:B,2,0)</f>
        <v>3</v>
      </c>
      <c r="G546" s="4">
        <f>VLOOKUP(E546,基础属性ID!$A:$E,5,0)</f>
        <v>100</v>
      </c>
      <c r="H546" s="4">
        <v>6</v>
      </c>
      <c r="I546" s="4">
        <f t="shared" ref="I546:I549" si="157">H546*3</f>
        <v>18</v>
      </c>
      <c r="J546" s="4" t="str">
        <f t="shared" si="149"/>
        <v>3:100:6:18,</v>
      </c>
    </row>
    <row r="547" spans="1:10">
      <c r="A547" s="4" t="str">
        <f t="shared" si="151"/>
        <v>61级蓝项链魔法攻击</v>
      </c>
      <c r="B547" s="4" t="s">
        <v>215</v>
      </c>
      <c r="C547" s="4" t="s">
        <v>118</v>
      </c>
      <c r="D547" s="4">
        <v>61</v>
      </c>
      <c r="E547" s="4" t="s">
        <v>14</v>
      </c>
      <c r="F547" s="4">
        <f>VLOOKUP(E547,基础属性ID!A:B,2,0)</f>
        <v>4</v>
      </c>
      <c r="G547" s="4">
        <f>VLOOKUP(E547,基础属性ID!$A:$E,5,0)</f>
        <v>100</v>
      </c>
      <c r="H547" s="4">
        <v>6</v>
      </c>
      <c r="I547" s="4">
        <f t="shared" si="157"/>
        <v>18</v>
      </c>
      <c r="J547" s="4" t="str">
        <f t="shared" si="149"/>
        <v>4:100:6:18,</v>
      </c>
    </row>
    <row r="548" spans="1:10">
      <c r="A548" s="4" t="str">
        <f t="shared" si="151"/>
        <v>61级蓝项链道术攻击</v>
      </c>
      <c r="B548" s="4" t="s">
        <v>215</v>
      </c>
      <c r="C548" s="4" t="s">
        <v>118</v>
      </c>
      <c r="D548" s="4">
        <v>61</v>
      </c>
      <c r="E548" s="4" t="s">
        <v>15</v>
      </c>
      <c r="F548" s="4">
        <f>VLOOKUP(E548,基础属性ID!A:B,2,0)</f>
        <v>5</v>
      </c>
      <c r="G548" s="4">
        <f>VLOOKUP(E548,基础属性ID!$A:$E,5,0)</f>
        <v>100</v>
      </c>
      <c r="H548" s="4">
        <v>6</v>
      </c>
      <c r="I548" s="4">
        <f t="shared" si="157"/>
        <v>18</v>
      </c>
      <c r="J548" s="4" t="str">
        <f t="shared" si="149"/>
        <v>5:100:6:18,</v>
      </c>
    </row>
    <row r="549" spans="1:10">
      <c r="A549" s="4" t="str">
        <f t="shared" si="151"/>
        <v>61级蓝项链防御</v>
      </c>
      <c r="B549" s="4" t="s">
        <v>215</v>
      </c>
      <c r="C549" s="4" t="s">
        <v>118</v>
      </c>
      <c r="D549" s="4">
        <v>61</v>
      </c>
      <c r="E549" s="4" t="s">
        <v>17</v>
      </c>
      <c r="F549" s="4">
        <f>VLOOKUP(E549,基础属性ID!A:B,2,0)</f>
        <v>6</v>
      </c>
      <c r="G549" s="4">
        <f>VLOOKUP(E549,基础属性ID!$A:$E,5,0)</f>
        <v>100</v>
      </c>
      <c r="H549" s="4">
        <v>6</v>
      </c>
      <c r="I549" s="4">
        <f t="shared" si="157"/>
        <v>18</v>
      </c>
      <c r="J549" s="4" t="str">
        <f t="shared" si="149"/>
        <v>6:100:6:18,</v>
      </c>
    </row>
    <row r="550" spans="1:10">
      <c r="A550" s="4" t="str">
        <f t="shared" si="151"/>
        <v>61级蓝项链攻速</v>
      </c>
      <c r="B550" s="4" t="s">
        <v>215</v>
      </c>
      <c r="C550" s="4" t="s">
        <v>118</v>
      </c>
      <c r="D550" s="4">
        <v>61</v>
      </c>
      <c r="E550" s="4" t="s">
        <v>18</v>
      </c>
      <c r="F550" s="4">
        <f>VLOOKUP(E550,基础属性ID!A:B,2,0)</f>
        <v>7</v>
      </c>
      <c r="G550" s="4">
        <f>VLOOKUP(E550,基础属性ID!$A:$E,5,0)</f>
        <v>20</v>
      </c>
      <c r="H550" s="4">
        <v>1</v>
      </c>
      <c r="I550" s="4">
        <v>1</v>
      </c>
      <c r="J550" s="4" t="str">
        <f t="shared" si="149"/>
        <v>7:20:1:1,</v>
      </c>
    </row>
    <row r="551" spans="1:10">
      <c r="A551" s="4" t="str">
        <f t="shared" si="151"/>
        <v>61级蓝项链幸运</v>
      </c>
      <c r="B551" s="4" t="s">
        <v>215</v>
      </c>
      <c r="C551" s="4" t="s">
        <v>118</v>
      </c>
      <c r="D551" s="4">
        <v>61</v>
      </c>
      <c r="E551" s="4" t="s">
        <v>19</v>
      </c>
      <c r="F551" s="4">
        <f>VLOOKUP(E551,基础属性ID!A:B,2,0)</f>
        <v>8</v>
      </c>
      <c r="G551" s="4">
        <f>VLOOKUP(E551,基础属性ID!$A:$E,5,0)</f>
        <v>20</v>
      </c>
      <c r="H551" s="4">
        <v>1</v>
      </c>
      <c r="I551" s="4">
        <v>2</v>
      </c>
      <c r="J551" s="4" t="str">
        <f t="shared" si="149"/>
        <v>8:20:1:2,</v>
      </c>
    </row>
    <row r="552" spans="1:10">
      <c r="A552" s="4" t="str">
        <f t="shared" si="151"/>
        <v>61级蓝项链固定伤害</v>
      </c>
      <c r="B552" s="4" t="s">
        <v>215</v>
      </c>
      <c r="C552" s="4" t="s">
        <v>118</v>
      </c>
      <c r="D552" s="4">
        <v>61</v>
      </c>
      <c r="E552" s="4" t="s">
        <v>24</v>
      </c>
      <c r="F552" s="4">
        <f>VLOOKUP(E552,基础属性ID!A:B,2,0)</f>
        <v>9</v>
      </c>
      <c r="G552" s="4">
        <f>VLOOKUP(E552,基础属性ID!$A:$E,5,0)</f>
        <v>50</v>
      </c>
      <c r="H552" s="4">
        <v>5</v>
      </c>
      <c r="I552" s="4">
        <f t="shared" ref="I552:I553" si="158">H552*3</f>
        <v>15</v>
      </c>
      <c r="J552" s="4" t="str">
        <f t="shared" si="149"/>
        <v>9:50:5:15,</v>
      </c>
    </row>
    <row r="553" spans="1:10">
      <c r="A553" s="4" t="str">
        <f t="shared" si="151"/>
        <v>61级蓝项链固定减伤</v>
      </c>
      <c r="B553" s="4" t="s">
        <v>215</v>
      </c>
      <c r="C553" s="4" t="s">
        <v>118</v>
      </c>
      <c r="D553" s="4">
        <v>61</v>
      </c>
      <c r="E553" s="4" t="s">
        <v>25</v>
      </c>
      <c r="F553" s="4">
        <f>VLOOKUP(E553,基础属性ID!A:B,2,0)</f>
        <v>10</v>
      </c>
      <c r="G553" s="4">
        <f>VLOOKUP(E553,基础属性ID!$A:$E,5,0)</f>
        <v>50</v>
      </c>
      <c r="H553" s="4">
        <v>5</v>
      </c>
      <c r="I553" s="4">
        <f t="shared" si="158"/>
        <v>15</v>
      </c>
      <c r="J553" s="4" t="str">
        <f t="shared" si="149"/>
        <v>10:50:5:15,</v>
      </c>
    </row>
    <row r="554" spans="1:10">
      <c r="A554" s="4" t="str">
        <f t="shared" si="151"/>
        <v>61级蓝项链生命吸取</v>
      </c>
      <c r="B554" s="4" t="s">
        <v>215</v>
      </c>
      <c r="C554" s="4" t="s">
        <v>118</v>
      </c>
      <c r="D554" s="4">
        <v>61</v>
      </c>
      <c r="E554" s="4" t="s">
        <v>28</v>
      </c>
      <c r="F554" s="4">
        <f>VLOOKUP(E554,基础属性ID!A:B,2,0)</f>
        <v>11</v>
      </c>
      <c r="G554" s="4">
        <f>VLOOKUP(E554,基础属性ID!$A:$E,5,0)</f>
        <v>50</v>
      </c>
      <c r="H554" s="4">
        <v>4</v>
      </c>
      <c r="I554" s="4">
        <f t="shared" ref="I554:I555" si="159">H554*3</f>
        <v>12</v>
      </c>
      <c r="J554" s="4" t="str">
        <f t="shared" si="149"/>
        <v>11:50:4:12,</v>
      </c>
    </row>
    <row r="555" spans="1:10">
      <c r="A555" s="4" t="str">
        <f t="shared" si="151"/>
        <v>61级蓝项链法力吸取</v>
      </c>
      <c r="B555" s="4" t="s">
        <v>215</v>
      </c>
      <c r="C555" s="4" t="s">
        <v>118</v>
      </c>
      <c r="D555" s="4">
        <v>61</v>
      </c>
      <c r="E555" s="4" t="s">
        <v>29</v>
      </c>
      <c r="F555" s="4">
        <f>VLOOKUP(E555,基础属性ID!A:B,2,0)</f>
        <v>12</v>
      </c>
      <c r="G555" s="4">
        <f>VLOOKUP(E555,基础属性ID!$A:$E,5,0)</f>
        <v>50</v>
      </c>
      <c r="H555" s="4">
        <v>4</v>
      </c>
      <c r="I555" s="4">
        <f t="shared" si="159"/>
        <v>12</v>
      </c>
      <c r="J555" s="4" t="str">
        <f t="shared" si="149"/>
        <v>12:50:4:12,</v>
      </c>
    </row>
    <row r="556" spans="1:10">
      <c r="A556" s="4" t="str">
        <f t="shared" si="151"/>
        <v>61级蓝项链暴击几率</v>
      </c>
      <c r="B556" s="4" t="s">
        <v>215</v>
      </c>
      <c r="C556" s="4" t="s">
        <v>118</v>
      </c>
      <c r="D556" s="4">
        <v>61</v>
      </c>
      <c r="E556" s="4" t="s">
        <v>21</v>
      </c>
      <c r="F556" s="4">
        <f>VLOOKUP(E556,基础属性ID!A:B,2,0)</f>
        <v>13</v>
      </c>
      <c r="G556" s="4">
        <f>VLOOKUP(E556,基础属性ID!$A:$E,5,0)</f>
        <v>20</v>
      </c>
      <c r="H556" s="4">
        <v>20</v>
      </c>
      <c r="I556" s="4">
        <v>50</v>
      </c>
      <c r="J556" s="4" t="str">
        <f t="shared" si="149"/>
        <v>13:20:20:50,</v>
      </c>
    </row>
    <row r="557" spans="1:10">
      <c r="A557" s="4" t="str">
        <f t="shared" si="151"/>
        <v>61级蓝项链爆击伤害</v>
      </c>
      <c r="B557" s="4" t="s">
        <v>215</v>
      </c>
      <c r="C557" s="4" t="s">
        <v>118</v>
      </c>
      <c r="D557" s="4">
        <v>61</v>
      </c>
      <c r="E557" s="4" t="s">
        <v>76</v>
      </c>
      <c r="F557" s="4">
        <f>VLOOKUP(E557,基础属性ID!A:B,2,0)</f>
        <v>14</v>
      </c>
      <c r="G557" s="4">
        <f>VLOOKUP(E557,基础属性ID!$A:$E,5,0)</f>
        <v>20</v>
      </c>
      <c r="H557" s="4">
        <v>2</v>
      </c>
      <c r="I557" s="4">
        <v>5</v>
      </c>
      <c r="J557" s="4" t="str">
        <f t="shared" si="149"/>
        <v>14:20:2:5,</v>
      </c>
    </row>
    <row r="558" spans="1:10">
      <c r="A558" s="4" t="str">
        <f t="shared" si="151"/>
        <v>61级蓝项链伤害增加</v>
      </c>
      <c r="B558" s="4" t="s">
        <v>215</v>
      </c>
      <c r="C558" s="4" t="s">
        <v>118</v>
      </c>
      <c r="D558" s="4">
        <v>61</v>
      </c>
      <c r="E558" s="4" t="s">
        <v>26</v>
      </c>
      <c r="F558" s="4">
        <f>VLOOKUP(E558,基础属性ID!A:B,2,0)</f>
        <v>15</v>
      </c>
      <c r="G558" s="4">
        <f>VLOOKUP(E558,基础属性ID!$A:$E,5,0)</f>
        <v>10</v>
      </c>
      <c r="H558" s="4">
        <v>80</v>
      </c>
      <c r="I558" s="4">
        <v>150</v>
      </c>
      <c r="J558" s="4" t="str">
        <f t="shared" si="149"/>
        <v>15:10:80:150,</v>
      </c>
    </row>
    <row r="559" spans="1:10">
      <c r="A559" s="4" t="str">
        <f t="shared" si="151"/>
        <v>61级蓝项链伤害减免</v>
      </c>
      <c r="B559" s="4" t="s">
        <v>215</v>
      </c>
      <c r="C559" s="4" t="s">
        <v>118</v>
      </c>
      <c r="D559" s="4">
        <v>61</v>
      </c>
      <c r="E559" s="4" t="s">
        <v>27</v>
      </c>
      <c r="F559" s="4">
        <f>VLOOKUP(E559,基础属性ID!A:B,2,0)</f>
        <v>16</v>
      </c>
      <c r="G559" s="4">
        <f>VLOOKUP(E559,基础属性ID!$A:$E,5,0)</f>
        <v>10</v>
      </c>
      <c r="H559" s="4">
        <v>80</v>
      </c>
      <c r="I559" s="4">
        <v>150</v>
      </c>
      <c r="J559" s="4" t="str">
        <f t="shared" si="149"/>
        <v>16:10:80:150,</v>
      </c>
    </row>
    <row r="560" spans="1:10">
      <c r="A560" s="4" t="str">
        <f t="shared" si="151"/>
        <v>61级蓝项链装备掉率</v>
      </c>
      <c r="B560" s="4" t="s">
        <v>215</v>
      </c>
      <c r="C560" s="4" t="s">
        <v>118</v>
      </c>
      <c r="D560" s="4">
        <v>61</v>
      </c>
      <c r="E560" s="4" t="s">
        <v>30</v>
      </c>
      <c r="F560" s="4">
        <f>VLOOKUP(E560,基础属性ID!A:B,2,0)</f>
        <v>17</v>
      </c>
      <c r="G560" s="4">
        <f>VLOOKUP(E560,基础属性ID!$A:$E,5,0)</f>
        <v>60</v>
      </c>
      <c r="H560" s="4">
        <v>2</v>
      </c>
      <c r="I560" s="4">
        <v>6</v>
      </c>
      <c r="J560" s="4" t="str">
        <f t="shared" si="149"/>
        <v>17:60:2:6,</v>
      </c>
    </row>
    <row r="561" spans="1:10">
      <c r="A561" s="4" t="str">
        <f t="shared" si="151"/>
        <v>61级蓝项链极品掉率</v>
      </c>
      <c r="B561" s="4" t="s">
        <v>215</v>
      </c>
      <c r="C561" s="4" t="s">
        <v>118</v>
      </c>
      <c r="D561" s="4">
        <v>61</v>
      </c>
      <c r="E561" s="4" t="s">
        <v>31</v>
      </c>
      <c r="F561" s="4">
        <f>VLOOKUP(E561,基础属性ID!A:B,2,0)</f>
        <v>18</v>
      </c>
      <c r="G561" s="4">
        <f>VLOOKUP(E561,基础属性ID!$A:$E,5,0)</f>
        <v>60</v>
      </c>
      <c r="H561" s="4">
        <v>2</v>
      </c>
      <c r="I561" s="4">
        <v>6</v>
      </c>
      <c r="J561" s="4" t="str">
        <f t="shared" si="149"/>
        <v>18:60:2:6,</v>
      </c>
    </row>
    <row r="562" spans="1:10">
      <c r="A562" s="4" t="str">
        <f t="shared" si="151"/>
        <v>21级蓝手镯生命值</v>
      </c>
      <c r="B562" s="4" t="s">
        <v>218</v>
      </c>
      <c r="C562" s="4" t="s">
        <v>118</v>
      </c>
      <c r="D562" s="4">
        <v>21</v>
      </c>
      <c r="E562" s="4" t="s">
        <v>74</v>
      </c>
      <c r="F562" s="4">
        <f>VLOOKUP(E562,基础属性ID!A:B,2,0)</f>
        <v>1</v>
      </c>
      <c r="G562" s="4">
        <f>VLOOKUP(E562,基础属性ID!$A:$E,5,0)</f>
        <v>100</v>
      </c>
      <c r="H562" s="4">
        <v>8</v>
      </c>
      <c r="I562" s="4">
        <f>H562*3</f>
        <v>24</v>
      </c>
      <c r="J562" s="4" t="str">
        <f t="shared" si="149"/>
        <v>1:100:8:24,</v>
      </c>
    </row>
    <row r="563" spans="1:10">
      <c r="A563" s="4" t="str">
        <f t="shared" si="151"/>
        <v>21级蓝手镯法力值</v>
      </c>
      <c r="B563" s="4" t="s">
        <v>218</v>
      </c>
      <c r="C563" s="4" t="s">
        <v>118</v>
      </c>
      <c r="D563" s="4">
        <v>21</v>
      </c>
      <c r="E563" s="4" t="s">
        <v>75</v>
      </c>
      <c r="F563" s="4">
        <f>VLOOKUP(E563,基础属性ID!A:B,2,0)</f>
        <v>2</v>
      </c>
      <c r="G563" s="4">
        <f>VLOOKUP(E563,基础属性ID!$A:$E,5,0)</f>
        <v>100</v>
      </c>
      <c r="H563" s="4">
        <v>8</v>
      </c>
      <c r="I563" s="4">
        <v>15</v>
      </c>
      <c r="J563" s="4" t="str">
        <f t="shared" si="149"/>
        <v>2:100:8:15,</v>
      </c>
    </row>
    <row r="564" spans="1:10">
      <c r="A564" s="4" t="str">
        <f t="shared" si="151"/>
        <v>21级蓝手镯物理攻击</v>
      </c>
      <c r="B564" s="4" t="s">
        <v>218</v>
      </c>
      <c r="C564" s="4" t="s">
        <v>118</v>
      </c>
      <c r="D564" s="4">
        <v>21</v>
      </c>
      <c r="E564" s="4" t="s">
        <v>13</v>
      </c>
      <c r="F564" s="4">
        <f>VLOOKUP(E564,基础属性ID!A:B,2,0)</f>
        <v>3</v>
      </c>
      <c r="G564" s="4">
        <f>VLOOKUP(E564,基础属性ID!$A:$E,5,0)</f>
        <v>100</v>
      </c>
      <c r="H564" s="4">
        <v>3</v>
      </c>
      <c r="I564" s="4">
        <f t="shared" ref="I564:I567" si="160">H564*3</f>
        <v>9</v>
      </c>
      <c r="J564" s="4" t="str">
        <f t="shared" si="149"/>
        <v>3:100:3:9,</v>
      </c>
    </row>
    <row r="565" spans="1:10">
      <c r="A565" s="4" t="str">
        <f t="shared" si="151"/>
        <v>21级蓝手镯魔法攻击</v>
      </c>
      <c r="B565" s="4" t="s">
        <v>218</v>
      </c>
      <c r="C565" s="4" t="s">
        <v>118</v>
      </c>
      <c r="D565" s="4">
        <v>21</v>
      </c>
      <c r="E565" s="4" t="s">
        <v>14</v>
      </c>
      <c r="F565" s="4">
        <f>VLOOKUP(E565,基础属性ID!A:B,2,0)</f>
        <v>4</v>
      </c>
      <c r="G565" s="4">
        <f>VLOOKUP(E565,基础属性ID!$A:$E,5,0)</f>
        <v>100</v>
      </c>
      <c r="H565" s="4">
        <v>3</v>
      </c>
      <c r="I565" s="4">
        <f t="shared" si="160"/>
        <v>9</v>
      </c>
      <c r="J565" s="4" t="str">
        <f t="shared" si="149"/>
        <v>4:100:3:9,</v>
      </c>
    </row>
    <row r="566" spans="1:10">
      <c r="A566" s="4" t="str">
        <f t="shared" si="151"/>
        <v>21级蓝手镯道术攻击</v>
      </c>
      <c r="B566" s="4" t="s">
        <v>218</v>
      </c>
      <c r="C566" s="4" t="s">
        <v>118</v>
      </c>
      <c r="D566" s="4">
        <v>21</v>
      </c>
      <c r="E566" s="4" t="s">
        <v>15</v>
      </c>
      <c r="F566" s="4">
        <f>VLOOKUP(E566,基础属性ID!A:B,2,0)</f>
        <v>5</v>
      </c>
      <c r="G566" s="4">
        <f>VLOOKUP(E566,基础属性ID!$A:$E,5,0)</f>
        <v>100</v>
      </c>
      <c r="H566" s="4">
        <v>3</v>
      </c>
      <c r="I566" s="4">
        <f t="shared" si="160"/>
        <v>9</v>
      </c>
      <c r="J566" s="4" t="str">
        <f t="shared" ref="J566:J625" si="161">F566&amp;":"&amp;G566&amp;":"&amp;H566&amp;":"&amp;I566&amp;","</f>
        <v>5:100:3:9,</v>
      </c>
    </row>
    <row r="567" spans="1:10">
      <c r="A567" s="4" t="str">
        <f t="shared" si="151"/>
        <v>21级蓝手镯防御</v>
      </c>
      <c r="B567" s="4" t="s">
        <v>218</v>
      </c>
      <c r="C567" s="4" t="s">
        <v>118</v>
      </c>
      <c r="D567" s="4">
        <v>21</v>
      </c>
      <c r="E567" s="4" t="s">
        <v>17</v>
      </c>
      <c r="F567" s="4">
        <f>VLOOKUP(E567,基础属性ID!A:B,2,0)</f>
        <v>6</v>
      </c>
      <c r="G567" s="4">
        <f>VLOOKUP(E567,基础属性ID!$A:$E,5,0)</f>
        <v>100</v>
      </c>
      <c r="H567" s="4">
        <v>3</v>
      </c>
      <c r="I567" s="4">
        <f t="shared" si="160"/>
        <v>9</v>
      </c>
      <c r="J567" s="4" t="str">
        <f t="shared" si="161"/>
        <v>6:100:3:9,</v>
      </c>
    </row>
    <row r="568" spans="1:10">
      <c r="A568" s="4" t="str">
        <f t="shared" si="151"/>
        <v>21级蓝手镯攻速</v>
      </c>
      <c r="B568" s="4" t="s">
        <v>218</v>
      </c>
      <c r="C568" s="4" t="s">
        <v>118</v>
      </c>
      <c r="D568" s="4">
        <v>21</v>
      </c>
      <c r="E568" s="4" t="s">
        <v>18</v>
      </c>
      <c r="F568" s="4">
        <f>VLOOKUP(E568,基础属性ID!A:B,2,0)</f>
        <v>7</v>
      </c>
      <c r="G568" s="4">
        <f>VLOOKUP(E568,基础属性ID!$A:$E,5,0)</f>
        <v>20</v>
      </c>
      <c r="H568" s="4">
        <v>1</v>
      </c>
      <c r="I568" s="4">
        <v>1</v>
      </c>
      <c r="J568" s="4" t="str">
        <f t="shared" si="161"/>
        <v>7:20:1:1,</v>
      </c>
    </row>
    <row r="569" spans="1:10">
      <c r="A569" s="4" t="str">
        <f t="shared" si="151"/>
        <v>21级蓝手镯固定伤害</v>
      </c>
      <c r="B569" s="4" t="s">
        <v>218</v>
      </c>
      <c r="C569" s="4" t="s">
        <v>118</v>
      </c>
      <c r="D569" s="4">
        <v>21</v>
      </c>
      <c r="E569" s="4" t="s">
        <v>24</v>
      </c>
      <c r="F569" s="4">
        <f>VLOOKUP(E569,基础属性ID!A:B,2,0)</f>
        <v>9</v>
      </c>
      <c r="G569" s="4">
        <f>VLOOKUP(E569,基础属性ID!$A:$E,5,0)</f>
        <v>50</v>
      </c>
      <c r="H569" s="4">
        <v>3</v>
      </c>
      <c r="I569" s="4">
        <f t="shared" ref="I569:I570" si="162">H569*3</f>
        <v>9</v>
      </c>
      <c r="J569" s="4" t="str">
        <f t="shared" si="161"/>
        <v>9:50:3:9,</v>
      </c>
    </row>
    <row r="570" spans="1:10">
      <c r="A570" s="4" t="str">
        <f t="shared" si="151"/>
        <v>21级蓝手镯固定减伤</v>
      </c>
      <c r="B570" s="4" t="s">
        <v>218</v>
      </c>
      <c r="C570" s="4" t="s">
        <v>118</v>
      </c>
      <c r="D570" s="4">
        <v>21</v>
      </c>
      <c r="E570" s="4" t="s">
        <v>25</v>
      </c>
      <c r="F570" s="4">
        <f>VLOOKUP(E570,基础属性ID!A:B,2,0)</f>
        <v>10</v>
      </c>
      <c r="G570" s="4">
        <f>VLOOKUP(E570,基础属性ID!$A:$E,5,0)</f>
        <v>50</v>
      </c>
      <c r="H570" s="4">
        <v>3</v>
      </c>
      <c r="I570" s="4">
        <f t="shared" si="162"/>
        <v>9</v>
      </c>
      <c r="J570" s="4" t="str">
        <f t="shared" si="161"/>
        <v>10:50:3:9,</v>
      </c>
    </row>
    <row r="571" spans="1:10">
      <c r="A571" s="4" t="str">
        <f t="shared" si="151"/>
        <v>21级蓝手镯生命吸取</v>
      </c>
      <c r="B571" s="4" t="s">
        <v>218</v>
      </c>
      <c r="C571" s="4" t="s">
        <v>118</v>
      </c>
      <c r="D571" s="4">
        <v>21</v>
      </c>
      <c r="E571" s="4" t="s">
        <v>28</v>
      </c>
      <c r="F571" s="4">
        <f>VLOOKUP(E571,基础属性ID!A:B,2,0)</f>
        <v>11</v>
      </c>
      <c r="G571" s="4">
        <f>VLOOKUP(E571,基础属性ID!$A:$E,5,0)</f>
        <v>50</v>
      </c>
      <c r="H571" s="4">
        <v>1</v>
      </c>
      <c r="I571" s="4">
        <f t="shared" ref="I571:I572" si="163">H571*3</f>
        <v>3</v>
      </c>
      <c r="J571" s="4" t="str">
        <f t="shared" si="161"/>
        <v>11:50:1:3,</v>
      </c>
    </row>
    <row r="572" spans="1:10">
      <c r="A572" s="4" t="str">
        <f t="shared" si="151"/>
        <v>21级蓝手镯法力吸取</v>
      </c>
      <c r="B572" s="4" t="s">
        <v>218</v>
      </c>
      <c r="C572" s="4" t="s">
        <v>118</v>
      </c>
      <c r="D572" s="4">
        <v>21</v>
      </c>
      <c r="E572" s="4" t="s">
        <v>29</v>
      </c>
      <c r="F572" s="4">
        <f>VLOOKUP(E572,基础属性ID!A:B,2,0)</f>
        <v>12</v>
      </c>
      <c r="G572" s="4">
        <f>VLOOKUP(E572,基础属性ID!$A:$E,5,0)</f>
        <v>50</v>
      </c>
      <c r="H572" s="4">
        <v>1</v>
      </c>
      <c r="I572" s="4">
        <f t="shared" si="163"/>
        <v>3</v>
      </c>
      <c r="J572" s="4" t="str">
        <f t="shared" si="161"/>
        <v>12:50:1:3,</v>
      </c>
    </row>
    <row r="573" spans="1:10">
      <c r="A573" s="4" t="str">
        <f t="shared" si="151"/>
        <v>21级蓝手镯暴击几率</v>
      </c>
      <c r="B573" s="4" t="s">
        <v>218</v>
      </c>
      <c r="C573" s="4" t="s">
        <v>118</v>
      </c>
      <c r="D573" s="4">
        <v>21</v>
      </c>
      <c r="E573" s="4" t="s">
        <v>21</v>
      </c>
      <c r="F573" s="4">
        <f>VLOOKUP(E573,基础属性ID!A:B,2,0)</f>
        <v>13</v>
      </c>
      <c r="G573" s="4">
        <f>VLOOKUP(E573,基础属性ID!$A:$E,5,0)</f>
        <v>20</v>
      </c>
      <c r="H573" s="4">
        <v>20</v>
      </c>
      <c r="I573" s="4">
        <v>50</v>
      </c>
      <c r="J573" s="4" t="str">
        <f t="shared" si="161"/>
        <v>13:20:20:50,</v>
      </c>
    </row>
    <row r="574" spans="1:10">
      <c r="A574" s="4" t="str">
        <f t="shared" si="151"/>
        <v>21级蓝手镯爆击伤害</v>
      </c>
      <c r="B574" s="4" t="s">
        <v>218</v>
      </c>
      <c r="C574" s="4" t="s">
        <v>118</v>
      </c>
      <c r="D574" s="4">
        <v>21</v>
      </c>
      <c r="E574" s="4" t="s">
        <v>76</v>
      </c>
      <c r="F574" s="4">
        <f>VLOOKUP(E574,基础属性ID!A:B,2,0)</f>
        <v>14</v>
      </c>
      <c r="G574" s="4">
        <f>VLOOKUP(E574,基础属性ID!$A:$E,5,0)</f>
        <v>20</v>
      </c>
      <c r="H574" s="4">
        <v>2</v>
      </c>
      <c r="I574" s="4">
        <v>5</v>
      </c>
      <c r="J574" s="4" t="str">
        <f t="shared" si="161"/>
        <v>14:20:2:5,</v>
      </c>
    </row>
    <row r="575" spans="1:10">
      <c r="A575" s="4" t="str">
        <f t="shared" si="151"/>
        <v>21级蓝手镯伤害增加</v>
      </c>
      <c r="B575" s="4" t="s">
        <v>218</v>
      </c>
      <c r="C575" s="4" t="s">
        <v>118</v>
      </c>
      <c r="D575" s="4">
        <v>21</v>
      </c>
      <c r="E575" s="4" t="s">
        <v>26</v>
      </c>
      <c r="F575" s="4">
        <f>VLOOKUP(E575,基础属性ID!A:B,2,0)</f>
        <v>15</v>
      </c>
      <c r="G575" s="4">
        <f>VLOOKUP(E575,基础属性ID!$A:$E,5,0)</f>
        <v>10</v>
      </c>
      <c r="H575" s="4">
        <v>80</v>
      </c>
      <c r="I575" s="4">
        <v>150</v>
      </c>
      <c r="J575" s="4" t="str">
        <f t="shared" si="161"/>
        <v>15:10:80:150,</v>
      </c>
    </row>
    <row r="576" spans="1:10">
      <c r="A576" s="4" t="str">
        <f t="shared" si="151"/>
        <v>21级蓝手镯伤害减免</v>
      </c>
      <c r="B576" s="4" t="s">
        <v>218</v>
      </c>
      <c r="C576" s="4" t="s">
        <v>118</v>
      </c>
      <c r="D576" s="4">
        <v>21</v>
      </c>
      <c r="E576" s="4" t="s">
        <v>27</v>
      </c>
      <c r="F576" s="4">
        <f>VLOOKUP(E576,基础属性ID!A:B,2,0)</f>
        <v>16</v>
      </c>
      <c r="G576" s="4">
        <f>VLOOKUP(E576,基础属性ID!$A:$E,5,0)</f>
        <v>10</v>
      </c>
      <c r="H576" s="4">
        <v>80</v>
      </c>
      <c r="I576" s="4">
        <v>150</v>
      </c>
      <c r="J576" s="4" t="str">
        <f t="shared" si="161"/>
        <v>16:10:80:150,</v>
      </c>
    </row>
    <row r="577" spans="1:10">
      <c r="A577" s="4" t="str">
        <f t="shared" si="151"/>
        <v>21级蓝手镯装备掉率</v>
      </c>
      <c r="B577" s="4" t="s">
        <v>218</v>
      </c>
      <c r="C577" s="4" t="s">
        <v>118</v>
      </c>
      <c r="D577" s="4">
        <v>21</v>
      </c>
      <c r="E577" s="4" t="s">
        <v>30</v>
      </c>
      <c r="F577" s="4">
        <f>VLOOKUP(E577,基础属性ID!A:B,2,0)</f>
        <v>17</v>
      </c>
      <c r="G577" s="4">
        <f>VLOOKUP(E577,基础属性ID!$A:$E,5,0)</f>
        <v>60</v>
      </c>
      <c r="H577" s="4">
        <v>2</v>
      </c>
      <c r="I577" s="4">
        <v>6</v>
      </c>
      <c r="J577" s="4" t="str">
        <f t="shared" si="161"/>
        <v>17:60:2:6,</v>
      </c>
    </row>
    <row r="578" spans="1:10">
      <c r="A578" s="4" t="str">
        <f t="shared" si="151"/>
        <v>21级蓝手镯极品掉率</v>
      </c>
      <c r="B578" s="4" t="s">
        <v>218</v>
      </c>
      <c r="C578" s="4" t="s">
        <v>118</v>
      </c>
      <c r="D578" s="4">
        <v>21</v>
      </c>
      <c r="E578" s="4" t="s">
        <v>31</v>
      </c>
      <c r="F578" s="4">
        <f>VLOOKUP(E578,基础属性ID!A:B,2,0)</f>
        <v>18</v>
      </c>
      <c r="G578" s="4">
        <f>VLOOKUP(E578,基础属性ID!$A:$E,5,0)</f>
        <v>60</v>
      </c>
      <c r="H578" s="4">
        <v>2</v>
      </c>
      <c r="I578" s="4">
        <v>6</v>
      </c>
      <c r="J578" s="4" t="str">
        <f t="shared" si="161"/>
        <v>18:60:2:6,</v>
      </c>
    </row>
    <row r="579" spans="1:10">
      <c r="A579" s="4" t="str">
        <f t="shared" ref="A579:A642" si="164">D579&amp;"级"&amp;C579&amp;B579&amp;E579</f>
        <v>41级蓝手镯生命值</v>
      </c>
      <c r="B579" s="4" t="s">
        <v>218</v>
      </c>
      <c r="C579" s="4" t="s">
        <v>118</v>
      </c>
      <c r="D579" s="4">
        <v>41</v>
      </c>
      <c r="E579" s="4" t="s">
        <v>74</v>
      </c>
      <c r="F579" s="4">
        <f>VLOOKUP(E579,基础属性ID!A:B,2,0)</f>
        <v>1</v>
      </c>
      <c r="G579" s="4">
        <f>VLOOKUP(E579,基础属性ID!$A:$E,5,0)</f>
        <v>100</v>
      </c>
      <c r="H579" s="4">
        <v>15</v>
      </c>
      <c r="I579" s="4">
        <f>H579*3</f>
        <v>45</v>
      </c>
      <c r="J579" s="4" t="str">
        <f t="shared" si="161"/>
        <v>1:100:15:45,</v>
      </c>
    </row>
    <row r="580" spans="1:10">
      <c r="A580" s="4" t="str">
        <f t="shared" si="164"/>
        <v>41级蓝手镯法力值</v>
      </c>
      <c r="B580" s="4" t="s">
        <v>218</v>
      </c>
      <c r="C580" s="4" t="s">
        <v>118</v>
      </c>
      <c r="D580" s="4">
        <v>41</v>
      </c>
      <c r="E580" s="4" t="s">
        <v>75</v>
      </c>
      <c r="F580" s="4">
        <f>VLOOKUP(E580,基础属性ID!A:B,2,0)</f>
        <v>2</v>
      </c>
      <c r="G580" s="4">
        <f>VLOOKUP(E580,基础属性ID!$A:$E,5,0)</f>
        <v>100</v>
      </c>
      <c r="H580" s="4">
        <v>10</v>
      </c>
      <c r="I580" s="4">
        <v>20</v>
      </c>
      <c r="J580" s="4" t="str">
        <f t="shared" si="161"/>
        <v>2:100:10:20,</v>
      </c>
    </row>
    <row r="581" spans="1:10">
      <c r="A581" s="4" t="str">
        <f t="shared" si="164"/>
        <v>41级蓝手镯物理攻击</v>
      </c>
      <c r="B581" s="4" t="s">
        <v>218</v>
      </c>
      <c r="C581" s="4" t="s">
        <v>118</v>
      </c>
      <c r="D581" s="4">
        <v>41</v>
      </c>
      <c r="E581" s="4" t="s">
        <v>13</v>
      </c>
      <c r="F581" s="4">
        <f>VLOOKUP(E581,基础属性ID!A:B,2,0)</f>
        <v>3</v>
      </c>
      <c r="G581" s="4">
        <f>VLOOKUP(E581,基础属性ID!$A:$E,5,0)</f>
        <v>100</v>
      </c>
      <c r="H581" s="4">
        <v>4</v>
      </c>
      <c r="I581" s="4">
        <f t="shared" ref="I581:I584" si="165">H581*3</f>
        <v>12</v>
      </c>
      <c r="J581" s="4" t="str">
        <f t="shared" si="161"/>
        <v>3:100:4:12,</v>
      </c>
    </row>
    <row r="582" spans="1:10">
      <c r="A582" s="4" t="str">
        <f t="shared" si="164"/>
        <v>41级蓝手镯魔法攻击</v>
      </c>
      <c r="B582" s="4" t="s">
        <v>218</v>
      </c>
      <c r="C582" s="4" t="s">
        <v>118</v>
      </c>
      <c r="D582" s="4">
        <v>41</v>
      </c>
      <c r="E582" s="4" t="s">
        <v>14</v>
      </c>
      <c r="F582" s="4">
        <f>VLOOKUP(E582,基础属性ID!A:B,2,0)</f>
        <v>4</v>
      </c>
      <c r="G582" s="4">
        <f>VLOOKUP(E582,基础属性ID!$A:$E,5,0)</f>
        <v>100</v>
      </c>
      <c r="H582" s="4">
        <v>4</v>
      </c>
      <c r="I582" s="4">
        <f t="shared" si="165"/>
        <v>12</v>
      </c>
      <c r="J582" s="4" t="str">
        <f t="shared" si="161"/>
        <v>4:100:4:12,</v>
      </c>
    </row>
    <row r="583" spans="1:10">
      <c r="A583" s="4" t="str">
        <f t="shared" si="164"/>
        <v>41级蓝手镯道术攻击</v>
      </c>
      <c r="B583" s="4" t="s">
        <v>218</v>
      </c>
      <c r="C583" s="4" t="s">
        <v>118</v>
      </c>
      <c r="D583" s="4">
        <v>41</v>
      </c>
      <c r="E583" s="4" t="s">
        <v>15</v>
      </c>
      <c r="F583" s="4">
        <f>VLOOKUP(E583,基础属性ID!A:B,2,0)</f>
        <v>5</v>
      </c>
      <c r="G583" s="4">
        <f>VLOOKUP(E583,基础属性ID!$A:$E,5,0)</f>
        <v>100</v>
      </c>
      <c r="H583" s="4">
        <v>4</v>
      </c>
      <c r="I583" s="4">
        <f t="shared" si="165"/>
        <v>12</v>
      </c>
      <c r="J583" s="4" t="str">
        <f t="shared" si="161"/>
        <v>5:100:4:12,</v>
      </c>
    </row>
    <row r="584" spans="1:10">
      <c r="A584" s="4" t="str">
        <f t="shared" si="164"/>
        <v>41级蓝手镯防御</v>
      </c>
      <c r="B584" s="4" t="s">
        <v>218</v>
      </c>
      <c r="C584" s="4" t="s">
        <v>118</v>
      </c>
      <c r="D584" s="4">
        <v>41</v>
      </c>
      <c r="E584" s="4" t="s">
        <v>17</v>
      </c>
      <c r="F584" s="4">
        <f>VLOOKUP(E584,基础属性ID!A:B,2,0)</f>
        <v>6</v>
      </c>
      <c r="G584" s="4">
        <f>VLOOKUP(E584,基础属性ID!$A:$E,5,0)</f>
        <v>100</v>
      </c>
      <c r="H584" s="4">
        <v>4</v>
      </c>
      <c r="I584" s="4">
        <f t="shared" si="165"/>
        <v>12</v>
      </c>
      <c r="J584" s="4" t="str">
        <f t="shared" si="161"/>
        <v>6:100:4:12,</v>
      </c>
    </row>
    <row r="585" spans="1:10">
      <c r="A585" s="4" t="str">
        <f t="shared" si="164"/>
        <v>41级蓝手镯攻速</v>
      </c>
      <c r="B585" s="4" t="s">
        <v>218</v>
      </c>
      <c r="C585" s="4" t="s">
        <v>118</v>
      </c>
      <c r="D585" s="4">
        <v>41</v>
      </c>
      <c r="E585" s="4" t="s">
        <v>18</v>
      </c>
      <c r="F585" s="4">
        <f>VLOOKUP(E585,基础属性ID!A:B,2,0)</f>
        <v>7</v>
      </c>
      <c r="G585" s="4">
        <f>VLOOKUP(E585,基础属性ID!$A:$E,5,0)</f>
        <v>20</v>
      </c>
      <c r="H585" s="4">
        <v>1</v>
      </c>
      <c r="I585" s="4">
        <v>1</v>
      </c>
      <c r="J585" s="4" t="str">
        <f t="shared" si="161"/>
        <v>7:20:1:1,</v>
      </c>
    </row>
    <row r="586" spans="1:10">
      <c r="A586" s="4" t="str">
        <f t="shared" si="164"/>
        <v>41级蓝手镯固定伤害</v>
      </c>
      <c r="B586" s="4" t="s">
        <v>218</v>
      </c>
      <c r="C586" s="4" t="s">
        <v>118</v>
      </c>
      <c r="D586" s="4">
        <v>41</v>
      </c>
      <c r="E586" s="4" t="s">
        <v>24</v>
      </c>
      <c r="F586" s="4">
        <f>VLOOKUP(E586,基础属性ID!A:B,2,0)</f>
        <v>9</v>
      </c>
      <c r="G586" s="4">
        <f>VLOOKUP(E586,基础属性ID!$A:$E,5,0)</f>
        <v>50</v>
      </c>
      <c r="H586" s="4">
        <v>4</v>
      </c>
      <c r="I586" s="4">
        <f t="shared" ref="I586:I587" si="166">H586*3</f>
        <v>12</v>
      </c>
      <c r="J586" s="4" t="str">
        <f t="shared" si="161"/>
        <v>9:50:4:12,</v>
      </c>
    </row>
    <row r="587" spans="1:10">
      <c r="A587" s="4" t="str">
        <f t="shared" si="164"/>
        <v>41级蓝手镯固定减伤</v>
      </c>
      <c r="B587" s="4" t="s">
        <v>218</v>
      </c>
      <c r="C587" s="4" t="s">
        <v>118</v>
      </c>
      <c r="D587" s="4">
        <v>41</v>
      </c>
      <c r="E587" s="4" t="s">
        <v>25</v>
      </c>
      <c r="F587" s="4">
        <f>VLOOKUP(E587,基础属性ID!A:B,2,0)</f>
        <v>10</v>
      </c>
      <c r="G587" s="4">
        <f>VLOOKUP(E587,基础属性ID!$A:$E,5,0)</f>
        <v>50</v>
      </c>
      <c r="H587" s="4">
        <v>4</v>
      </c>
      <c r="I587" s="4">
        <f t="shared" si="166"/>
        <v>12</v>
      </c>
      <c r="J587" s="4" t="str">
        <f t="shared" si="161"/>
        <v>10:50:4:12,</v>
      </c>
    </row>
    <row r="588" spans="1:10">
      <c r="A588" s="4" t="str">
        <f t="shared" si="164"/>
        <v>41级蓝手镯生命吸取</v>
      </c>
      <c r="B588" s="4" t="s">
        <v>218</v>
      </c>
      <c r="C588" s="4" t="s">
        <v>118</v>
      </c>
      <c r="D588" s="4">
        <v>41</v>
      </c>
      <c r="E588" s="4" t="s">
        <v>28</v>
      </c>
      <c r="F588" s="4">
        <f>VLOOKUP(E588,基础属性ID!A:B,2,0)</f>
        <v>11</v>
      </c>
      <c r="G588" s="4">
        <f>VLOOKUP(E588,基础属性ID!$A:$E,5,0)</f>
        <v>50</v>
      </c>
      <c r="H588" s="4">
        <v>2</v>
      </c>
      <c r="I588" s="4">
        <f t="shared" ref="I588:I589" si="167">H588*3</f>
        <v>6</v>
      </c>
      <c r="J588" s="4" t="str">
        <f t="shared" si="161"/>
        <v>11:50:2:6,</v>
      </c>
    </row>
    <row r="589" spans="1:10">
      <c r="A589" s="4" t="str">
        <f t="shared" si="164"/>
        <v>41级蓝手镯法力吸取</v>
      </c>
      <c r="B589" s="4" t="s">
        <v>218</v>
      </c>
      <c r="C589" s="4" t="s">
        <v>118</v>
      </c>
      <c r="D589" s="4">
        <v>41</v>
      </c>
      <c r="E589" s="4" t="s">
        <v>29</v>
      </c>
      <c r="F589" s="4">
        <f>VLOOKUP(E589,基础属性ID!A:B,2,0)</f>
        <v>12</v>
      </c>
      <c r="G589" s="4">
        <f>VLOOKUP(E589,基础属性ID!$A:$E,5,0)</f>
        <v>50</v>
      </c>
      <c r="H589" s="4">
        <v>2</v>
      </c>
      <c r="I589" s="4">
        <f t="shared" si="167"/>
        <v>6</v>
      </c>
      <c r="J589" s="4" t="str">
        <f t="shared" si="161"/>
        <v>12:50:2:6,</v>
      </c>
    </row>
    <row r="590" spans="1:10">
      <c r="A590" s="4" t="str">
        <f t="shared" si="164"/>
        <v>41级蓝手镯暴击几率</v>
      </c>
      <c r="B590" s="4" t="s">
        <v>218</v>
      </c>
      <c r="C590" s="4" t="s">
        <v>118</v>
      </c>
      <c r="D590" s="4">
        <v>41</v>
      </c>
      <c r="E590" s="4" t="s">
        <v>21</v>
      </c>
      <c r="F590" s="4">
        <f>VLOOKUP(E590,基础属性ID!A:B,2,0)</f>
        <v>13</v>
      </c>
      <c r="G590" s="4">
        <f>VLOOKUP(E590,基础属性ID!$A:$E,5,0)</f>
        <v>20</v>
      </c>
      <c r="H590" s="4">
        <v>20</v>
      </c>
      <c r="I590" s="4">
        <v>50</v>
      </c>
      <c r="J590" s="4" t="str">
        <f t="shared" si="161"/>
        <v>13:20:20:50,</v>
      </c>
    </row>
    <row r="591" spans="1:10">
      <c r="A591" s="4" t="str">
        <f t="shared" si="164"/>
        <v>41级蓝手镯爆击伤害</v>
      </c>
      <c r="B591" s="4" t="s">
        <v>218</v>
      </c>
      <c r="C591" s="4" t="s">
        <v>118</v>
      </c>
      <c r="D591" s="4">
        <v>41</v>
      </c>
      <c r="E591" s="4" t="s">
        <v>76</v>
      </c>
      <c r="F591" s="4">
        <f>VLOOKUP(E591,基础属性ID!A:B,2,0)</f>
        <v>14</v>
      </c>
      <c r="G591" s="4">
        <f>VLOOKUP(E591,基础属性ID!$A:$E,5,0)</f>
        <v>20</v>
      </c>
      <c r="H591" s="4">
        <v>2</v>
      </c>
      <c r="I591" s="4">
        <v>5</v>
      </c>
      <c r="J591" s="4" t="str">
        <f t="shared" si="161"/>
        <v>14:20:2:5,</v>
      </c>
    </row>
    <row r="592" spans="1:10">
      <c r="A592" s="4" t="str">
        <f t="shared" si="164"/>
        <v>41级蓝手镯伤害增加</v>
      </c>
      <c r="B592" s="4" t="s">
        <v>218</v>
      </c>
      <c r="C592" s="4" t="s">
        <v>118</v>
      </c>
      <c r="D592" s="4">
        <v>41</v>
      </c>
      <c r="E592" s="4" t="s">
        <v>26</v>
      </c>
      <c r="F592" s="4">
        <f>VLOOKUP(E592,基础属性ID!A:B,2,0)</f>
        <v>15</v>
      </c>
      <c r="G592" s="4">
        <f>VLOOKUP(E592,基础属性ID!$A:$E,5,0)</f>
        <v>10</v>
      </c>
      <c r="H592" s="4">
        <v>80</v>
      </c>
      <c r="I592" s="4">
        <v>150</v>
      </c>
      <c r="J592" s="4" t="str">
        <f t="shared" si="161"/>
        <v>15:10:80:150,</v>
      </c>
    </row>
    <row r="593" spans="1:10">
      <c r="A593" s="4" t="str">
        <f t="shared" si="164"/>
        <v>41级蓝手镯伤害减免</v>
      </c>
      <c r="B593" s="4" t="s">
        <v>218</v>
      </c>
      <c r="C593" s="4" t="s">
        <v>118</v>
      </c>
      <c r="D593" s="4">
        <v>41</v>
      </c>
      <c r="E593" s="4" t="s">
        <v>27</v>
      </c>
      <c r="F593" s="4">
        <f>VLOOKUP(E593,基础属性ID!A:B,2,0)</f>
        <v>16</v>
      </c>
      <c r="G593" s="4">
        <f>VLOOKUP(E593,基础属性ID!$A:$E,5,0)</f>
        <v>10</v>
      </c>
      <c r="H593" s="4">
        <v>80</v>
      </c>
      <c r="I593" s="4">
        <v>150</v>
      </c>
      <c r="J593" s="4" t="str">
        <f t="shared" si="161"/>
        <v>16:10:80:150,</v>
      </c>
    </row>
    <row r="594" spans="1:10">
      <c r="A594" s="4" t="str">
        <f t="shared" si="164"/>
        <v>41级蓝手镯装备掉率</v>
      </c>
      <c r="B594" s="4" t="s">
        <v>218</v>
      </c>
      <c r="C594" s="4" t="s">
        <v>118</v>
      </c>
      <c r="D594" s="4">
        <v>41</v>
      </c>
      <c r="E594" s="4" t="s">
        <v>30</v>
      </c>
      <c r="F594" s="4">
        <f>VLOOKUP(E594,基础属性ID!A:B,2,0)</f>
        <v>17</v>
      </c>
      <c r="G594" s="4">
        <f>VLOOKUP(E594,基础属性ID!$A:$E,5,0)</f>
        <v>60</v>
      </c>
      <c r="H594" s="4">
        <v>2</v>
      </c>
      <c r="I594" s="4">
        <v>6</v>
      </c>
      <c r="J594" s="4" t="str">
        <f t="shared" si="161"/>
        <v>17:60:2:6,</v>
      </c>
    </row>
    <row r="595" spans="1:10">
      <c r="A595" s="4" t="str">
        <f t="shared" si="164"/>
        <v>41级蓝手镯极品掉率</v>
      </c>
      <c r="B595" s="4" t="s">
        <v>218</v>
      </c>
      <c r="C595" s="4" t="s">
        <v>118</v>
      </c>
      <c r="D595" s="4">
        <v>41</v>
      </c>
      <c r="E595" s="4" t="s">
        <v>31</v>
      </c>
      <c r="F595" s="4">
        <f>VLOOKUP(E595,基础属性ID!A:B,2,0)</f>
        <v>18</v>
      </c>
      <c r="G595" s="4">
        <f>VLOOKUP(E595,基础属性ID!$A:$E,5,0)</f>
        <v>60</v>
      </c>
      <c r="H595" s="4">
        <v>2</v>
      </c>
      <c r="I595" s="4">
        <v>6</v>
      </c>
      <c r="J595" s="4" t="str">
        <f t="shared" si="161"/>
        <v>18:60:2:6,</v>
      </c>
    </row>
    <row r="596" spans="1:10">
      <c r="A596" s="4" t="str">
        <f t="shared" si="164"/>
        <v>61级蓝手镯生命值</v>
      </c>
      <c r="B596" s="4" t="s">
        <v>218</v>
      </c>
      <c r="C596" s="4" t="s">
        <v>118</v>
      </c>
      <c r="D596" s="4">
        <v>61</v>
      </c>
      <c r="E596" s="4" t="s">
        <v>74</v>
      </c>
      <c r="F596" s="4">
        <f>VLOOKUP(E596,基础属性ID!A:B,2,0)</f>
        <v>1</v>
      </c>
      <c r="G596" s="4">
        <f>VLOOKUP(E596,基础属性ID!$A:$E,5,0)</f>
        <v>100</v>
      </c>
      <c r="H596" s="4">
        <v>20</v>
      </c>
      <c r="I596" s="4">
        <f>H596*3</f>
        <v>60</v>
      </c>
      <c r="J596" s="4" t="str">
        <f t="shared" si="161"/>
        <v>1:100:20:60,</v>
      </c>
    </row>
    <row r="597" spans="1:10">
      <c r="A597" s="4" t="str">
        <f t="shared" si="164"/>
        <v>61级蓝手镯法力值</v>
      </c>
      <c r="B597" s="4" t="s">
        <v>218</v>
      </c>
      <c r="C597" s="4" t="s">
        <v>118</v>
      </c>
      <c r="D597" s="4">
        <v>61</v>
      </c>
      <c r="E597" s="4" t="s">
        <v>75</v>
      </c>
      <c r="F597" s="4">
        <f>VLOOKUP(E597,基础属性ID!A:B,2,0)</f>
        <v>2</v>
      </c>
      <c r="G597" s="4">
        <f>VLOOKUP(E597,基础属性ID!$A:$E,5,0)</f>
        <v>100</v>
      </c>
      <c r="H597" s="4">
        <v>4</v>
      </c>
      <c r="I597" s="4">
        <v>10</v>
      </c>
      <c r="J597" s="4" t="str">
        <f t="shared" si="161"/>
        <v>2:100:4:10,</v>
      </c>
    </row>
    <row r="598" spans="1:10">
      <c r="A598" s="4" t="str">
        <f t="shared" si="164"/>
        <v>61级蓝手镯物理攻击</v>
      </c>
      <c r="B598" s="4" t="s">
        <v>218</v>
      </c>
      <c r="C598" s="4" t="s">
        <v>118</v>
      </c>
      <c r="D598" s="4">
        <v>61</v>
      </c>
      <c r="E598" s="4" t="s">
        <v>13</v>
      </c>
      <c r="F598" s="4">
        <f>VLOOKUP(E598,基础属性ID!A:B,2,0)</f>
        <v>3</v>
      </c>
      <c r="G598" s="4">
        <f>VLOOKUP(E598,基础属性ID!$A:$E,5,0)</f>
        <v>100</v>
      </c>
      <c r="H598" s="4">
        <v>6</v>
      </c>
      <c r="I598" s="4">
        <f t="shared" ref="I598:I601" si="168">H598*3</f>
        <v>18</v>
      </c>
      <c r="J598" s="4" t="str">
        <f t="shared" si="161"/>
        <v>3:100:6:18,</v>
      </c>
    </row>
    <row r="599" spans="1:10">
      <c r="A599" s="4" t="str">
        <f t="shared" si="164"/>
        <v>61级蓝手镯魔法攻击</v>
      </c>
      <c r="B599" s="4" t="s">
        <v>218</v>
      </c>
      <c r="C599" s="4" t="s">
        <v>118</v>
      </c>
      <c r="D599" s="4">
        <v>61</v>
      </c>
      <c r="E599" s="4" t="s">
        <v>14</v>
      </c>
      <c r="F599" s="4">
        <f>VLOOKUP(E599,基础属性ID!A:B,2,0)</f>
        <v>4</v>
      </c>
      <c r="G599" s="4">
        <f>VLOOKUP(E599,基础属性ID!$A:$E,5,0)</f>
        <v>100</v>
      </c>
      <c r="H599" s="4">
        <v>6</v>
      </c>
      <c r="I599" s="4">
        <f t="shared" si="168"/>
        <v>18</v>
      </c>
      <c r="J599" s="4" t="str">
        <f t="shared" si="161"/>
        <v>4:100:6:18,</v>
      </c>
    </row>
    <row r="600" spans="1:10">
      <c r="A600" s="4" t="str">
        <f t="shared" si="164"/>
        <v>61级蓝手镯道术攻击</v>
      </c>
      <c r="B600" s="4" t="s">
        <v>218</v>
      </c>
      <c r="C600" s="4" t="s">
        <v>118</v>
      </c>
      <c r="D600" s="4">
        <v>61</v>
      </c>
      <c r="E600" s="4" t="s">
        <v>15</v>
      </c>
      <c r="F600" s="4">
        <f>VLOOKUP(E600,基础属性ID!A:B,2,0)</f>
        <v>5</v>
      </c>
      <c r="G600" s="4">
        <f>VLOOKUP(E600,基础属性ID!$A:$E,5,0)</f>
        <v>100</v>
      </c>
      <c r="H600" s="4">
        <v>6</v>
      </c>
      <c r="I600" s="4">
        <f t="shared" si="168"/>
        <v>18</v>
      </c>
      <c r="J600" s="4" t="str">
        <f t="shared" si="161"/>
        <v>5:100:6:18,</v>
      </c>
    </row>
    <row r="601" spans="1:10">
      <c r="A601" s="4" t="str">
        <f t="shared" si="164"/>
        <v>61级蓝手镯防御</v>
      </c>
      <c r="B601" s="4" t="s">
        <v>218</v>
      </c>
      <c r="C601" s="4" t="s">
        <v>118</v>
      </c>
      <c r="D601" s="4">
        <v>61</v>
      </c>
      <c r="E601" s="4" t="s">
        <v>17</v>
      </c>
      <c r="F601" s="4">
        <f>VLOOKUP(E601,基础属性ID!A:B,2,0)</f>
        <v>6</v>
      </c>
      <c r="G601" s="4">
        <f>VLOOKUP(E601,基础属性ID!$A:$E,5,0)</f>
        <v>100</v>
      </c>
      <c r="H601" s="4">
        <v>6</v>
      </c>
      <c r="I601" s="4">
        <f t="shared" si="168"/>
        <v>18</v>
      </c>
      <c r="J601" s="4" t="str">
        <f t="shared" si="161"/>
        <v>6:100:6:18,</v>
      </c>
    </row>
    <row r="602" spans="1:10">
      <c r="A602" s="4" t="str">
        <f t="shared" si="164"/>
        <v>61级蓝手镯攻速</v>
      </c>
      <c r="B602" s="4" t="s">
        <v>218</v>
      </c>
      <c r="C602" s="4" t="s">
        <v>118</v>
      </c>
      <c r="D602" s="4">
        <v>61</v>
      </c>
      <c r="E602" s="4" t="s">
        <v>18</v>
      </c>
      <c r="F602" s="4">
        <f>VLOOKUP(E602,基础属性ID!A:B,2,0)</f>
        <v>7</v>
      </c>
      <c r="G602" s="4">
        <f>VLOOKUP(E602,基础属性ID!$A:$E,5,0)</f>
        <v>20</v>
      </c>
      <c r="H602" s="4">
        <v>1</v>
      </c>
      <c r="I602" s="4">
        <v>1</v>
      </c>
      <c r="J602" s="4" t="str">
        <f t="shared" si="161"/>
        <v>7:20:1:1,</v>
      </c>
    </row>
    <row r="603" spans="1:10">
      <c r="A603" s="4" t="str">
        <f t="shared" si="164"/>
        <v>61级蓝手镯固定伤害</v>
      </c>
      <c r="B603" s="4" t="s">
        <v>218</v>
      </c>
      <c r="C603" s="4" t="s">
        <v>118</v>
      </c>
      <c r="D603" s="4">
        <v>61</v>
      </c>
      <c r="E603" s="4" t="s">
        <v>24</v>
      </c>
      <c r="F603" s="4">
        <f>VLOOKUP(E603,基础属性ID!A:B,2,0)</f>
        <v>9</v>
      </c>
      <c r="G603" s="4">
        <f>VLOOKUP(E603,基础属性ID!$A:$E,5,0)</f>
        <v>50</v>
      </c>
      <c r="H603" s="4">
        <v>5</v>
      </c>
      <c r="I603" s="4">
        <f t="shared" ref="I603:I604" si="169">H603*3</f>
        <v>15</v>
      </c>
      <c r="J603" s="4" t="str">
        <f t="shared" si="161"/>
        <v>9:50:5:15,</v>
      </c>
    </row>
    <row r="604" spans="1:10">
      <c r="A604" s="4" t="str">
        <f t="shared" si="164"/>
        <v>61级蓝手镯固定减伤</v>
      </c>
      <c r="B604" s="4" t="s">
        <v>218</v>
      </c>
      <c r="C604" s="4" t="s">
        <v>118</v>
      </c>
      <c r="D604" s="4">
        <v>61</v>
      </c>
      <c r="E604" s="4" t="s">
        <v>25</v>
      </c>
      <c r="F604" s="4">
        <f>VLOOKUP(E604,基础属性ID!A:B,2,0)</f>
        <v>10</v>
      </c>
      <c r="G604" s="4">
        <f>VLOOKUP(E604,基础属性ID!$A:$E,5,0)</f>
        <v>50</v>
      </c>
      <c r="H604" s="4">
        <v>5</v>
      </c>
      <c r="I604" s="4">
        <f t="shared" si="169"/>
        <v>15</v>
      </c>
      <c r="J604" s="4" t="str">
        <f t="shared" si="161"/>
        <v>10:50:5:15,</v>
      </c>
    </row>
    <row r="605" spans="1:10">
      <c r="A605" s="4" t="str">
        <f t="shared" si="164"/>
        <v>61级蓝手镯生命吸取</v>
      </c>
      <c r="B605" s="4" t="s">
        <v>218</v>
      </c>
      <c r="C605" s="4" t="s">
        <v>118</v>
      </c>
      <c r="D605" s="4">
        <v>61</v>
      </c>
      <c r="E605" s="4" t="s">
        <v>28</v>
      </c>
      <c r="F605" s="4">
        <f>VLOOKUP(E605,基础属性ID!A:B,2,0)</f>
        <v>11</v>
      </c>
      <c r="G605" s="4">
        <f>VLOOKUP(E605,基础属性ID!$A:$E,5,0)</f>
        <v>50</v>
      </c>
      <c r="H605" s="4">
        <v>4</v>
      </c>
      <c r="I605" s="4">
        <f t="shared" ref="I605:I606" si="170">H605*3</f>
        <v>12</v>
      </c>
      <c r="J605" s="4" t="str">
        <f t="shared" si="161"/>
        <v>11:50:4:12,</v>
      </c>
    </row>
    <row r="606" spans="1:10">
      <c r="A606" s="4" t="str">
        <f t="shared" si="164"/>
        <v>61级蓝手镯法力吸取</v>
      </c>
      <c r="B606" s="4" t="s">
        <v>218</v>
      </c>
      <c r="C606" s="4" t="s">
        <v>118</v>
      </c>
      <c r="D606" s="4">
        <v>61</v>
      </c>
      <c r="E606" s="4" t="s">
        <v>29</v>
      </c>
      <c r="F606" s="4">
        <f>VLOOKUP(E606,基础属性ID!A:B,2,0)</f>
        <v>12</v>
      </c>
      <c r="G606" s="4">
        <f>VLOOKUP(E606,基础属性ID!$A:$E,5,0)</f>
        <v>50</v>
      </c>
      <c r="H606" s="4">
        <v>4</v>
      </c>
      <c r="I606" s="4">
        <f t="shared" si="170"/>
        <v>12</v>
      </c>
      <c r="J606" s="4" t="str">
        <f t="shared" si="161"/>
        <v>12:50:4:12,</v>
      </c>
    </row>
    <row r="607" spans="1:10">
      <c r="A607" s="4" t="str">
        <f t="shared" si="164"/>
        <v>61级蓝手镯暴击几率</v>
      </c>
      <c r="B607" s="4" t="s">
        <v>218</v>
      </c>
      <c r="C607" s="4" t="s">
        <v>118</v>
      </c>
      <c r="D607" s="4">
        <v>61</v>
      </c>
      <c r="E607" s="4" t="s">
        <v>21</v>
      </c>
      <c r="F607" s="4">
        <f>VLOOKUP(E607,基础属性ID!A:B,2,0)</f>
        <v>13</v>
      </c>
      <c r="G607" s="4">
        <f>VLOOKUP(E607,基础属性ID!$A:$E,5,0)</f>
        <v>20</v>
      </c>
      <c r="H607" s="4">
        <v>20</v>
      </c>
      <c r="I607" s="4">
        <v>50</v>
      </c>
      <c r="J607" s="4" t="str">
        <f t="shared" si="161"/>
        <v>13:20:20:50,</v>
      </c>
    </row>
    <row r="608" spans="1:10">
      <c r="A608" s="4" t="str">
        <f t="shared" si="164"/>
        <v>61级蓝手镯爆击伤害</v>
      </c>
      <c r="B608" s="4" t="s">
        <v>218</v>
      </c>
      <c r="C608" s="4" t="s">
        <v>118</v>
      </c>
      <c r="D608" s="4">
        <v>61</v>
      </c>
      <c r="E608" s="4" t="s">
        <v>76</v>
      </c>
      <c r="F608" s="4">
        <f>VLOOKUP(E608,基础属性ID!A:B,2,0)</f>
        <v>14</v>
      </c>
      <c r="G608" s="4">
        <f>VLOOKUP(E608,基础属性ID!$A:$E,5,0)</f>
        <v>20</v>
      </c>
      <c r="H608" s="4">
        <v>2</v>
      </c>
      <c r="I608" s="4">
        <v>5</v>
      </c>
      <c r="J608" s="4" t="str">
        <f t="shared" si="161"/>
        <v>14:20:2:5,</v>
      </c>
    </row>
    <row r="609" spans="1:10">
      <c r="A609" s="4" t="str">
        <f t="shared" si="164"/>
        <v>61级蓝手镯伤害增加</v>
      </c>
      <c r="B609" s="4" t="s">
        <v>218</v>
      </c>
      <c r="C609" s="4" t="s">
        <v>118</v>
      </c>
      <c r="D609" s="4">
        <v>61</v>
      </c>
      <c r="E609" s="4" t="s">
        <v>26</v>
      </c>
      <c r="F609" s="4">
        <f>VLOOKUP(E609,基础属性ID!A:B,2,0)</f>
        <v>15</v>
      </c>
      <c r="G609" s="4">
        <f>VLOOKUP(E609,基础属性ID!$A:$E,5,0)</f>
        <v>10</v>
      </c>
      <c r="H609" s="4">
        <v>80</v>
      </c>
      <c r="I609" s="4">
        <v>150</v>
      </c>
      <c r="J609" s="4" t="str">
        <f t="shared" si="161"/>
        <v>15:10:80:150,</v>
      </c>
    </row>
    <row r="610" spans="1:10">
      <c r="A610" s="4" t="str">
        <f t="shared" si="164"/>
        <v>61级蓝手镯伤害减免</v>
      </c>
      <c r="B610" s="4" t="s">
        <v>218</v>
      </c>
      <c r="C610" s="4" t="s">
        <v>118</v>
      </c>
      <c r="D610" s="4">
        <v>61</v>
      </c>
      <c r="E610" s="4" t="s">
        <v>27</v>
      </c>
      <c r="F610" s="4">
        <f>VLOOKUP(E610,基础属性ID!A:B,2,0)</f>
        <v>16</v>
      </c>
      <c r="G610" s="4">
        <f>VLOOKUP(E610,基础属性ID!$A:$E,5,0)</f>
        <v>10</v>
      </c>
      <c r="H610" s="4">
        <v>80</v>
      </c>
      <c r="I610" s="4">
        <v>150</v>
      </c>
      <c r="J610" s="4" t="str">
        <f t="shared" si="161"/>
        <v>16:10:80:150,</v>
      </c>
    </row>
    <row r="611" spans="1:10">
      <c r="A611" s="4" t="str">
        <f t="shared" si="164"/>
        <v>61级蓝手镯装备掉率</v>
      </c>
      <c r="B611" s="4" t="s">
        <v>218</v>
      </c>
      <c r="C611" s="4" t="s">
        <v>118</v>
      </c>
      <c r="D611" s="4">
        <v>61</v>
      </c>
      <c r="E611" s="4" t="s">
        <v>30</v>
      </c>
      <c r="F611" s="4">
        <f>VLOOKUP(E611,基础属性ID!A:B,2,0)</f>
        <v>17</v>
      </c>
      <c r="G611" s="4">
        <f>VLOOKUP(E611,基础属性ID!$A:$E,5,0)</f>
        <v>60</v>
      </c>
      <c r="H611" s="4">
        <v>2</v>
      </c>
      <c r="I611" s="4">
        <v>6</v>
      </c>
      <c r="J611" s="4" t="str">
        <f t="shared" si="161"/>
        <v>17:60:2:6,</v>
      </c>
    </row>
    <row r="612" spans="1:10">
      <c r="A612" s="4" t="str">
        <f t="shared" si="164"/>
        <v>61级蓝手镯极品掉率</v>
      </c>
      <c r="B612" s="4" t="s">
        <v>218</v>
      </c>
      <c r="C612" s="4" t="s">
        <v>118</v>
      </c>
      <c r="D612" s="4">
        <v>61</v>
      </c>
      <c r="E612" s="4" t="s">
        <v>31</v>
      </c>
      <c r="F612" s="4">
        <f>VLOOKUP(E612,基础属性ID!A:B,2,0)</f>
        <v>18</v>
      </c>
      <c r="G612" s="4">
        <f>VLOOKUP(E612,基础属性ID!$A:$E,5,0)</f>
        <v>60</v>
      </c>
      <c r="H612" s="4">
        <v>2</v>
      </c>
      <c r="I612" s="4">
        <v>6</v>
      </c>
      <c r="J612" s="4" t="str">
        <f t="shared" si="161"/>
        <v>18:60:2:6,</v>
      </c>
    </row>
    <row r="613" spans="1:10">
      <c r="A613" s="4" t="str">
        <f t="shared" si="164"/>
        <v>21级蓝戒指生命值</v>
      </c>
      <c r="B613" s="4" t="s">
        <v>221</v>
      </c>
      <c r="C613" s="4" t="s">
        <v>118</v>
      </c>
      <c r="D613" s="4">
        <v>21</v>
      </c>
      <c r="E613" s="4" t="s">
        <v>74</v>
      </c>
      <c r="F613" s="4">
        <f>VLOOKUP(E613,基础属性ID!A:B,2,0)</f>
        <v>1</v>
      </c>
      <c r="G613" s="4">
        <f>VLOOKUP(E613,基础属性ID!$A:$E,5,0)</f>
        <v>100</v>
      </c>
      <c r="H613" s="4">
        <v>8</v>
      </c>
      <c r="I613" s="4">
        <f>H613*3</f>
        <v>24</v>
      </c>
      <c r="J613" s="4" t="str">
        <f t="shared" si="161"/>
        <v>1:100:8:24,</v>
      </c>
    </row>
    <row r="614" spans="1:10">
      <c r="A614" s="4" t="str">
        <f t="shared" si="164"/>
        <v>21级蓝戒指法力值</v>
      </c>
      <c r="B614" s="4" t="s">
        <v>221</v>
      </c>
      <c r="C614" s="4" t="s">
        <v>118</v>
      </c>
      <c r="D614" s="4">
        <v>21</v>
      </c>
      <c r="E614" s="4" t="s">
        <v>75</v>
      </c>
      <c r="F614" s="4">
        <f>VLOOKUP(E614,基础属性ID!A:B,2,0)</f>
        <v>2</v>
      </c>
      <c r="G614" s="4">
        <f>VLOOKUP(E614,基础属性ID!$A:$E,5,0)</f>
        <v>100</v>
      </c>
      <c r="H614" s="4">
        <v>6</v>
      </c>
      <c r="I614" s="4">
        <v>12</v>
      </c>
      <c r="J614" s="4" t="str">
        <f t="shared" si="161"/>
        <v>2:100:6:12,</v>
      </c>
    </row>
    <row r="615" spans="1:10">
      <c r="A615" s="4" t="str">
        <f t="shared" si="164"/>
        <v>21级蓝戒指物理攻击</v>
      </c>
      <c r="B615" s="4" t="s">
        <v>221</v>
      </c>
      <c r="C615" s="4" t="s">
        <v>118</v>
      </c>
      <c r="D615" s="4">
        <v>21</v>
      </c>
      <c r="E615" s="4" t="s">
        <v>13</v>
      </c>
      <c r="F615" s="4">
        <f>VLOOKUP(E615,基础属性ID!A:B,2,0)</f>
        <v>3</v>
      </c>
      <c r="G615" s="4">
        <f>VLOOKUP(E615,基础属性ID!$A:$E,5,0)</f>
        <v>100</v>
      </c>
      <c r="H615" s="4">
        <v>3</v>
      </c>
      <c r="I615" s="4">
        <f t="shared" ref="I615:I618" si="171">H615*3</f>
        <v>9</v>
      </c>
      <c r="J615" s="4" t="str">
        <f t="shared" si="161"/>
        <v>3:100:3:9,</v>
      </c>
    </row>
    <row r="616" spans="1:10">
      <c r="A616" s="4" t="str">
        <f t="shared" si="164"/>
        <v>21级蓝戒指魔法攻击</v>
      </c>
      <c r="B616" s="4" t="s">
        <v>221</v>
      </c>
      <c r="C616" s="4" t="s">
        <v>118</v>
      </c>
      <c r="D616" s="4">
        <v>21</v>
      </c>
      <c r="E616" s="4" t="s">
        <v>14</v>
      </c>
      <c r="F616" s="4">
        <f>VLOOKUP(E616,基础属性ID!A:B,2,0)</f>
        <v>4</v>
      </c>
      <c r="G616" s="4">
        <f>VLOOKUP(E616,基础属性ID!$A:$E,5,0)</f>
        <v>100</v>
      </c>
      <c r="H616" s="4">
        <v>3</v>
      </c>
      <c r="I616" s="4">
        <f t="shared" si="171"/>
        <v>9</v>
      </c>
      <c r="J616" s="4" t="str">
        <f t="shared" si="161"/>
        <v>4:100:3:9,</v>
      </c>
    </row>
    <row r="617" spans="1:10">
      <c r="A617" s="4" t="str">
        <f t="shared" si="164"/>
        <v>21级蓝戒指道术攻击</v>
      </c>
      <c r="B617" s="4" t="s">
        <v>221</v>
      </c>
      <c r="C617" s="4" t="s">
        <v>118</v>
      </c>
      <c r="D617" s="4">
        <v>21</v>
      </c>
      <c r="E617" s="4" t="s">
        <v>15</v>
      </c>
      <c r="F617" s="4">
        <f>VLOOKUP(E617,基础属性ID!A:B,2,0)</f>
        <v>5</v>
      </c>
      <c r="G617" s="4">
        <f>VLOOKUP(E617,基础属性ID!$A:$E,5,0)</f>
        <v>100</v>
      </c>
      <c r="H617" s="4">
        <v>3</v>
      </c>
      <c r="I617" s="4">
        <f t="shared" si="171"/>
        <v>9</v>
      </c>
      <c r="J617" s="4" t="str">
        <f t="shared" si="161"/>
        <v>5:100:3:9,</v>
      </c>
    </row>
    <row r="618" spans="1:10">
      <c r="A618" s="4" t="str">
        <f t="shared" si="164"/>
        <v>21级蓝戒指防御</v>
      </c>
      <c r="B618" s="4" t="s">
        <v>221</v>
      </c>
      <c r="C618" s="4" t="s">
        <v>118</v>
      </c>
      <c r="D618" s="4">
        <v>21</v>
      </c>
      <c r="E618" s="4" t="s">
        <v>17</v>
      </c>
      <c r="F618" s="4">
        <f>VLOOKUP(E618,基础属性ID!A:B,2,0)</f>
        <v>6</v>
      </c>
      <c r="G618" s="4">
        <f>VLOOKUP(E618,基础属性ID!$A:$E,5,0)</f>
        <v>100</v>
      </c>
      <c r="H618" s="4">
        <v>3</v>
      </c>
      <c r="I618" s="4">
        <f t="shared" si="171"/>
        <v>9</v>
      </c>
      <c r="J618" s="4" t="str">
        <f t="shared" si="161"/>
        <v>6:100:3:9,</v>
      </c>
    </row>
    <row r="619" spans="1:10">
      <c r="A619" s="4" t="str">
        <f t="shared" si="164"/>
        <v>21级蓝戒指攻速</v>
      </c>
      <c r="B619" s="4" t="s">
        <v>221</v>
      </c>
      <c r="C619" s="4" t="s">
        <v>118</v>
      </c>
      <c r="D619" s="4">
        <v>21</v>
      </c>
      <c r="E619" s="4" t="s">
        <v>18</v>
      </c>
      <c r="F619" s="4">
        <f>VLOOKUP(E619,基础属性ID!A:B,2,0)</f>
        <v>7</v>
      </c>
      <c r="G619" s="4">
        <f>VLOOKUP(E619,基础属性ID!$A:$E,5,0)</f>
        <v>20</v>
      </c>
      <c r="H619" s="4">
        <v>1</v>
      </c>
      <c r="I619" s="4">
        <v>1</v>
      </c>
      <c r="J619" s="4" t="str">
        <f t="shared" si="161"/>
        <v>7:20:1:1,</v>
      </c>
    </row>
    <row r="620" spans="1:10">
      <c r="A620" s="4" t="str">
        <f t="shared" si="164"/>
        <v>21级蓝戒指固定伤害</v>
      </c>
      <c r="B620" s="4" t="s">
        <v>221</v>
      </c>
      <c r="C620" s="4" t="s">
        <v>118</v>
      </c>
      <c r="D620" s="4">
        <v>21</v>
      </c>
      <c r="E620" s="4" t="s">
        <v>24</v>
      </c>
      <c r="F620" s="4">
        <f>VLOOKUP(E620,基础属性ID!A:B,2,0)</f>
        <v>9</v>
      </c>
      <c r="G620" s="4">
        <f>VLOOKUP(E620,基础属性ID!$A:$E,5,0)</f>
        <v>50</v>
      </c>
      <c r="H620" s="4">
        <v>3</v>
      </c>
      <c r="I620" s="4">
        <f t="shared" ref="I620:I621" si="172">H620*3</f>
        <v>9</v>
      </c>
      <c r="J620" s="4" t="str">
        <f t="shared" si="161"/>
        <v>9:50:3:9,</v>
      </c>
    </row>
    <row r="621" spans="1:10">
      <c r="A621" s="4" t="str">
        <f t="shared" si="164"/>
        <v>21级蓝戒指固定减伤</v>
      </c>
      <c r="B621" s="4" t="s">
        <v>221</v>
      </c>
      <c r="C621" s="4" t="s">
        <v>118</v>
      </c>
      <c r="D621" s="4">
        <v>21</v>
      </c>
      <c r="E621" s="4" t="s">
        <v>25</v>
      </c>
      <c r="F621" s="4">
        <f>VLOOKUP(E621,基础属性ID!A:B,2,0)</f>
        <v>10</v>
      </c>
      <c r="G621" s="4">
        <f>VLOOKUP(E621,基础属性ID!$A:$E,5,0)</f>
        <v>50</v>
      </c>
      <c r="H621" s="4">
        <v>3</v>
      </c>
      <c r="I621" s="4">
        <f t="shared" si="172"/>
        <v>9</v>
      </c>
      <c r="J621" s="4" t="str">
        <f t="shared" si="161"/>
        <v>10:50:3:9,</v>
      </c>
    </row>
    <row r="622" spans="1:10">
      <c r="A622" s="4" t="str">
        <f t="shared" si="164"/>
        <v>21级蓝戒指生命吸取</v>
      </c>
      <c r="B622" s="4" t="s">
        <v>221</v>
      </c>
      <c r="C622" s="4" t="s">
        <v>118</v>
      </c>
      <c r="D622" s="4">
        <v>21</v>
      </c>
      <c r="E622" s="4" t="s">
        <v>28</v>
      </c>
      <c r="F622" s="4">
        <f>VLOOKUP(E622,基础属性ID!A:B,2,0)</f>
        <v>11</v>
      </c>
      <c r="G622" s="4">
        <f>VLOOKUP(E622,基础属性ID!$A:$E,5,0)</f>
        <v>50</v>
      </c>
      <c r="H622" s="4">
        <v>1</v>
      </c>
      <c r="I622" s="4">
        <f t="shared" ref="I622:I623" si="173">H622*3</f>
        <v>3</v>
      </c>
      <c r="J622" s="4" t="str">
        <f t="shared" si="161"/>
        <v>11:50:1:3,</v>
      </c>
    </row>
    <row r="623" spans="1:10">
      <c r="A623" s="4" t="str">
        <f t="shared" si="164"/>
        <v>21级蓝戒指法力吸取</v>
      </c>
      <c r="B623" s="4" t="s">
        <v>221</v>
      </c>
      <c r="C623" s="4" t="s">
        <v>118</v>
      </c>
      <c r="D623" s="4">
        <v>21</v>
      </c>
      <c r="E623" s="4" t="s">
        <v>29</v>
      </c>
      <c r="F623" s="4">
        <f>VLOOKUP(E623,基础属性ID!A:B,2,0)</f>
        <v>12</v>
      </c>
      <c r="G623" s="4">
        <f>VLOOKUP(E623,基础属性ID!$A:$E,5,0)</f>
        <v>50</v>
      </c>
      <c r="H623" s="4">
        <v>1</v>
      </c>
      <c r="I623" s="4">
        <f t="shared" si="173"/>
        <v>3</v>
      </c>
      <c r="J623" s="4" t="str">
        <f t="shared" si="161"/>
        <v>12:50:1:3,</v>
      </c>
    </row>
    <row r="624" spans="1:10">
      <c r="A624" s="4" t="str">
        <f t="shared" si="164"/>
        <v>21级蓝戒指暴击几率</v>
      </c>
      <c r="B624" s="4" t="s">
        <v>221</v>
      </c>
      <c r="C624" s="4" t="s">
        <v>118</v>
      </c>
      <c r="D624" s="4">
        <v>21</v>
      </c>
      <c r="E624" s="4" t="s">
        <v>21</v>
      </c>
      <c r="F624" s="4">
        <f>VLOOKUP(E624,基础属性ID!A:B,2,0)</f>
        <v>13</v>
      </c>
      <c r="G624" s="4">
        <f>VLOOKUP(E624,基础属性ID!$A:$E,5,0)</f>
        <v>20</v>
      </c>
      <c r="H624" s="4">
        <v>20</v>
      </c>
      <c r="I624" s="4">
        <v>50</v>
      </c>
      <c r="J624" s="4" t="str">
        <f t="shared" si="161"/>
        <v>13:20:20:50,</v>
      </c>
    </row>
    <row r="625" spans="1:10">
      <c r="A625" s="4" t="str">
        <f t="shared" si="164"/>
        <v>21级蓝戒指爆击伤害</v>
      </c>
      <c r="B625" s="4" t="s">
        <v>221</v>
      </c>
      <c r="C625" s="4" t="s">
        <v>118</v>
      </c>
      <c r="D625" s="4">
        <v>21</v>
      </c>
      <c r="E625" s="4" t="s">
        <v>76</v>
      </c>
      <c r="F625" s="4">
        <f>VLOOKUP(E625,基础属性ID!A:B,2,0)</f>
        <v>14</v>
      </c>
      <c r="G625" s="4">
        <f>VLOOKUP(E625,基础属性ID!$A:$E,5,0)</f>
        <v>20</v>
      </c>
      <c r="H625" s="4">
        <v>2</v>
      </c>
      <c r="I625" s="4">
        <v>5</v>
      </c>
      <c r="J625" s="4" t="str">
        <f t="shared" si="161"/>
        <v>14:20:2:5,</v>
      </c>
    </row>
    <row r="626" spans="1:10">
      <c r="A626" s="4" t="str">
        <f t="shared" si="164"/>
        <v>21级蓝戒指伤害增加</v>
      </c>
      <c r="B626" s="4" t="s">
        <v>221</v>
      </c>
      <c r="C626" s="4" t="s">
        <v>118</v>
      </c>
      <c r="D626" s="4">
        <v>21</v>
      </c>
      <c r="E626" s="4" t="s">
        <v>26</v>
      </c>
      <c r="F626" s="4">
        <f>VLOOKUP(E626,基础属性ID!A:B,2,0)</f>
        <v>15</v>
      </c>
      <c r="G626" s="4">
        <f>VLOOKUP(E626,基础属性ID!$A:$E,5,0)</f>
        <v>10</v>
      </c>
      <c r="H626" s="4">
        <v>80</v>
      </c>
      <c r="I626" s="4">
        <v>150</v>
      </c>
      <c r="J626" s="4" t="str">
        <f t="shared" ref="J626:J687" si="174">F626&amp;":"&amp;G626&amp;":"&amp;H626&amp;":"&amp;I626&amp;","</f>
        <v>15:10:80:150,</v>
      </c>
    </row>
    <row r="627" spans="1:10">
      <c r="A627" s="4" t="str">
        <f t="shared" si="164"/>
        <v>21级蓝戒指伤害减免</v>
      </c>
      <c r="B627" s="4" t="s">
        <v>221</v>
      </c>
      <c r="C627" s="4" t="s">
        <v>118</v>
      </c>
      <c r="D627" s="4">
        <v>21</v>
      </c>
      <c r="E627" s="4" t="s">
        <v>27</v>
      </c>
      <c r="F627" s="4">
        <f>VLOOKUP(E627,基础属性ID!A:B,2,0)</f>
        <v>16</v>
      </c>
      <c r="G627" s="4">
        <f>VLOOKUP(E627,基础属性ID!$A:$E,5,0)</f>
        <v>10</v>
      </c>
      <c r="H627" s="4">
        <v>80</v>
      </c>
      <c r="I627" s="4">
        <v>150</v>
      </c>
      <c r="J627" s="4" t="str">
        <f t="shared" si="174"/>
        <v>16:10:80:150,</v>
      </c>
    </row>
    <row r="628" spans="1:10">
      <c r="A628" s="4" t="str">
        <f t="shared" si="164"/>
        <v>21级蓝戒指装备掉率</v>
      </c>
      <c r="B628" s="4" t="s">
        <v>221</v>
      </c>
      <c r="C628" s="4" t="s">
        <v>118</v>
      </c>
      <c r="D628" s="4">
        <v>21</v>
      </c>
      <c r="E628" s="4" t="s">
        <v>30</v>
      </c>
      <c r="F628" s="4">
        <f>VLOOKUP(E628,基础属性ID!A:B,2,0)</f>
        <v>17</v>
      </c>
      <c r="G628" s="4">
        <f>VLOOKUP(E628,基础属性ID!$A:$E,5,0)</f>
        <v>60</v>
      </c>
      <c r="H628" s="4">
        <v>2</v>
      </c>
      <c r="I628" s="4">
        <v>6</v>
      </c>
      <c r="J628" s="4" t="str">
        <f t="shared" si="174"/>
        <v>17:60:2:6,</v>
      </c>
    </row>
    <row r="629" spans="1:10">
      <c r="A629" s="4" t="str">
        <f t="shared" si="164"/>
        <v>21级蓝戒指极品掉率</v>
      </c>
      <c r="B629" s="4" t="s">
        <v>221</v>
      </c>
      <c r="C629" s="4" t="s">
        <v>118</v>
      </c>
      <c r="D629" s="4">
        <v>21</v>
      </c>
      <c r="E629" s="4" t="s">
        <v>31</v>
      </c>
      <c r="F629" s="4">
        <f>VLOOKUP(E629,基础属性ID!A:B,2,0)</f>
        <v>18</v>
      </c>
      <c r="G629" s="4">
        <f>VLOOKUP(E629,基础属性ID!$A:$E,5,0)</f>
        <v>60</v>
      </c>
      <c r="H629" s="4">
        <v>2</v>
      </c>
      <c r="I629" s="4">
        <v>6</v>
      </c>
      <c r="J629" s="4" t="str">
        <f t="shared" si="174"/>
        <v>18:60:2:6,</v>
      </c>
    </row>
    <row r="630" spans="1:10">
      <c r="A630" s="4" t="str">
        <f t="shared" si="164"/>
        <v>41级蓝戒指生命值</v>
      </c>
      <c r="B630" s="4" t="s">
        <v>221</v>
      </c>
      <c r="C630" s="4" t="s">
        <v>118</v>
      </c>
      <c r="D630" s="4">
        <v>41</v>
      </c>
      <c r="E630" s="4" t="s">
        <v>74</v>
      </c>
      <c r="F630" s="4">
        <f>VLOOKUP(E630,基础属性ID!A:B,2,0)</f>
        <v>1</v>
      </c>
      <c r="G630" s="4">
        <f>VLOOKUP(E630,基础属性ID!$A:$E,5,0)</f>
        <v>100</v>
      </c>
      <c r="H630" s="4">
        <v>15</v>
      </c>
      <c r="I630" s="4">
        <f>H630*3</f>
        <v>45</v>
      </c>
      <c r="J630" s="4" t="str">
        <f t="shared" si="174"/>
        <v>1:100:15:45,</v>
      </c>
    </row>
    <row r="631" spans="1:10">
      <c r="A631" s="4" t="str">
        <f t="shared" si="164"/>
        <v>41级蓝戒指法力值</v>
      </c>
      <c r="B631" s="4" t="s">
        <v>221</v>
      </c>
      <c r="C631" s="4" t="s">
        <v>118</v>
      </c>
      <c r="D631" s="4">
        <v>41</v>
      </c>
      <c r="E631" s="4" t="s">
        <v>75</v>
      </c>
      <c r="F631" s="4">
        <f>VLOOKUP(E631,基础属性ID!A:B,2,0)</f>
        <v>2</v>
      </c>
      <c r="G631" s="4">
        <f>VLOOKUP(E631,基础属性ID!$A:$E,5,0)</f>
        <v>100</v>
      </c>
      <c r="H631" s="4">
        <v>8</v>
      </c>
      <c r="I631" s="4">
        <v>15</v>
      </c>
      <c r="J631" s="4" t="str">
        <f t="shared" si="174"/>
        <v>2:100:8:15,</v>
      </c>
    </row>
    <row r="632" spans="1:10">
      <c r="A632" s="4" t="str">
        <f t="shared" si="164"/>
        <v>41级蓝戒指物理攻击</v>
      </c>
      <c r="B632" s="4" t="s">
        <v>221</v>
      </c>
      <c r="C632" s="4" t="s">
        <v>118</v>
      </c>
      <c r="D632" s="4">
        <v>41</v>
      </c>
      <c r="E632" s="4" t="s">
        <v>13</v>
      </c>
      <c r="F632" s="4">
        <f>VLOOKUP(E632,基础属性ID!A:B,2,0)</f>
        <v>3</v>
      </c>
      <c r="G632" s="4">
        <f>VLOOKUP(E632,基础属性ID!$A:$E,5,0)</f>
        <v>100</v>
      </c>
      <c r="H632" s="4">
        <v>4</v>
      </c>
      <c r="I632" s="4">
        <f t="shared" ref="I632:I635" si="175">H632*3</f>
        <v>12</v>
      </c>
      <c r="J632" s="4" t="str">
        <f t="shared" si="174"/>
        <v>3:100:4:12,</v>
      </c>
    </row>
    <row r="633" spans="1:10">
      <c r="A633" s="4" t="str">
        <f t="shared" si="164"/>
        <v>41级蓝戒指魔法攻击</v>
      </c>
      <c r="B633" s="4" t="s">
        <v>221</v>
      </c>
      <c r="C633" s="4" t="s">
        <v>118</v>
      </c>
      <c r="D633" s="4">
        <v>41</v>
      </c>
      <c r="E633" s="4" t="s">
        <v>14</v>
      </c>
      <c r="F633" s="4">
        <f>VLOOKUP(E633,基础属性ID!A:B,2,0)</f>
        <v>4</v>
      </c>
      <c r="G633" s="4">
        <f>VLOOKUP(E633,基础属性ID!$A:$E,5,0)</f>
        <v>100</v>
      </c>
      <c r="H633" s="4">
        <v>4</v>
      </c>
      <c r="I633" s="4">
        <f t="shared" si="175"/>
        <v>12</v>
      </c>
      <c r="J633" s="4" t="str">
        <f t="shared" si="174"/>
        <v>4:100:4:12,</v>
      </c>
    </row>
    <row r="634" spans="1:10">
      <c r="A634" s="4" t="str">
        <f t="shared" si="164"/>
        <v>41级蓝戒指道术攻击</v>
      </c>
      <c r="B634" s="4" t="s">
        <v>221</v>
      </c>
      <c r="C634" s="4" t="s">
        <v>118</v>
      </c>
      <c r="D634" s="4">
        <v>41</v>
      </c>
      <c r="E634" s="4" t="s">
        <v>15</v>
      </c>
      <c r="F634" s="4">
        <f>VLOOKUP(E634,基础属性ID!A:B,2,0)</f>
        <v>5</v>
      </c>
      <c r="G634" s="4">
        <f>VLOOKUP(E634,基础属性ID!$A:$E,5,0)</f>
        <v>100</v>
      </c>
      <c r="H634" s="4">
        <v>4</v>
      </c>
      <c r="I634" s="4">
        <f t="shared" si="175"/>
        <v>12</v>
      </c>
      <c r="J634" s="4" t="str">
        <f t="shared" si="174"/>
        <v>5:100:4:12,</v>
      </c>
    </row>
    <row r="635" spans="1:10">
      <c r="A635" s="4" t="str">
        <f t="shared" si="164"/>
        <v>41级蓝戒指防御</v>
      </c>
      <c r="B635" s="4" t="s">
        <v>221</v>
      </c>
      <c r="C635" s="4" t="s">
        <v>118</v>
      </c>
      <c r="D635" s="4">
        <v>41</v>
      </c>
      <c r="E635" s="4" t="s">
        <v>17</v>
      </c>
      <c r="F635" s="4">
        <f>VLOOKUP(E635,基础属性ID!A:B,2,0)</f>
        <v>6</v>
      </c>
      <c r="G635" s="4">
        <f>VLOOKUP(E635,基础属性ID!$A:$E,5,0)</f>
        <v>100</v>
      </c>
      <c r="H635" s="4">
        <v>4</v>
      </c>
      <c r="I635" s="4">
        <f t="shared" si="175"/>
        <v>12</v>
      </c>
      <c r="J635" s="4" t="str">
        <f t="shared" si="174"/>
        <v>6:100:4:12,</v>
      </c>
    </row>
    <row r="636" spans="1:10">
      <c r="A636" s="4" t="str">
        <f t="shared" si="164"/>
        <v>41级蓝戒指攻速</v>
      </c>
      <c r="B636" s="4" t="s">
        <v>221</v>
      </c>
      <c r="C636" s="4" t="s">
        <v>118</v>
      </c>
      <c r="D636" s="4">
        <v>41</v>
      </c>
      <c r="E636" s="4" t="s">
        <v>18</v>
      </c>
      <c r="F636" s="4">
        <f>VLOOKUP(E636,基础属性ID!A:B,2,0)</f>
        <v>7</v>
      </c>
      <c r="G636" s="4">
        <f>VLOOKUP(E636,基础属性ID!$A:$E,5,0)</f>
        <v>20</v>
      </c>
      <c r="H636" s="4">
        <v>1</v>
      </c>
      <c r="I636" s="4">
        <v>1</v>
      </c>
      <c r="J636" s="4" t="str">
        <f t="shared" si="174"/>
        <v>7:20:1:1,</v>
      </c>
    </row>
    <row r="637" spans="1:10">
      <c r="A637" s="4" t="str">
        <f t="shared" si="164"/>
        <v>41级蓝戒指固定伤害</v>
      </c>
      <c r="B637" s="4" t="s">
        <v>221</v>
      </c>
      <c r="C637" s="4" t="s">
        <v>118</v>
      </c>
      <c r="D637" s="4">
        <v>41</v>
      </c>
      <c r="E637" s="4" t="s">
        <v>24</v>
      </c>
      <c r="F637" s="4">
        <f>VLOOKUP(E637,基础属性ID!A:B,2,0)</f>
        <v>9</v>
      </c>
      <c r="G637" s="4">
        <f>VLOOKUP(E637,基础属性ID!$A:$E,5,0)</f>
        <v>50</v>
      </c>
      <c r="H637" s="4">
        <v>4</v>
      </c>
      <c r="I637" s="4">
        <f t="shared" ref="I637:I638" si="176">H637*3</f>
        <v>12</v>
      </c>
      <c r="J637" s="4" t="str">
        <f t="shared" si="174"/>
        <v>9:50:4:12,</v>
      </c>
    </row>
    <row r="638" spans="1:10">
      <c r="A638" s="4" t="str">
        <f t="shared" si="164"/>
        <v>41级蓝戒指固定减伤</v>
      </c>
      <c r="B638" s="4" t="s">
        <v>221</v>
      </c>
      <c r="C638" s="4" t="s">
        <v>118</v>
      </c>
      <c r="D638" s="4">
        <v>41</v>
      </c>
      <c r="E638" s="4" t="s">
        <v>25</v>
      </c>
      <c r="F638" s="4">
        <f>VLOOKUP(E638,基础属性ID!A:B,2,0)</f>
        <v>10</v>
      </c>
      <c r="G638" s="4">
        <f>VLOOKUP(E638,基础属性ID!$A:$E,5,0)</f>
        <v>50</v>
      </c>
      <c r="H638" s="4">
        <v>4</v>
      </c>
      <c r="I638" s="4">
        <f t="shared" si="176"/>
        <v>12</v>
      </c>
      <c r="J638" s="4" t="str">
        <f t="shared" si="174"/>
        <v>10:50:4:12,</v>
      </c>
    </row>
    <row r="639" spans="1:10">
      <c r="A639" s="4" t="str">
        <f t="shared" si="164"/>
        <v>41级蓝戒指生命吸取</v>
      </c>
      <c r="B639" s="4" t="s">
        <v>221</v>
      </c>
      <c r="C639" s="4" t="s">
        <v>118</v>
      </c>
      <c r="D639" s="4">
        <v>41</v>
      </c>
      <c r="E639" s="4" t="s">
        <v>28</v>
      </c>
      <c r="F639" s="4">
        <f>VLOOKUP(E639,基础属性ID!A:B,2,0)</f>
        <v>11</v>
      </c>
      <c r="G639" s="4">
        <f>VLOOKUP(E639,基础属性ID!$A:$E,5,0)</f>
        <v>50</v>
      </c>
      <c r="H639" s="4">
        <v>2</v>
      </c>
      <c r="I639" s="4">
        <f t="shared" ref="I639:I640" si="177">H639*3</f>
        <v>6</v>
      </c>
      <c r="J639" s="4" t="str">
        <f t="shared" si="174"/>
        <v>11:50:2:6,</v>
      </c>
    </row>
    <row r="640" spans="1:10">
      <c r="A640" s="4" t="str">
        <f t="shared" si="164"/>
        <v>41级蓝戒指法力吸取</v>
      </c>
      <c r="B640" s="4" t="s">
        <v>221</v>
      </c>
      <c r="C640" s="4" t="s">
        <v>118</v>
      </c>
      <c r="D640" s="4">
        <v>41</v>
      </c>
      <c r="E640" s="4" t="s">
        <v>29</v>
      </c>
      <c r="F640" s="4">
        <f>VLOOKUP(E640,基础属性ID!A:B,2,0)</f>
        <v>12</v>
      </c>
      <c r="G640" s="4">
        <f>VLOOKUP(E640,基础属性ID!$A:$E,5,0)</f>
        <v>50</v>
      </c>
      <c r="H640" s="4">
        <v>2</v>
      </c>
      <c r="I640" s="4">
        <f t="shared" si="177"/>
        <v>6</v>
      </c>
      <c r="J640" s="4" t="str">
        <f t="shared" si="174"/>
        <v>12:50:2:6,</v>
      </c>
    </row>
    <row r="641" spans="1:10">
      <c r="A641" s="4" t="str">
        <f t="shared" si="164"/>
        <v>41级蓝戒指暴击几率</v>
      </c>
      <c r="B641" s="4" t="s">
        <v>221</v>
      </c>
      <c r="C641" s="4" t="s">
        <v>118</v>
      </c>
      <c r="D641" s="4">
        <v>41</v>
      </c>
      <c r="E641" s="4" t="s">
        <v>21</v>
      </c>
      <c r="F641" s="4">
        <f>VLOOKUP(E641,基础属性ID!A:B,2,0)</f>
        <v>13</v>
      </c>
      <c r="G641" s="4">
        <f>VLOOKUP(E641,基础属性ID!$A:$E,5,0)</f>
        <v>20</v>
      </c>
      <c r="H641" s="4">
        <v>20</v>
      </c>
      <c r="I641" s="4">
        <v>50</v>
      </c>
      <c r="J641" s="4" t="str">
        <f t="shared" si="174"/>
        <v>13:20:20:50,</v>
      </c>
    </row>
    <row r="642" spans="1:10">
      <c r="A642" s="4" t="str">
        <f t="shared" si="164"/>
        <v>41级蓝戒指爆击伤害</v>
      </c>
      <c r="B642" s="4" t="s">
        <v>221</v>
      </c>
      <c r="C642" s="4" t="s">
        <v>118</v>
      </c>
      <c r="D642" s="4">
        <v>41</v>
      </c>
      <c r="E642" s="4" t="s">
        <v>76</v>
      </c>
      <c r="F642" s="4">
        <f>VLOOKUP(E642,基础属性ID!A:B,2,0)</f>
        <v>14</v>
      </c>
      <c r="G642" s="4">
        <f>VLOOKUP(E642,基础属性ID!$A:$E,5,0)</f>
        <v>20</v>
      </c>
      <c r="H642" s="4">
        <v>2</v>
      </c>
      <c r="I642" s="4">
        <v>5</v>
      </c>
      <c r="J642" s="4" t="str">
        <f t="shared" si="174"/>
        <v>14:20:2:5,</v>
      </c>
    </row>
    <row r="643" spans="1:10">
      <c r="A643" s="4" t="str">
        <f t="shared" ref="A643:A706" si="178">D643&amp;"级"&amp;C643&amp;B643&amp;E643</f>
        <v>41级蓝戒指伤害增加</v>
      </c>
      <c r="B643" s="4" t="s">
        <v>221</v>
      </c>
      <c r="C643" s="4" t="s">
        <v>118</v>
      </c>
      <c r="D643" s="4">
        <v>41</v>
      </c>
      <c r="E643" s="4" t="s">
        <v>26</v>
      </c>
      <c r="F643" s="4">
        <f>VLOOKUP(E643,基础属性ID!A:B,2,0)</f>
        <v>15</v>
      </c>
      <c r="G643" s="4">
        <f>VLOOKUP(E643,基础属性ID!$A:$E,5,0)</f>
        <v>10</v>
      </c>
      <c r="H643" s="4">
        <v>80</v>
      </c>
      <c r="I643" s="4">
        <v>150</v>
      </c>
      <c r="J643" s="4" t="str">
        <f t="shared" si="174"/>
        <v>15:10:80:150,</v>
      </c>
    </row>
    <row r="644" spans="1:10">
      <c r="A644" s="4" t="str">
        <f t="shared" si="178"/>
        <v>41级蓝戒指伤害减免</v>
      </c>
      <c r="B644" s="4" t="s">
        <v>221</v>
      </c>
      <c r="C644" s="4" t="s">
        <v>118</v>
      </c>
      <c r="D644" s="4">
        <v>41</v>
      </c>
      <c r="E644" s="4" t="s">
        <v>27</v>
      </c>
      <c r="F644" s="4">
        <f>VLOOKUP(E644,基础属性ID!A:B,2,0)</f>
        <v>16</v>
      </c>
      <c r="G644" s="4">
        <f>VLOOKUP(E644,基础属性ID!$A:$E,5,0)</f>
        <v>10</v>
      </c>
      <c r="H644" s="4">
        <v>80</v>
      </c>
      <c r="I644" s="4">
        <v>150</v>
      </c>
      <c r="J644" s="4" t="str">
        <f t="shared" si="174"/>
        <v>16:10:80:150,</v>
      </c>
    </row>
    <row r="645" spans="1:10">
      <c r="A645" s="4" t="str">
        <f t="shared" si="178"/>
        <v>41级蓝戒指装备掉率</v>
      </c>
      <c r="B645" s="4" t="s">
        <v>221</v>
      </c>
      <c r="C645" s="4" t="s">
        <v>118</v>
      </c>
      <c r="D645" s="4">
        <v>41</v>
      </c>
      <c r="E645" s="4" t="s">
        <v>30</v>
      </c>
      <c r="F645" s="4">
        <f>VLOOKUP(E645,基础属性ID!A:B,2,0)</f>
        <v>17</v>
      </c>
      <c r="G645" s="4">
        <f>VLOOKUP(E645,基础属性ID!$A:$E,5,0)</f>
        <v>60</v>
      </c>
      <c r="H645" s="4">
        <v>2</v>
      </c>
      <c r="I645" s="4">
        <v>6</v>
      </c>
      <c r="J645" s="4" t="str">
        <f t="shared" si="174"/>
        <v>17:60:2:6,</v>
      </c>
    </row>
    <row r="646" spans="1:10">
      <c r="A646" s="4" t="str">
        <f t="shared" si="178"/>
        <v>41级蓝戒指极品掉率</v>
      </c>
      <c r="B646" s="4" t="s">
        <v>221</v>
      </c>
      <c r="C646" s="4" t="s">
        <v>118</v>
      </c>
      <c r="D646" s="4">
        <v>41</v>
      </c>
      <c r="E646" s="4" t="s">
        <v>31</v>
      </c>
      <c r="F646" s="4">
        <f>VLOOKUP(E646,基础属性ID!A:B,2,0)</f>
        <v>18</v>
      </c>
      <c r="G646" s="4">
        <f>VLOOKUP(E646,基础属性ID!$A:$E,5,0)</f>
        <v>60</v>
      </c>
      <c r="H646" s="4">
        <v>2</v>
      </c>
      <c r="I646" s="4">
        <v>6</v>
      </c>
      <c r="J646" s="4" t="str">
        <f t="shared" si="174"/>
        <v>18:60:2:6,</v>
      </c>
    </row>
    <row r="647" spans="1:10">
      <c r="A647" s="4" t="str">
        <f t="shared" si="178"/>
        <v>61级蓝戒指生命值</v>
      </c>
      <c r="B647" s="4" t="s">
        <v>221</v>
      </c>
      <c r="C647" s="4" t="s">
        <v>118</v>
      </c>
      <c r="D647" s="4">
        <v>61</v>
      </c>
      <c r="E647" s="4" t="s">
        <v>74</v>
      </c>
      <c r="F647" s="4">
        <f>VLOOKUP(E647,基础属性ID!A:B,2,0)</f>
        <v>1</v>
      </c>
      <c r="G647" s="4">
        <f>VLOOKUP(E647,基础属性ID!$A:$E,5,0)</f>
        <v>100</v>
      </c>
      <c r="H647" s="4">
        <v>20</v>
      </c>
      <c r="I647" s="4">
        <f>H647*3</f>
        <v>60</v>
      </c>
      <c r="J647" s="4" t="str">
        <f t="shared" si="174"/>
        <v>1:100:20:60,</v>
      </c>
    </row>
    <row r="648" spans="1:10">
      <c r="A648" s="4" t="str">
        <f t="shared" si="178"/>
        <v>61级蓝戒指法力值</v>
      </c>
      <c r="B648" s="4" t="s">
        <v>221</v>
      </c>
      <c r="C648" s="4" t="s">
        <v>118</v>
      </c>
      <c r="D648" s="4">
        <v>61</v>
      </c>
      <c r="E648" s="4" t="s">
        <v>75</v>
      </c>
      <c r="F648" s="4">
        <f>VLOOKUP(E648,基础属性ID!A:B,2,0)</f>
        <v>2</v>
      </c>
      <c r="G648" s="4">
        <f>VLOOKUP(E648,基础属性ID!$A:$E,5,0)</f>
        <v>100</v>
      </c>
      <c r="H648" s="4">
        <v>10</v>
      </c>
      <c r="I648" s="4">
        <v>20</v>
      </c>
      <c r="J648" s="4" t="str">
        <f t="shared" si="174"/>
        <v>2:100:10:20,</v>
      </c>
    </row>
    <row r="649" spans="1:10">
      <c r="A649" s="4" t="str">
        <f t="shared" si="178"/>
        <v>61级蓝戒指物理攻击</v>
      </c>
      <c r="B649" s="4" t="s">
        <v>221</v>
      </c>
      <c r="C649" s="4" t="s">
        <v>118</v>
      </c>
      <c r="D649" s="4">
        <v>61</v>
      </c>
      <c r="E649" s="4" t="s">
        <v>13</v>
      </c>
      <c r="F649" s="4">
        <f>VLOOKUP(E649,基础属性ID!A:B,2,0)</f>
        <v>3</v>
      </c>
      <c r="G649" s="4">
        <f>VLOOKUP(E649,基础属性ID!$A:$E,5,0)</f>
        <v>100</v>
      </c>
      <c r="H649" s="4">
        <v>6</v>
      </c>
      <c r="I649" s="4">
        <f t="shared" ref="I649:I652" si="179">H649*3</f>
        <v>18</v>
      </c>
      <c r="J649" s="4" t="str">
        <f t="shared" si="174"/>
        <v>3:100:6:18,</v>
      </c>
    </row>
    <row r="650" spans="1:10">
      <c r="A650" s="4" t="str">
        <f t="shared" si="178"/>
        <v>61级蓝戒指魔法攻击</v>
      </c>
      <c r="B650" s="4" t="s">
        <v>221</v>
      </c>
      <c r="C650" s="4" t="s">
        <v>118</v>
      </c>
      <c r="D650" s="4">
        <v>61</v>
      </c>
      <c r="E650" s="4" t="s">
        <v>14</v>
      </c>
      <c r="F650" s="4">
        <f>VLOOKUP(E650,基础属性ID!A:B,2,0)</f>
        <v>4</v>
      </c>
      <c r="G650" s="4">
        <f>VLOOKUP(E650,基础属性ID!$A:$E,5,0)</f>
        <v>100</v>
      </c>
      <c r="H650" s="4">
        <v>6</v>
      </c>
      <c r="I650" s="4">
        <f t="shared" si="179"/>
        <v>18</v>
      </c>
      <c r="J650" s="4" t="str">
        <f t="shared" si="174"/>
        <v>4:100:6:18,</v>
      </c>
    </row>
    <row r="651" spans="1:10">
      <c r="A651" s="4" t="str">
        <f t="shared" si="178"/>
        <v>61级蓝戒指道术攻击</v>
      </c>
      <c r="B651" s="4" t="s">
        <v>221</v>
      </c>
      <c r="C651" s="4" t="s">
        <v>118</v>
      </c>
      <c r="D651" s="4">
        <v>61</v>
      </c>
      <c r="E651" s="4" t="s">
        <v>15</v>
      </c>
      <c r="F651" s="4">
        <f>VLOOKUP(E651,基础属性ID!A:B,2,0)</f>
        <v>5</v>
      </c>
      <c r="G651" s="4">
        <f>VLOOKUP(E651,基础属性ID!$A:$E,5,0)</f>
        <v>100</v>
      </c>
      <c r="H651" s="4">
        <v>6</v>
      </c>
      <c r="I651" s="4">
        <f t="shared" si="179"/>
        <v>18</v>
      </c>
      <c r="J651" s="4" t="str">
        <f t="shared" si="174"/>
        <v>5:100:6:18,</v>
      </c>
    </row>
    <row r="652" spans="1:10">
      <c r="A652" s="4" t="str">
        <f t="shared" si="178"/>
        <v>61级蓝戒指防御</v>
      </c>
      <c r="B652" s="4" t="s">
        <v>221</v>
      </c>
      <c r="C652" s="4" t="s">
        <v>118</v>
      </c>
      <c r="D652" s="4">
        <v>61</v>
      </c>
      <c r="E652" s="4" t="s">
        <v>17</v>
      </c>
      <c r="F652" s="4">
        <f>VLOOKUP(E652,基础属性ID!A:B,2,0)</f>
        <v>6</v>
      </c>
      <c r="G652" s="4">
        <f>VLOOKUP(E652,基础属性ID!$A:$E,5,0)</f>
        <v>100</v>
      </c>
      <c r="H652" s="4">
        <v>6</v>
      </c>
      <c r="I652" s="4">
        <f t="shared" si="179"/>
        <v>18</v>
      </c>
      <c r="J652" s="4" t="str">
        <f t="shared" si="174"/>
        <v>6:100:6:18,</v>
      </c>
    </row>
    <row r="653" spans="1:10">
      <c r="A653" s="4" t="str">
        <f t="shared" si="178"/>
        <v>61级蓝戒指攻速</v>
      </c>
      <c r="B653" s="4" t="s">
        <v>221</v>
      </c>
      <c r="C653" s="4" t="s">
        <v>118</v>
      </c>
      <c r="D653" s="4">
        <v>61</v>
      </c>
      <c r="E653" s="4" t="s">
        <v>18</v>
      </c>
      <c r="F653" s="4">
        <f>VLOOKUP(E653,基础属性ID!A:B,2,0)</f>
        <v>7</v>
      </c>
      <c r="G653" s="4">
        <f>VLOOKUP(E653,基础属性ID!$A:$E,5,0)</f>
        <v>20</v>
      </c>
      <c r="H653" s="4">
        <v>1</v>
      </c>
      <c r="I653" s="4">
        <v>1</v>
      </c>
      <c r="J653" s="4" t="str">
        <f t="shared" si="174"/>
        <v>7:20:1:1,</v>
      </c>
    </row>
    <row r="654" spans="1:10">
      <c r="A654" s="4" t="str">
        <f t="shared" si="178"/>
        <v>61级蓝戒指固定伤害</v>
      </c>
      <c r="B654" s="4" t="s">
        <v>221</v>
      </c>
      <c r="C654" s="4" t="s">
        <v>118</v>
      </c>
      <c r="D654" s="4">
        <v>61</v>
      </c>
      <c r="E654" s="4" t="s">
        <v>24</v>
      </c>
      <c r="F654" s="4">
        <f>VLOOKUP(E654,基础属性ID!A:B,2,0)</f>
        <v>9</v>
      </c>
      <c r="G654" s="4">
        <f>VLOOKUP(E654,基础属性ID!$A:$E,5,0)</f>
        <v>50</v>
      </c>
      <c r="H654" s="4">
        <v>5</v>
      </c>
      <c r="I654" s="4">
        <f t="shared" ref="I654:I655" si="180">H654*3</f>
        <v>15</v>
      </c>
      <c r="J654" s="4" t="str">
        <f t="shared" si="174"/>
        <v>9:50:5:15,</v>
      </c>
    </row>
    <row r="655" spans="1:10">
      <c r="A655" s="4" t="str">
        <f t="shared" si="178"/>
        <v>61级蓝戒指固定减伤</v>
      </c>
      <c r="B655" s="4" t="s">
        <v>221</v>
      </c>
      <c r="C655" s="4" t="s">
        <v>118</v>
      </c>
      <c r="D655" s="4">
        <v>61</v>
      </c>
      <c r="E655" s="4" t="s">
        <v>25</v>
      </c>
      <c r="F655" s="4">
        <f>VLOOKUP(E655,基础属性ID!A:B,2,0)</f>
        <v>10</v>
      </c>
      <c r="G655" s="4">
        <f>VLOOKUP(E655,基础属性ID!$A:$E,5,0)</f>
        <v>50</v>
      </c>
      <c r="H655" s="4">
        <v>5</v>
      </c>
      <c r="I655" s="4">
        <f t="shared" si="180"/>
        <v>15</v>
      </c>
      <c r="J655" s="4" t="str">
        <f t="shared" si="174"/>
        <v>10:50:5:15,</v>
      </c>
    </row>
    <row r="656" spans="1:10">
      <c r="A656" s="4" t="str">
        <f t="shared" si="178"/>
        <v>61级蓝戒指生命吸取</v>
      </c>
      <c r="B656" s="4" t="s">
        <v>221</v>
      </c>
      <c r="C656" s="4" t="s">
        <v>118</v>
      </c>
      <c r="D656" s="4">
        <v>61</v>
      </c>
      <c r="E656" s="4" t="s">
        <v>28</v>
      </c>
      <c r="F656" s="4">
        <f>VLOOKUP(E656,基础属性ID!A:B,2,0)</f>
        <v>11</v>
      </c>
      <c r="G656" s="4">
        <f>VLOOKUP(E656,基础属性ID!$A:$E,5,0)</f>
        <v>50</v>
      </c>
      <c r="H656" s="4">
        <v>4</v>
      </c>
      <c r="I656" s="4">
        <f t="shared" ref="I656:I657" si="181">H656*3</f>
        <v>12</v>
      </c>
      <c r="J656" s="4" t="str">
        <f t="shared" si="174"/>
        <v>11:50:4:12,</v>
      </c>
    </row>
    <row r="657" spans="1:10">
      <c r="A657" s="4" t="str">
        <f t="shared" si="178"/>
        <v>61级蓝戒指法力吸取</v>
      </c>
      <c r="B657" s="4" t="s">
        <v>221</v>
      </c>
      <c r="C657" s="4" t="s">
        <v>118</v>
      </c>
      <c r="D657" s="4">
        <v>61</v>
      </c>
      <c r="E657" s="4" t="s">
        <v>29</v>
      </c>
      <c r="F657" s="4">
        <f>VLOOKUP(E657,基础属性ID!A:B,2,0)</f>
        <v>12</v>
      </c>
      <c r="G657" s="4">
        <f>VLOOKUP(E657,基础属性ID!$A:$E,5,0)</f>
        <v>50</v>
      </c>
      <c r="H657" s="4">
        <v>4</v>
      </c>
      <c r="I657" s="4">
        <f t="shared" si="181"/>
        <v>12</v>
      </c>
      <c r="J657" s="4" t="str">
        <f t="shared" si="174"/>
        <v>12:50:4:12,</v>
      </c>
    </row>
    <row r="658" spans="1:10">
      <c r="A658" s="4" t="str">
        <f t="shared" si="178"/>
        <v>61级蓝戒指暴击几率</v>
      </c>
      <c r="B658" s="4" t="s">
        <v>221</v>
      </c>
      <c r="C658" s="4" t="s">
        <v>118</v>
      </c>
      <c r="D658" s="4">
        <v>61</v>
      </c>
      <c r="E658" s="4" t="s">
        <v>21</v>
      </c>
      <c r="F658" s="4">
        <f>VLOOKUP(E658,基础属性ID!A:B,2,0)</f>
        <v>13</v>
      </c>
      <c r="G658" s="4">
        <f>VLOOKUP(E658,基础属性ID!$A:$E,5,0)</f>
        <v>20</v>
      </c>
      <c r="H658" s="4">
        <v>20</v>
      </c>
      <c r="I658" s="4">
        <v>50</v>
      </c>
      <c r="J658" s="4" t="str">
        <f t="shared" si="174"/>
        <v>13:20:20:50,</v>
      </c>
    </row>
    <row r="659" spans="1:10">
      <c r="A659" s="4" t="str">
        <f t="shared" si="178"/>
        <v>61级蓝戒指爆击伤害</v>
      </c>
      <c r="B659" s="4" t="s">
        <v>221</v>
      </c>
      <c r="C659" s="4" t="s">
        <v>118</v>
      </c>
      <c r="D659" s="4">
        <v>61</v>
      </c>
      <c r="E659" s="4" t="s">
        <v>76</v>
      </c>
      <c r="F659" s="4">
        <f>VLOOKUP(E659,基础属性ID!A:B,2,0)</f>
        <v>14</v>
      </c>
      <c r="G659" s="4">
        <f>VLOOKUP(E659,基础属性ID!$A:$E,5,0)</f>
        <v>20</v>
      </c>
      <c r="H659" s="4">
        <v>2</v>
      </c>
      <c r="I659" s="4">
        <v>5</v>
      </c>
      <c r="J659" s="4" t="str">
        <f t="shared" si="174"/>
        <v>14:20:2:5,</v>
      </c>
    </row>
    <row r="660" spans="1:10">
      <c r="A660" s="4" t="str">
        <f t="shared" si="178"/>
        <v>61级蓝戒指伤害增加</v>
      </c>
      <c r="B660" s="4" t="s">
        <v>221</v>
      </c>
      <c r="C660" s="4" t="s">
        <v>118</v>
      </c>
      <c r="D660" s="4">
        <v>61</v>
      </c>
      <c r="E660" s="4" t="s">
        <v>26</v>
      </c>
      <c r="F660" s="4">
        <f>VLOOKUP(E660,基础属性ID!A:B,2,0)</f>
        <v>15</v>
      </c>
      <c r="G660" s="4">
        <f>VLOOKUP(E660,基础属性ID!$A:$E,5,0)</f>
        <v>10</v>
      </c>
      <c r="H660" s="4">
        <v>80</v>
      </c>
      <c r="I660" s="4">
        <v>150</v>
      </c>
      <c r="J660" s="4" t="str">
        <f t="shared" si="174"/>
        <v>15:10:80:150,</v>
      </c>
    </row>
    <row r="661" spans="1:10">
      <c r="A661" s="4" t="str">
        <f t="shared" si="178"/>
        <v>61级蓝戒指伤害减免</v>
      </c>
      <c r="B661" s="4" t="s">
        <v>221</v>
      </c>
      <c r="C661" s="4" t="s">
        <v>118</v>
      </c>
      <c r="D661" s="4">
        <v>61</v>
      </c>
      <c r="E661" s="4" t="s">
        <v>27</v>
      </c>
      <c r="F661" s="4">
        <f>VLOOKUP(E661,基础属性ID!A:B,2,0)</f>
        <v>16</v>
      </c>
      <c r="G661" s="4">
        <f>VLOOKUP(E661,基础属性ID!$A:$E,5,0)</f>
        <v>10</v>
      </c>
      <c r="H661" s="4">
        <v>80</v>
      </c>
      <c r="I661" s="4">
        <v>150</v>
      </c>
      <c r="J661" s="4" t="str">
        <f t="shared" si="174"/>
        <v>16:10:80:150,</v>
      </c>
    </row>
    <row r="662" spans="1:10">
      <c r="A662" s="4" t="str">
        <f t="shared" si="178"/>
        <v>61级蓝戒指装备掉率</v>
      </c>
      <c r="B662" s="4" t="s">
        <v>221</v>
      </c>
      <c r="C662" s="4" t="s">
        <v>118</v>
      </c>
      <c r="D662" s="4">
        <v>61</v>
      </c>
      <c r="E662" s="4" t="s">
        <v>30</v>
      </c>
      <c r="F662" s="4">
        <f>VLOOKUP(E662,基础属性ID!A:B,2,0)</f>
        <v>17</v>
      </c>
      <c r="G662" s="4">
        <f>VLOOKUP(E662,基础属性ID!$A:$E,5,0)</f>
        <v>60</v>
      </c>
      <c r="H662" s="4">
        <v>2</v>
      </c>
      <c r="I662" s="4">
        <v>6</v>
      </c>
      <c r="J662" s="4" t="str">
        <f t="shared" si="174"/>
        <v>17:60:2:6,</v>
      </c>
    </row>
    <row r="663" spans="1:10">
      <c r="A663" s="4" t="str">
        <f t="shared" si="178"/>
        <v>61级蓝戒指极品掉率</v>
      </c>
      <c r="B663" s="4" t="s">
        <v>221</v>
      </c>
      <c r="C663" s="4" t="s">
        <v>118</v>
      </c>
      <c r="D663" s="4">
        <v>61</v>
      </c>
      <c r="E663" s="4" t="s">
        <v>31</v>
      </c>
      <c r="F663" s="4">
        <f>VLOOKUP(E663,基础属性ID!A:B,2,0)</f>
        <v>18</v>
      </c>
      <c r="G663" s="4">
        <f>VLOOKUP(E663,基础属性ID!$A:$E,5,0)</f>
        <v>60</v>
      </c>
      <c r="H663" s="4">
        <v>2</v>
      </c>
      <c r="I663" s="4">
        <v>6</v>
      </c>
      <c r="J663" s="4" t="str">
        <f t="shared" si="174"/>
        <v>18:60:2:6,</v>
      </c>
    </row>
    <row r="664" spans="1:10">
      <c r="A664" s="4" t="str">
        <f t="shared" si="178"/>
        <v>1级紫武器生命值</v>
      </c>
      <c r="B664" s="4" t="s">
        <v>198</v>
      </c>
      <c r="C664" s="4" t="s">
        <v>119</v>
      </c>
      <c r="D664" s="4">
        <v>1</v>
      </c>
      <c r="E664" s="4" t="s">
        <v>74</v>
      </c>
      <c r="F664" s="4">
        <f>VLOOKUP(E664,基础属性ID!A:B,2,0)</f>
        <v>1</v>
      </c>
      <c r="G664" s="4">
        <f>VLOOKUP(E664,基础属性ID!$A:$E,5,0)</f>
        <v>100</v>
      </c>
      <c r="H664" s="4">
        <v>6</v>
      </c>
      <c r="I664" s="4">
        <f>H664*3</f>
        <v>18</v>
      </c>
      <c r="J664" s="4" t="str">
        <f t="shared" si="174"/>
        <v>1:100:6:18,</v>
      </c>
    </row>
    <row r="665" spans="1:10">
      <c r="A665" s="4" t="str">
        <f t="shared" si="178"/>
        <v>1级紫武器法力值</v>
      </c>
      <c r="B665" s="4" t="s">
        <v>198</v>
      </c>
      <c r="C665" s="4" t="s">
        <v>119</v>
      </c>
      <c r="D665" s="4">
        <v>1</v>
      </c>
      <c r="E665" s="4" t="s">
        <v>75</v>
      </c>
      <c r="F665" s="4">
        <f>VLOOKUP(E665,基础属性ID!A:B,2,0)</f>
        <v>2</v>
      </c>
      <c r="G665" s="4">
        <f>VLOOKUP(E665,基础属性ID!$A:$E,5,0)</f>
        <v>100</v>
      </c>
      <c r="H665" s="4">
        <v>6</v>
      </c>
      <c r="I665" s="4">
        <v>15</v>
      </c>
      <c r="J665" s="4" t="str">
        <f t="shared" si="174"/>
        <v>2:100:6:15,</v>
      </c>
    </row>
    <row r="666" spans="1:10">
      <c r="A666" s="4" t="str">
        <f t="shared" si="178"/>
        <v>1级紫武器物理攻击</v>
      </c>
      <c r="B666" s="4" t="s">
        <v>198</v>
      </c>
      <c r="C666" s="4" t="s">
        <v>119</v>
      </c>
      <c r="D666" s="4">
        <v>1</v>
      </c>
      <c r="E666" s="4" t="s">
        <v>13</v>
      </c>
      <c r="F666" s="4">
        <f>VLOOKUP(E666,基础属性ID!A:B,2,0)</f>
        <v>3</v>
      </c>
      <c r="G666" s="4">
        <f>VLOOKUP(E666,基础属性ID!$A:$E,5,0)</f>
        <v>100</v>
      </c>
      <c r="H666" s="4">
        <v>3</v>
      </c>
      <c r="I666" s="4">
        <f t="shared" ref="I666:I671" si="182">H666*3</f>
        <v>9</v>
      </c>
      <c r="J666" s="4" t="str">
        <f t="shared" si="174"/>
        <v>3:100:3:9,</v>
      </c>
    </row>
    <row r="667" spans="1:10">
      <c r="A667" s="4" t="str">
        <f t="shared" si="178"/>
        <v>1级紫武器魔法攻击</v>
      </c>
      <c r="B667" s="4" t="s">
        <v>198</v>
      </c>
      <c r="C667" s="4" t="s">
        <v>119</v>
      </c>
      <c r="D667" s="4">
        <v>1</v>
      </c>
      <c r="E667" s="4" t="s">
        <v>14</v>
      </c>
      <c r="F667" s="4">
        <f>VLOOKUP(E667,基础属性ID!A:B,2,0)</f>
        <v>4</v>
      </c>
      <c r="G667" s="4">
        <f>VLOOKUP(E667,基础属性ID!$A:$E,5,0)</f>
        <v>100</v>
      </c>
      <c r="H667" s="4">
        <v>3</v>
      </c>
      <c r="I667" s="4">
        <f t="shared" si="182"/>
        <v>9</v>
      </c>
      <c r="J667" s="4" t="str">
        <f t="shared" si="174"/>
        <v>4:100:3:9,</v>
      </c>
    </row>
    <row r="668" spans="1:10">
      <c r="A668" s="4" t="str">
        <f t="shared" si="178"/>
        <v>1级紫武器道术攻击</v>
      </c>
      <c r="B668" s="4" t="s">
        <v>198</v>
      </c>
      <c r="C668" s="4" t="s">
        <v>119</v>
      </c>
      <c r="D668" s="4">
        <v>1</v>
      </c>
      <c r="E668" s="4" t="s">
        <v>15</v>
      </c>
      <c r="F668" s="4">
        <f>VLOOKUP(E668,基础属性ID!A:B,2,0)</f>
        <v>5</v>
      </c>
      <c r="G668" s="4">
        <f>VLOOKUP(E668,基础属性ID!$A:$E,5,0)</f>
        <v>100</v>
      </c>
      <c r="H668" s="4">
        <v>3</v>
      </c>
      <c r="I668" s="4">
        <f t="shared" si="182"/>
        <v>9</v>
      </c>
      <c r="J668" s="4" t="str">
        <f t="shared" si="174"/>
        <v>5:100:3:9,</v>
      </c>
    </row>
    <row r="669" spans="1:10">
      <c r="A669" s="4" t="str">
        <f t="shared" si="178"/>
        <v>1级紫武器防御</v>
      </c>
      <c r="B669" s="4" t="s">
        <v>198</v>
      </c>
      <c r="C669" s="4" t="s">
        <v>119</v>
      </c>
      <c r="D669" s="4">
        <v>1</v>
      </c>
      <c r="E669" s="4" t="s">
        <v>17</v>
      </c>
      <c r="F669" s="4">
        <f>VLOOKUP(E669,基础属性ID!A:B,2,0)</f>
        <v>6</v>
      </c>
      <c r="G669" s="4">
        <f>VLOOKUP(E669,基础属性ID!$A:$E,5,0)</f>
        <v>100</v>
      </c>
      <c r="H669" s="4">
        <v>3</v>
      </c>
      <c r="I669" s="4">
        <f t="shared" si="182"/>
        <v>9</v>
      </c>
      <c r="J669" s="4" t="str">
        <f t="shared" si="174"/>
        <v>6:100:3:9,</v>
      </c>
    </row>
    <row r="670" spans="1:10">
      <c r="A670" s="4" t="str">
        <f t="shared" si="178"/>
        <v>1级紫武器固定伤害</v>
      </c>
      <c r="B670" s="4" t="s">
        <v>198</v>
      </c>
      <c r="C670" s="4" t="s">
        <v>119</v>
      </c>
      <c r="D670" s="4">
        <v>1</v>
      </c>
      <c r="E670" s="4" t="s">
        <v>24</v>
      </c>
      <c r="F670" s="4">
        <f>VLOOKUP(E670,基础属性ID!A:B,2,0)</f>
        <v>9</v>
      </c>
      <c r="G670" s="4">
        <f>VLOOKUP(E670,基础属性ID!$A:$E,5,0)</f>
        <v>50</v>
      </c>
      <c r="H670" s="4">
        <v>3</v>
      </c>
      <c r="I670" s="4">
        <f t="shared" si="182"/>
        <v>9</v>
      </c>
      <c r="J670" s="4" t="str">
        <f t="shared" si="174"/>
        <v>9:50:3:9,</v>
      </c>
    </row>
    <row r="671" spans="1:10">
      <c r="A671" s="4" t="str">
        <f t="shared" si="178"/>
        <v>1级紫武器固定减伤</v>
      </c>
      <c r="B671" s="4" t="s">
        <v>198</v>
      </c>
      <c r="C671" s="4" t="s">
        <v>119</v>
      </c>
      <c r="D671" s="4">
        <v>1</v>
      </c>
      <c r="E671" s="4" t="s">
        <v>25</v>
      </c>
      <c r="F671" s="4">
        <f>VLOOKUP(E671,基础属性ID!A:B,2,0)</f>
        <v>10</v>
      </c>
      <c r="G671" s="4">
        <f>VLOOKUP(E671,基础属性ID!$A:$E,5,0)</f>
        <v>50</v>
      </c>
      <c r="H671" s="4">
        <v>3</v>
      </c>
      <c r="I671" s="4">
        <f t="shared" si="182"/>
        <v>9</v>
      </c>
      <c r="J671" s="4" t="str">
        <f t="shared" si="174"/>
        <v>10:50:3:9,</v>
      </c>
    </row>
    <row r="672" spans="1:10">
      <c r="A672" s="4" t="str">
        <f t="shared" si="178"/>
        <v>1级紫武器生命吸取</v>
      </c>
      <c r="B672" s="4" t="s">
        <v>198</v>
      </c>
      <c r="C672" s="4" t="s">
        <v>119</v>
      </c>
      <c r="D672" s="4">
        <v>1</v>
      </c>
      <c r="E672" s="4" t="s">
        <v>28</v>
      </c>
      <c r="F672" s="4">
        <f>VLOOKUP(E672,基础属性ID!A:B,2,0)</f>
        <v>11</v>
      </c>
      <c r="G672" s="4">
        <f>VLOOKUP(E672,基础属性ID!$A:$E,5,0)</f>
        <v>50</v>
      </c>
      <c r="H672" s="4">
        <v>2</v>
      </c>
      <c r="I672" s="4">
        <f t="shared" ref="I672:I673" si="183">H672*3</f>
        <v>6</v>
      </c>
      <c r="J672" s="4" t="str">
        <f t="shared" si="174"/>
        <v>11:50:2:6,</v>
      </c>
    </row>
    <row r="673" spans="1:10">
      <c r="A673" s="4" t="str">
        <f t="shared" si="178"/>
        <v>1级紫武器法力吸取</v>
      </c>
      <c r="B673" s="4" t="s">
        <v>198</v>
      </c>
      <c r="C673" s="4" t="s">
        <v>119</v>
      </c>
      <c r="D673" s="4">
        <v>1</v>
      </c>
      <c r="E673" s="4" t="s">
        <v>29</v>
      </c>
      <c r="F673" s="4">
        <f>VLOOKUP(E673,基础属性ID!A:B,2,0)</f>
        <v>12</v>
      </c>
      <c r="G673" s="4">
        <f>VLOOKUP(E673,基础属性ID!$A:$E,5,0)</f>
        <v>50</v>
      </c>
      <c r="H673" s="4">
        <v>2</v>
      </c>
      <c r="I673" s="4">
        <f t="shared" si="183"/>
        <v>6</v>
      </c>
      <c r="J673" s="4" t="str">
        <f t="shared" si="174"/>
        <v>12:50:2:6,</v>
      </c>
    </row>
    <row r="674" spans="1:10">
      <c r="A674" s="4" t="str">
        <f t="shared" si="178"/>
        <v>1级紫武器暴击几率</v>
      </c>
      <c r="B674" s="4" t="s">
        <v>198</v>
      </c>
      <c r="C674" s="4" t="s">
        <v>119</v>
      </c>
      <c r="D674" s="4">
        <v>1</v>
      </c>
      <c r="E674" s="4" t="s">
        <v>21</v>
      </c>
      <c r="F674" s="4">
        <f>VLOOKUP(E674,基础属性ID!A:B,2,0)</f>
        <v>13</v>
      </c>
      <c r="G674" s="4">
        <f>VLOOKUP(E674,基础属性ID!$A:$E,5,0)</f>
        <v>20</v>
      </c>
      <c r="H674" s="4">
        <v>50</v>
      </c>
      <c r="I674" s="4">
        <v>150</v>
      </c>
      <c r="J674" s="4" t="str">
        <f t="shared" si="174"/>
        <v>13:20:50:150,</v>
      </c>
    </row>
    <row r="675" spans="1:10">
      <c r="A675" s="4" t="str">
        <f t="shared" si="178"/>
        <v>1级紫武器爆击伤害</v>
      </c>
      <c r="B675" s="4" t="s">
        <v>198</v>
      </c>
      <c r="C675" s="4" t="s">
        <v>119</v>
      </c>
      <c r="D675" s="4">
        <v>1</v>
      </c>
      <c r="E675" s="4" t="s">
        <v>76</v>
      </c>
      <c r="F675" s="4">
        <f>VLOOKUP(E675,基础属性ID!A:B,2,0)</f>
        <v>14</v>
      </c>
      <c r="G675" s="4">
        <f>VLOOKUP(E675,基础属性ID!$A:$E,5,0)</f>
        <v>20</v>
      </c>
      <c r="H675" s="4">
        <v>3</v>
      </c>
      <c r="I675" s="4">
        <v>8</v>
      </c>
      <c r="J675" s="4" t="str">
        <f t="shared" si="174"/>
        <v>14:20:3:8,</v>
      </c>
    </row>
    <row r="676" spans="1:10">
      <c r="A676" s="4" t="str">
        <f t="shared" si="178"/>
        <v>1级紫武器装备掉率</v>
      </c>
      <c r="B676" s="4" t="s">
        <v>198</v>
      </c>
      <c r="C676" s="4" t="s">
        <v>119</v>
      </c>
      <c r="D676" s="4">
        <v>1</v>
      </c>
      <c r="E676" s="4" t="s">
        <v>30</v>
      </c>
      <c r="F676" s="4">
        <f>VLOOKUP(E676,基础属性ID!A:B,2,0)</f>
        <v>17</v>
      </c>
      <c r="G676" s="4">
        <f>VLOOKUP(E676,基础属性ID!$A:$E,5,0)</f>
        <v>60</v>
      </c>
      <c r="H676" s="4">
        <v>3</v>
      </c>
      <c r="I676" s="4">
        <v>9</v>
      </c>
      <c r="J676" s="4" t="str">
        <f t="shared" si="174"/>
        <v>17:60:3:9,</v>
      </c>
    </row>
    <row r="677" spans="1:10">
      <c r="A677" s="4" t="str">
        <f t="shared" si="178"/>
        <v>1级紫武器极品掉率</v>
      </c>
      <c r="B677" s="4" t="s">
        <v>198</v>
      </c>
      <c r="C677" s="4" t="s">
        <v>119</v>
      </c>
      <c r="D677" s="4">
        <v>1</v>
      </c>
      <c r="E677" s="4" t="s">
        <v>31</v>
      </c>
      <c r="F677" s="4">
        <f>VLOOKUP(E677,基础属性ID!A:B,2,0)</f>
        <v>18</v>
      </c>
      <c r="G677" s="4">
        <f>VLOOKUP(E677,基础属性ID!$A:$E,5,0)</f>
        <v>60</v>
      </c>
      <c r="H677" s="4">
        <v>3</v>
      </c>
      <c r="I677" s="4">
        <v>9</v>
      </c>
      <c r="J677" s="4" t="str">
        <f t="shared" si="174"/>
        <v>18:60:3:9,</v>
      </c>
    </row>
    <row r="678" spans="1:10">
      <c r="A678" s="4" t="str">
        <f t="shared" si="178"/>
        <v>1级紫护甲生命值</v>
      </c>
      <c r="B678" s="4" t="s">
        <v>203</v>
      </c>
      <c r="C678" s="4" t="s">
        <v>119</v>
      </c>
      <c r="D678" s="4">
        <v>1</v>
      </c>
      <c r="E678" s="4" t="s">
        <v>74</v>
      </c>
      <c r="F678" s="4">
        <f>VLOOKUP(E678,基础属性ID!A:B,2,0)</f>
        <v>1</v>
      </c>
      <c r="G678" s="4">
        <f>VLOOKUP(E678,基础属性ID!$A:$E,5,0)</f>
        <v>100</v>
      </c>
      <c r="H678" s="4">
        <v>6</v>
      </c>
      <c r="I678" s="4">
        <f>H678*3</f>
        <v>18</v>
      </c>
      <c r="J678" s="4" t="str">
        <f t="shared" si="174"/>
        <v>1:100:6:18,</v>
      </c>
    </row>
    <row r="679" spans="1:10">
      <c r="A679" s="4" t="str">
        <f t="shared" si="178"/>
        <v>1级紫护甲法力值</v>
      </c>
      <c r="B679" s="4" t="s">
        <v>203</v>
      </c>
      <c r="C679" s="4" t="s">
        <v>119</v>
      </c>
      <c r="D679" s="4">
        <v>1</v>
      </c>
      <c r="E679" s="4" t="s">
        <v>75</v>
      </c>
      <c r="F679" s="4">
        <f>VLOOKUP(E679,基础属性ID!A:B,2,0)</f>
        <v>2</v>
      </c>
      <c r="G679" s="4">
        <f>VLOOKUP(E679,基础属性ID!$A:$E,5,0)</f>
        <v>100</v>
      </c>
      <c r="H679" s="4">
        <v>6</v>
      </c>
      <c r="I679" s="4">
        <v>15</v>
      </c>
      <c r="J679" s="4" t="str">
        <f t="shared" si="174"/>
        <v>2:100:6:15,</v>
      </c>
    </row>
    <row r="680" spans="1:10">
      <c r="A680" s="4" t="str">
        <f t="shared" si="178"/>
        <v>1级紫护甲物理攻击</v>
      </c>
      <c r="B680" s="4" t="s">
        <v>203</v>
      </c>
      <c r="C680" s="4" t="s">
        <v>119</v>
      </c>
      <c r="D680" s="4">
        <v>1</v>
      </c>
      <c r="E680" s="4" t="s">
        <v>13</v>
      </c>
      <c r="F680" s="4">
        <f>VLOOKUP(E680,基础属性ID!A:B,2,0)</f>
        <v>3</v>
      </c>
      <c r="G680" s="4">
        <f>VLOOKUP(E680,基础属性ID!$A:$E,5,0)</f>
        <v>100</v>
      </c>
      <c r="H680" s="4">
        <v>3</v>
      </c>
      <c r="I680" s="4">
        <f t="shared" ref="I680:I685" si="184">H680*3</f>
        <v>9</v>
      </c>
      <c r="J680" s="4" t="str">
        <f t="shared" si="174"/>
        <v>3:100:3:9,</v>
      </c>
    </row>
    <row r="681" spans="1:10">
      <c r="A681" s="4" t="str">
        <f t="shared" si="178"/>
        <v>1级紫护甲魔法攻击</v>
      </c>
      <c r="B681" s="4" t="s">
        <v>203</v>
      </c>
      <c r="C681" s="4" t="s">
        <v>119</v>
      </c>
      <c r="D681" s="4">
        <v>1</v>
      </c>
      <c r="E681" s="4" t="s">
        <v>14</v>
      </c>
      <c r="F681" s="4">
        <f>VLOOKUP(E681,基础属性ID!A:B,2,0)</f>
        <v>4</v>
      </c>
      <c r="G681" s="4">
        <f>VLOOKUP(E681,基础属性ID!$A:$E,5,0)</f>
        <v>100</v>
      </c>
      <c r="H681" s="4">
        <v>3</v>
      </c>
      <c r="I681" s="4">
        <f t="shared" si="184"/>
        <v>9</v>
      </c>
      <c r="J681" s="4" t="str">
        <f t="shared" si="174"/>
        <v>4:100:3:9,</v>
      </c>
    </row>
    <row r="682" spans="1:10">
      <c r="A682" s="4" t="str">
        <f t="shared" si="178"/>
        <v>1级紫护甲道术攻击</v>
      </c>
      <c r="B682" s="4" t="s">
        <v>203</v>
      </c>
      <c r="C682" s="4" t="s">
        <v>119</v>
      </c>
      <c r="D682" s="4">
        <v>1</v>
      </c>
      <c r="E682" s="4" t="s">
        <v>15</v>
      </c>
      <c r="F682" s="4">
        <f>VLOOKUP(E682,基础属性ID!A:B,2,0)</f>
        <v>5</v>
      </c>
      <c r="G682" s="4">
        <f>VLOOKUP(E682,基础属性ID!$A:$E,5,0)</f>
        <v>100</v>
      </c>
      <c r="H682" s="4">
        <v>3</v>
      </c>
      <c r="I682" s="4">
        <f t="shared" si="184"/>
        <v>9</v>
      </c>
      <c r="J682" s="4" t="str">
        <f t="shared" si="174"/>
        <v>5:100:3:9,</v>
      </c>
    </row>
    <row r="683" spans="1:10">
      <c r="A683" s="4" t="str">
        <f t="shared" si="178"/>
        <v>1级紫护甲防御</v>
      </c>
      <c r="B683" s="4" t="s">
        <v>203</v>
      </c>
      <c r="C683" s="4" t="s">
        <v>119</v>
      </c>
      <c r="D683" s="4">
        <v>1</v>
      </c>
      <c r="E683" s="4" t="s">
        <v>17</v>
      </c>
      <c r="F683" s="4">
        <f>VLOOKUP(E683,基础属性ID!A:B,2,0)</f>
        <v>6</v>
      </c>
      <c r="G683" s="4">
        <f>VLOOKUP(E683,基础属性ID!$A:$E,5,0)</f>
        <v>100</v>
      </c>
      <c r="H683" s="4">
        <v>3</v>
      </c>
      <c r="I683" s="4">
        <f t="shared" si="184"/>
        <v>9</v>
      </c>
      <c r="J683" s="4" t="str">
        <f t="shared" si="174"/>
        <v>6:100:3:9,</v>
      </c>
    </row>
    <row r="684" spans="1:10">
      <c r="A684" s="4" t="str">
        <f t="shared" si="178"/>
        <v>1级紫护甲固定伤害</v>
      </c>
      <c r="B684" s="4" t="s">
        <v>203</v>
      </c>
      <c r="C684" s="4" t="s">
        <v>119</v>
      </c>
      <c r="D684" s="4">
        <v>1</v>
      </c>
      <c r="E684" s="4" t="s">
        <v>24</v>
      </c>
      <c r="F684" s="4">
        <f>VLOOKUP(E684,基础属性ID!A:B,2,0)</f>
        <v>9</v>
      </c>
      <c r="G684" s="4">
        <f>VLOOKUP(E684,基础属性ID!$A:$E,5,0)</f>
        <v>50</v>
      </c>
      <c r="H684" s="4">
        <v>3</v>
      </c>
      <c r="I684" s="4">
        <f t="shared" si="184"/>
        <v>9</v>
      </c>
      <c r="J684" s="4" t="str">
        <f t="shared" si="174"/>
        <v>9:50:3:9,</v>
      </c>
    </row>
    <row r="685" spans="1:10">
      <c r="A685" s="4" t="str">
        <f t="shared" si="178"/>
        <v>1级紫护甲固定减伤</v>
      </c>
      <c r="B685" s="4" t="s">
        <v>203</v>
      </c>
      <c r="C685" s="4" t="s">
        <v>119</v>
      </c>
      <c r="D685" s="4">
        <v>1</v>
      </c>
      <c r="E685" s="4" t="s">
        <v>25</v>
      </c>
      <c r="F685" s="4">
        <f>VLOOKUP(E685,基础属性ID!A:B,2,0)</f>
        <v>10</v>
      </c>
      <c r="G685" s="4">
        <f>VLOOKUP(E685,基础属性ID!$A:$E,5,0)</f>
        <v>50</v>
      </c>
      <c r="H685" s="4">
        <v>3</v>
      </c>
      <c r="I685" s="4">
        <f t="shared" si="184"/>
        <v>9</v>
      </c>
      <c r="J685" s="4" t="str">
        <f t="shared" si="174"/>
        <v>10:50:3:9,</v>
      </c>
    </row>
    <row r="686" spans="1:10">
      <c r="A686" s="4" t="str">
        <f t="shared" si="178"/>
        <v>1级紫护甲生命吸取</v>
      </c>
      <c r="B686" s="4" t="s">
        <v>203</v>
      </c>
      <c r="C686" s="4" t="s">
        <v>119</v>
      </c>
      <c r="D686" s="4">
        <v>1</v>
      </c>
      <c r="E686" s="4" t="s">
        <v>28</v>
      </c>
      <c r="F686" s="4">
        <f>VLOOKUP(E686,基础属性ID!A:B,2,0)</f>
        <v>11</v>
      </c>
      <c r="G686" s="4">
        <f>VLOOKUP(E686,基础属性ID!$A:$E,5,0)</f>
        <v>50</v>
      </c>
      <c r="H686" s="4">
        <v>2</v>
      </c>
      <c r="I686" s="4">
        <f t="shared" ref="I686:I687" si="185">H686*3</f>
        <v>6</v>
      </c>
      <c r="J686" s="4" t="str">
        <f t="shared" si="174"/>
        <v>11:50:2:6,</v>
      </c>
    </row>
    <row r="687" spans="1:10">
      <c r="A687" s="4" t="str">
        <f t="shared" si="178"/>
        <v>1级紫护甲法力吸取</v>
      </c>
      <c r="B687" s="4" t="s">
        <v>203</v>
      </c>
      <c r="C687" s="4" t="s">
        <v>119</v>
      </c>
      <c r="D687" s="4">
        <v>1</v>
      </c>
      <c r="E687" s="4" t="s">
        <v>29</v>
      </c>
      <c r="F687" s="4">
        <f>VLOOKUP(E687,基础属性ID!A:B,2,0)</f>
        <v>12</v>
      </c>
      <c r="G687" s="4">
        <f>VLOOKUP(E687,基础属性ID!$A:$E,5,0)</f>
        <v>50</v>
      </c>
      <c r="H687" s="4">
        <v>2</v>
      </c>
      <c r="I687" s="4">
        <f t="shared" si="185"/>
        <v>6</v>
      </c>
      <c r="J687" s="4" t="str">
        <f t="shared" si="174"/>
        <v>12:50:2:6,</v>
      </c>
    </row>
    <row r="688" spans="1:10">
      <c r="A688" s="4" t="str">
        <f t="shared" si="178"/>
        <v>1级紫护甲暴击几率</v>
      </c>
      <c r="B688" s="4" t="s">
        <v>203</v>
      </c>
      <c r="C688" s="4" t="s">
        <v>119</v>
      </c>
      <c r="D688" s="4">
        <v>1</v>
      </c>
      <c r="E688" s="4" t="s">
        <v>21</v>
      </c>
      <c r="F688" s="4">
        <f>VLOOKUP(E688,基础属性ID!A:B,2,0)</f>
        <v>13</v>
      </c>
      <c r="G688" s="4">
        <f>VLOOKUP(E688,基础属性ID!$A:$E,5,0)</f>
        <v>20</v>
      </c>
      <c r="H688" s="4">
        <v>50</v>
      </c>
      <c r="I688" s="4">
        <v>150</v>
      </c>
      <c r="J688" s="4" t="str">
        <f t="shared" ref="J688:J751" si="186">F688&amp;":"&amp;G688&amp;":"&amp;H688&amp;":"&amp;I688&amp;","</f>
        <v>13:20:50:150,</v>
      </c>
    </row>
    <row r="689" spans="1:10">
      <c r="A689" s="4" t="str">
        <f t="shared" si="178"/>
        <v>1级紫护甲爆击伤害</v>
      </c>
      <c r="B689" s="4" t="s">
        <v>203</v>
      </c>
      <c r="C689" s="4" t="s">
        <v>119</v>
      </c>
      <c r="D689" s="4">
        <v>1</v>
      </c>
      <c r="E689" s="4" t="s">
        <v>76</v>
      </c>
      <c r="F689" s="4">
        <f>VLOOKUP(E689,基础属性ID!A:B,2,0)</f>
        <v>14</v>
      </c>
      <c r="G689" s="4">
        <f>VLOOKUP(E689,基础属性ID!$A:$E,5,0)</f>
        <v>20</v>
      </c>
      <c r="H689" s="4">
        <v>3</v>
      </c>
      <c r="I689" s="4">
        <v>8</v>
      </c>
      <c r="J689" s="4" t="str">
        <f t="shared" si="186"/>
        <v>14:20:3:8,</v>
      </c>
    </row>
    <row r="690" spans="1:10">
      <c r="A690" s="4" t="str">
        <f t="shared" si="178"/>
        <v>1级紫护甲装备掉率</v>
      </c>
      <c r="B690" s="4" t="s">
        <v>203</v>
      </c>
      <c r="C690" s="4" t="s">
        <v>119</v>
      </c>
      <c r="D690" s="4">
        <v>1</v>
      </c>
      <c r="E690" s="4" t="s">
        <v>30</v>
      </c>
      <c r="F690" s="4">
        <f>VLOOKUP(E690,基础属性ID!A:B,2,0)</f>
        <v>17</v>
      </c>
      <c r="G690" s="4">
        <f>VLOOKUP(E690,基础属性ID!$A:$E,5,0)</f>
        <v>60</v>
      </c>
      <c r="H690" s="4">
        <v>3</v>
      </c>
      <c r="I690" s="4">
        <v>9</v>
      </c>
      <c r="J690" s="4" t="str">
        <f t="shared" si="186"/>
        <v>17:60:3:9,</v>
      </c>
    </row>
    <row r="691" spans="1:10">
      <c r="A691" s="4" t="str">
        <f t="shared" si="178"/>
        <v>1级紫护甲极品掉率</v>
      </c>
      <c r="B691" s="4" t="s">
        <v>203</v>
      </c>
      <c r="C691" s="4" t="s">
        <v>119</v>
      </c>
      <c r="D691" s="4">
        <v>1</v>
      </c>
      <c r="E691" s="4" t="s">
        <v>31</v>
      </c>
      <c r="F691" s="4">
        <f>VLOOKUP(E691,基础属性ID!A:B,2,0)</f>
        <v>18</v>
      </c>
      <c r="G691" s="4">
        <f>VLOOKUP(E691,基础属性ID!$A:$E,5,0)</f>
        <v>60</v>
      </c>
      <c r="H691" s="4">
        <v>3</v>
      </c>
      <c r="I691" s="4">
        <v>9</v>
      </c>
      <c r="J691" s="4" t="str">
        <f t="shared" si="186"/>
        <v>18:60:3:9,</v>
      </c>
    </row>
    <row r="692" spans="1:10">
      <c r="A692" s="4" t="str">
        <f t="shared" si="178"/>
        <v>1级紫项链生命值</v>
      </c>
      <c r="B692" s="4" t="s">
        <v>215</v>
      </c>
      <c r="C692" s="4" t="s">
        <v>119</v>
      </c>
      <c r="D692" s="4">
        <v>1</v>
      </c>
      <c r="E692" s="4" t="s">
        <v>74</v>
      </c>
      <c r="F692" s="4">
        <f>VLOOKUP(E692,基础属性ID!A:B,2,0)</f>
        <v>1</v>
      </c>
      <c r="G692" s="4">
        <f>VLOOKUP(E692,基础属性ID!$A:$E,5,0)</f>
        <v>100</v>
      </c>
      <c r="H692" s="4">
        <v>6</v>
      </c>
      <c r="I692" s="4">
        <f>H692*3</f>
        <v>18</v>
      </c>
      <c r="J692" s="4" t="str">
        <f t="shared" si="186"/>
        <v>1:100:6:18,</v>
      </c>
    </row>
    <row r="693" spans="1:10">
      <c r="A693" s="4" t="str">
        <f t="shared" si="178"/>
        <v>1级紫项链法力值</v>
      </c>
      <c r="B693" s="4" t="s">
        <v>215</v>
      </c>
      <c r="C693" s="4" t="s">
        <v>119</v>
      </c>
      <c r="D693" s="4">
        <v>1</v>
      </c>
      <c r="E693" s="4" t="s">
        <v>75</v>
      </c>
      <c r="F693" s="4">
        <f>VLOOKUP(E693,基础属性ID!A:B,2,0)</f>
        <v>2</v>
      </c>
      <c r="G693" s="4">
        <f>VLOOKUP(E693,基础属性ID!$A:$E,5,0)</f>
        <v>100</v>
      </c>
      <c r="H693" s="4">
        <v>6</v>
      </c>
      <c r="I693" s="4">
        <v>15</v>
      </c>
      <c r="J693" s="4" t="str">
        <f t="shared" si="186"/>
        <v>2:100:6:15,</v>
      </c>
    </row>
    <row r="694" spans="1:10">
      <c r="A694" s="4" t="str">
        <f t="shared" si="178"/>
        <v>1级紫项链物理攻击</v>
      </c>
      <c r="B694" s="4" t="s">
        <v>215</v>
      </c>
      <c r="C694" s="4" t="s">
        <v>119</v>
      </c>
      <c r="D694" s="4">
        <v>1</v>
      </c>
      <c r="E694" s="4" t="s">
        <v>13</v>
      </c>
      <c r="F694" s="4">
        <f>VLOOKUP(E694,基础属性ID!A:B,2,0)</f>
        <v>3</v>
      </c>
      <c r="G694" s="4">
        <f>VLOOKUP(E694,基础属性ID!$A:$E,5,0)</f>
        <v>100</v>
      </c>
      <c r="H694" s="4">
        <v>3</v>
      </c>
      <c r="I694" s="4">
        <f t="shared" ref="I694:I699" si="187">H694*3</f>
        <v>9</v>
      </c>
      <c r="J694" s="4" t="str">
        <f t="shared" si="186"/>
        <v>3:100:3:9,</v>
      </c>
    </row>
    <row r="695" spans="1:10">
      <c r="A695" s="4" t="str">
        <f t="shared" si="178"/>
        <v>1级紫项链魔法攻击</v>
      </c>
      <c r="B695" s="4" t="s">
        <v>215</v>
      </c>
      <c r="C695" s="4" t="s">
        <v>119</v>
      </c>
      <c r="D695" s="4">
        <v>1</v>
      </c>
      <c r="E695" s="4" t="s">
        <v>14</v>
      </c>
      <c r="F695" s="4">
        <f>VLOOKUP(E695,基础属性ID!A:B,2,0)</f>
        <v>4</v>
      </c>
      <c r="G695" s="4">
        <f>VLOOKUP(E695,基础属性ID!$A:$E,5,0)</f>
        <v>100</v>
      </c>
      <c r="H695" s="4">
        <v>3</v>
      </c>
      <c r="I695" s="4">
        <f t="shared" si="187"/>
        <v>9</v>
      </c>
      <c r="J695" s="4" t="str">
        <f t="shared" si="186"/>
        <v>4:100:3:9,</v>
      </c>
    </row>
    <row r="696" spans="1:10">
      <c r="A696" s="4" t="str">
        <f t="shared" si="178"/>
        <v>1级紫项链道术攻击</v>
      </c>
      <c r="B696" s="4" t="s">
        <v>215</v>
      </c>
      <c r="C696" s="4" t="s">
        <v>119</v>
      </c>
      <c r="D696" s="4">
        <v>1</v>
      </c>
      <c r="E696" s="4" t="s">
        <v>15</v>
      </c>
      <c r="F696" s="4">
        <f>VLOOKUP(E696,基础属性ID!A:B,2,0)</f>
        <v>5</v>
      </c>
      <c r="G696" s="4">
        <f>VLOOKUP(E696,基础属性ID!$A:$E,5,0)</f>
        <v>100</v>
      </c>
      <c r="H696" s="4">
        <v>3</v>
      </c>
      <c r="I696" s="4">
        <f t="shared" si="187"/>
        <v>9</v>
      </c>
      <c r="J696" s="4" t="str">
        <f t="shared" si="186"/>
        <v>5:100:3:9,</v>
      </c>
    </row>
    <row r="697" spans="1:10">
      <c r="A697" s="4" t="str">
        <f t="shared" si="178"/>
        <v>1级紫项链防御</v>
      </c>
      <c r="B697" s="4" t="s">
        <v>215</v>
      </c>
      <c r="C697" s="4" t="s">
        <v>119</v>
      </c>
      <c r="D697" s="4">
        <v>1</v>
      </c>
      <c r="E697" s="4" t="s">
        <v>17</v>
      </c>
      <c r="F697" s="4">
        <f>VLOOKUP(E697,基础属性ID!A:B,2,0)</f>
        <v>6</v>
      </c>
      <c r="G697" s="4">
        <f>VLOOKUP(E697,基础属性ID!$A:$E,5,0)</f>
        <v>100</v>
      </c>
      <c r="H697" s="4">
        <v>3</v>
      </c>
      <c r="I697" s="4">
        <f t="shared" si="187"/>
        <v>9</v>
      </c>
      <c r="J697" s="4" t="str">
        <f t="shared" si="186"/>
        <v>6:100:3:9,</v>
      </c>
    </row>
    <row r="698" spans="1:10">
      <c r="A698" s="4" t="str">
        <f t="shared" si="178"/>
        <v>1级紫项链固定伤害</v>
      </c>
      <c r="B698" s="4" t="s">
        <v>215</v>
      </c>
      <c r="C698" s="4" t="s">
        <v>119</v>
      </c>
      <c r="D698" s="4">
        <v>1</v>
      </c>
      <c r="E698" s="4" t="s">
        <v>24</v>
      </c>
      <c r="F698" s="4">
        <f>VLOOKUP(E698,基础属性ID!A:B,2,0)</f>
        <v>9</v>
      </c>
      <c r="G698" s="4">
        <f>VLOOKUP(E698,基础属性ID!$A:$E,5,0)</f>
        <v>50</v>
      </c>
      <c r="H698" s="4">
        <v>3</v>
      </c>
      <c r="I698" s="4">
        <f t="shared" si="187"/>
        <v>9</v>
      </c>
      <c r="J698" s="4" t="str">
        <f t="shared" si="186"/>
        <v>9:50:3:9,</v>
      </c>
    </row>
    <row r="699" spans="1:10">
      <c r="A699" s="4" t="str">
        <f t="shared" si="178"/>
        <v>1级紫项链固定减伤</v>
      </c>
      <c r="B699" s="4" t="s">
        <v>215</v>
      </c>
      <c r="C699" s="4" t="s">
        <v>119</v>
      </c>
      <c r="D699" s="4">
        <v>1</v>
      </c>
      <c r="E699" s="4" t="s">
        <v>25</v>
      </c>
      <c r="F699" s="4">
        <f>VLOOKUP(E699,基础属性ID!A:B,2,0)</f>
        <v>10</v>
      </c>
      <c r="G699" s="4">
        <f>VLOOKUP(E699,基础属性ID!$A:$E,5,0)</f>
        <v>50</v>
      </c>
      <c r="H699" s="4">
        <v>3</v>
      </c>
      <c r="I699" s="4">
        <f t="shared" si="187"/>
        <v>9</v>
      </c>
      <c r="J699" s="4" t="str">
        <f t="shared" si="186"/>
        <v>10:50:3:9,</v>
      </c>
    </row>
    <row r="700" spans="1:10">
      <c r="A700" s="4" t="str">
        <f t="shared" si="178"/>
        <v>1级紫项链生命吸取</v>
      </c>
      <c r="B700" s="4" t="s">
        <v>215</v>
      </c>
      <c r="C700" s="4" t="s">
        <v>119</v>
      </c>
      <c r="D700" s="4">
        <v>1</v>
      </c>
      <c r="E700" s="4" t="s">
        <v>28</v>
      </c>
      <c r="F700" s="4">
        <f>VLOOKUP(E700,基础属性ID!A:B,2,0)</f>
        <v>11</v>
      </c>
      <c r="G700" s="4">
        <f>VLOOKUP(E700,基础属性ID!$A:$E,5,0)</f>
        <v>50</v>
      </c>
      <c r="H700" s="4">
        <v>2</v>
      </c>
      <c r="I700" s="4">
        <f t="shared" ref="I700:I701" si="188">H700*3</f>
        <v>6</v>
      </c>
      <c r="J700" s="4" t="str">
        <f t="shared" si="186"/>
        <v>11:50:2:6,</v>
      </c>
    </row>
    <row r="701" spans="1:10">
      <c r="A701" s="4" t="str">
        <f t="shared" si="178"/>
        <v>1级紫项链法力吸取</v>
      </c>
      <c r="B701" s="4" t="s">
        <v>215</v>
      </c>
      <c r="C701" s="4" t="s">
        <v>119</v>
      </c>
      <c r="D701" s="4">
        <v>1</v>
      </c>
      <c r="E701" s="4" t="s">
        <v>29</v>
      </c>
      <c r="F701" s="4">
        <f>VLOOKUP(E701,基础属性ID!A:B,2,0)</f>
        <v>12</v>
      </c>
      <c r="G701" s="4">
        <f>VLOOKUP(E701,基础属性ID!$A:$E,5,0)</f>
        <v>50</v>
      </c>
      <c r="H701" s="4">
        <v>2</v>
      </c>
      <c r="I701" s="4">
        <f t="shared" si="188"/>
        <v>6</v>
      </c>
      <c r="J701" s="4" t="str">
        <f t="shared" si="186"/>
        <v>12:50:2:6,</v>
      </c>
    </row>
    <row r="702" spans="1:10">
      <c r="A702" s="4" t="str">
        <f t="shared" si="178"/>
        <v>1级紫项链暴击几率</v>
      </c>
      <c r="B702" s="4" t="s">
        <v>215</v>
      </c>
      <c r="C702" s="4" t="s">
        <v>119</v>
      </c>
      <c r="D702" s="4">
        <v>1</v>
      </c>
      <c r="E702" s="4" t="s">
        <v>21</v>
      </c>
      <c r="F702" s="4">
        <f>VLOOKUP(E702,基础属性ID!A:B,2,0)</f>
        <v>13</v>
      </c>
      <c r="G702" s="4">
        <f>VLOOKUP(E702,基础属性ID!$A:$E,5,0)</f>
        <v>20</v>
      </c>
      <c r="H702" s="4">
        <v>50</v>
      </c>
      <c r="I702" s="4">
        <v>150</v>
      </c>
      <c r="J702" s="4" t="str">
        <f t="shared" si="186"/>
        <v>13:20:50:150,</v>
      </c>
    </row>
    <row r="703" spans="1:10">
      <c r="A703" s="4" t="str">
        <f t="shared" si="178"/>
        <v>1级紫项链爆击伤害</v>
      </c>
      <c r="B703" s="4" t="s">
        <v>215</v>
      </c>
      <c r="C703" s="4" t="s">
        <v>119</v>
      </c>
      <c r="D703" s="4">
        <v>1</v>
      </c>
      <c r="E703" s="4" t="s">
        <v>76</v>
      </c>
      <c r="F703" s="4">
        <f>VLOOKUP(E703,基础属性ID!A:B,2,0)</f>
        <v>14</v>
      </c>
      <c r="G703" s="4">
        <f>VLOOKUP(E703,基础属性ID!$A:$E,5,0)</f>
        <v>20</v>
      </c>
      <c r="H703" s="4">
        <v>3</v>
      </c>
      <c r="I703" s="4">
        <v>8</v>
      </c>
      <c r="J703" s="4" t="str">
        <f t="shared" si="186"/>
        <v>14:20:3:8,</v>
      </c>
    </row>
    <row r="704" spans="1:10">
      <c r="A704" s="4" t="str">
        <f t="shared" si="178"/>
        <v>1级紫项链装备掉率</v>
      </c>
      <c r="B704" s="4" t="s">
        <v>215</v>
      </c>
      <c r="C704" s="4" t="s">
        <v>119</v>
      </c>
      <c r="D704" s="4">
        <v>1</v>
      </c>
      <c r="E704" s="4" t="s">
        <v>30</v>
      </c>
      <c r="F704" s="4">
        <f>VLOOKUP(E704,基础属性ID!A:B,2,0)</f>
        <v>17</v>
      </c>
      <c r="G704" s="4">
        <f>VLOOKUP(E704,基础属性ID!$A:$E,5,0)</f>
        <v>60</v>
      </c>
      <c r="H704" s="4">
        <v>3</v>
      </c>
      <c r="I704" s="4">
        <v>9</v>
      </c>
      <c r="J704" s="4" t="str">
        <f t="shared" si="186"/>
        <v>17:60:3:9,</v>
      </c>
    </row>
    <row r="705" spans="1:10">
      <c r="A705" s="4" t="str">
        <f t="shared" si="178"/>
        <v>1级紫项链极品掉率</v>
      </c>
      <c r="B705" s="4" t="s">
        <v>215</v>
      </c>
      <c r="C705" s="4" t="s">
        <v>119</v>
      </c>
      <c r="D705" s="4">
        <v>1</v>
      </c>
      <c r="E705" s="4" t="s">
        <v>31</v>
      </c>
      <c r="F705" s="4">
        <f>VLOOKUP(E705,基础属性ID!A:B,2,0)</f>
        <v>18</v>
      </c>
      <c r="G705" s="4">
        <f>VLOOKUP(E705,基础属性ID!$A:$E,5,0)</f>
        <v>60</v>
      </c>
      <c r="H705" s="4">
        <v>3</v>
      </c>
      <c r="I705" s="4">
        <v>9</v>
      </c>
      <c r="J705" s="4" t="str">
        <f t="shared" si="186"/>
        <v>18:60:3:9,</v>
      </c>
    </row>
    <row r="706" spans="1:10">
      <c r="A706" s="4" t="str">
        <f t="shared" si="178"/>
        <v>1级紫手镯生命值</v>
      </c>
      <c r="B706" s="4" t="s">
        <v>218</v>
      </c>
      <c r="C706" s="4" t="s">
        <v>119</v>
      </c>
      <c r="D706" s="4">
        <v>1</v>
      </c>
      <c r="E706" s="4" t="s">
        <v>74</v>
      </c>
      <c r="F706" s="4">
        <f>VLOOKUP(E706,基础属性ID!A:B,2,0)</f>
        <v>1</v>
      </c>
      <c r="G706" s="4">
        <f>VLOOKUP(E706,基础属性ID!$A:$E,5,0)</f>
        <v>100</v>
      </c>
      <c r="H706" s="4">
        <v>6</v>
      </c>
      <c r="I706" s="4">
        <f>H706*3</f>
        <v>18</v>
      </c>
      <c r="J706" s="4" t="str">
        <f t="shared" si="186"/>
        <v>1:100:6:18,</v>
      </c>
    </row>
    <row r="707" spans="1:10">
      <c r="A707" s="4" t="str">
        <f t="shared" ref="A707:A770" si="189">D707&amp;"级"&amp;C707&amp;B707&amp;E707</f>
        <v>1级紫手镯法力值</v>
      </c>
      <c r="B707" s="4" t="s">
        <v>218</v>
      </c>
      <c r="C707" s="4" t="s">
        <v>119</v>
      </c>
      <c r="D707" s="4">
        <v>1</v>
      </c>
      <c r="E707" s="4" t="s">
        <v>75</v>
      </c>
      <c r="F707" s="4">
        <f>VLOOKUP(E707,基础属性ID!A:B,2,0)</f>
        <v>2</v>
      </c>
      <c r="G707" s="4">
        <f>VLOOKUP(E707,基础属性ID!$A:$E,5,0)</f>
        <v>100</v>
      </c>
      <c r="H707" s="4">
        <v>6</v>
      </c>
      <c r="I707" s="4">
        <v>15</v>
      </c>
      <c r="J707" s="4" t="str">
        <f t="shared" si="186"/>
        <v>2:100:6:15,</v>
      </c>
    </row>
    <row r="708" spans="1:10">
      <c r="A708" s="4" t="str">
        <f t="shared" si="189"/>
        <v>1级紫手镯物理攻击</v>
      </c>
      <c r="B708" s="4" t="s">
        <v>218</v>
      </c>
      <c r="C708" s="4" t="s">
        <v>119</v>
      </c>
      <c r="D708" s="4">
        <v>1</v>
      </c>
      <c r="E708" s="4" t="s">
        <v>13</v>
      </c>
      <c r="F708" s="4">
        <f>VLOOKUP(E708,基础属性ID!A:B,2,0)</f>
        <v>3</v>
      </c>
      <c r="G708" s="4">
        <f>VLOOKUP(E708,基础属性ID!$A:$E,5,0)</f>
        <v>100</v>
      </c>
      <c r="H708" s="4">
        <v>3</v>
      </c>
      <c r="I708" s="4">
        <f t="shared" ref="I708:I713" si="190">H708*3</f>
        <v>9</v>
      </c>
      <c r="J708" s="4" t="str">
        <f t="shared" si="186"/>
        <v>3:100:3:9,</v>
      </c>
    </row>
    <row r="709" spans="1:10">
      <c r="A709" s="4" t="str">
        <f t="shared" si="189"/>
        <v>1级紫手镯魔法攻击</v>
      </c>
      <c r="B709" s="4" t="s">
        <v>218</v>
      </c>
      <c r="C709" s="4" t="s">
        <v>119</v>
      </c>
      <c r="D709" s="4">
        <v>1</v>
      </c>
      <c r="E709" s="4" t="s">
        <v>14</v>
      </c>
      <c r="F709" s="4">
        <f>VLOOKUP(E709,基础属性ID!A:B,2,0)</f>
        <v>4</v>
      </c>
      <c r="G709" s="4">
        <f>VLOOKUP(E709,基础属性ID!$A:$E,5,0)</f>
        <v>100</v>
      </c>
      <c r="H709" s="4">
        <v>3</v>
      </c>
      <c r="I709" s="4">
        <f t="shared" si="190"/>
        <v>9</v>
      </c>
      <c r="J709" s="4" t="str">
        <f t="shared" si="186"/>
        <v>4:100:3:9,</v>
      </c>
    </row>
    <row r="710" spans="1:10">
      <c r="A710" s="4" t="str">
        <f t="shared" si="189"/>
        <v>1级紫手镯道术攻击</v>
      </c>
      <c r="B710" s="4" t="s">
        <v>218</v>
      </c>
      <c r="C710" s="4" t="s">
        <v>119</v>
      </c>
      <c r="D710" s="4">
        <v>1</v>
      </c>
      <c r="E710" s="4" t="s">
        <v>15</v>
      </c>
      <c r="F710" s="4">
        <f>VLOOKUP(E710,基础属性ID!A:B,2,0)</f>
        <v>5</v>
      </c>
      <c r="G710" s="4">
        <f>VLOOKUP(E710,基础属性ID!$A:$E,5,0)</f>
        <v>100</v>
      </c>
      <c r="H710" s="4">
        <v>3</v>
      </c>
      <c r="I710" s="4">
        <f t="shared" si="190"/>
        <v>9</v>
      </c>
      <c r="J710" s="4" t="str">
        <f t="shared" si="186"/>
        <v>5:100:3:9,</v>
      </c>
    </row>
    <row r="711" spans="1:10">
      <c r="A711" s="4" t="str">
        <f t="shared" si="189"/>
        <v>1级紫手镯防御</v>
      </c>
      <c r="B711" s="4" t="s">
        <v>218</v>
      </c>
      <c r="C711" s="4" t="s">
        <v>119</v>
      </c>
      <c r="D711" s="4">
        <v>1</v>
      </c>
      <c r="E711" s="4" t="s">
        <v>17</v>
      </c>
      <c r="F711" s="4">
        <f>VLOOKUP(E711,基础属性ID!A:B,2,0)</f>
        <v>6</v>
      </c>
      <c r="G711" s="4">
        <f>VLOOKUP(E711,基础属性ID!$A:$E,5,0)</f>
        <v>100</v>
      </c>
      <c r="H711" s="4">
        <v>3</v>
      </c>
      <c r="I711" s="4">
        <f t="shared" si="190"/>
        <v>9</v>
      </c>
      <c r="J711" s="4" t="str">
        <f t="shared" si="186"/>
        <v>6:100:3:9,</v>
      </c>
    </row>
    <row r="712" spans="1:10">
      <c r="A712" s="4" t="str">
        <f t="shared" si="189"/>
        <v>1级紫手镯固定伤害</v>
      </c>
      <c r="B712" s="4" t="s">
        <v>218</v>
      </c>
      <c r="C712" s="4" t="s">
        <v>119</v>
      </c>
      <c r="D712" s="4">
        <v>1</v>
      </c>
      <c r="E712" s="4" t="s">
        <v>24</v>
      </c>
      <c r="F712" s="4">
        <f>VLOOKUP(E712,基础属性ID!A:B,2,0)</f>
        <v>9</v>
      </c>
      <c r="G712" s="4">
        <f>VLOOKUP(E712,基础属性ID!$A:$E,5,0)</f>
        <v>50</v>
      </c>
      <c r="H712" s="4">
        <v>3</v>
      </c>
      <c r="I712" s="4">
        <f t="shared" si="190"/>
        <v>9</v>
      </c>
      <c r="J712" s="4" t="str">
        <f t="shared" si="186"/>
        <v>9:50:3:9,</v>
      </c>
    </row>
    <row r="713" spans="1:10">
      <c r="A713" s="4" t="str">
        <f t="shared" si="189"/>
        <v>1级紫手镯固定减伤</v>
      </c>
      <c r="B713" s="4" t="s">
        <v>218</v>
      </c>
      <c r="C713" s="4" t="s">
        <v>119</v>
      </c>
      <c r="D713" s="4">
        <v>1</v>
      </c>
      <c r="E713" s="4" t="s">
        <v>25</v>
      </c>
      <c r="F713" s="4">
        <f>VLOOKUP(E713,基础属性ID!A:B,2,0)</f>
        <v>10</v>
      </c>
      <c r="G713" s="4">
        <f>VLOOKUP(E713,基础属性ID!$A:$E,5,0)</f>
        <v>50</v>
      </c>
      <c r="H713" s="4">
        <v>3</v>
      </c>
      <c r="I713" s="4">
        <f t="shared" si="190"/>
        <v>9</v>
      </c>
      <c r="J713" s="4" t="str">
        <f t="shared" si="186"/>
        <v>10:50:3:9,</v>
      </c>
    </row>
    <row r="714" spans="1:10">
      <c r="A714" s="4" t="str">
        <f t="shared" si="189"/>
        <v>1级紫手镯生命吸取</v>
      </c>
      <c r="B714" s="4" t="s">
        <v>218</v>
      </c>
      <c r="C714" s="4" t="s">
        <v>119</v>
      </c>
      <c r="D714" s="4">
        <v>1</v>
      </c>
      <c r="E714" s="4" t="s">
        <v>28</v>
      </c>
      <c r="F714" s="4">
        <f>VLOOKUP(E714,基础属性ID!A:B,2,0)</f>
        <v>11</v>
      </c>
      <c r="G714" s="4">
        <f>VLOOKUP(E714,基础属性ID!$A:$E,5,0)</f>
        <v>50</v>
      </c>
      <c r="H714" s="4">
        <v>2</v>
      </c>
      <c r="I714" s="4">
        <f t="shared" ref="I714:I715" si="191">H714*3</f>
        <v>6</v>
      </c>
      <c r="J714" s="4" t="str">
        <f t="shared" si="186"/>
        <v>11:50:2:6,</v>
      </c>
    </row>
    <row r="715" spans="1:10">
      <c r="A715" s="4" t="str">
        <f t="shared" si="189"/>
        <v>1级紫手镯法力吸取</v>
      </c>
      <c r="B715" s="4" t="s">
        <v>218</v>
      </c>
      <c r="C715" s="4" t="s">
        <v>119</v>
      </c>
      <c r="D715" s="4">
        <v>1</v>
      </c>
      <c r="E715" s="4" t="s">
        <v>29</v>
      </c>
      <c r="F715" s="4">
        <f>VLOOKUP(E715,基础属性ID!A:B,2,0)</f>
        <v>12</v>
      </c>
      <c r="G715" s="4">
        <f>VLOOKUP(E715,基础属性ID!$A:$E,5,0)</f>
        <v>50</v>
      </c>
      <c r="H715" s="4">
        <v>2</v>
      </c>
      <c r="I715" s="4">
        <f t="shared" si="191"/>
        <v>6</v>
      </c>
      <c r="J715" s="4" t="str">
        <f t="shared" si="186"/>
        <v>12:50:2:6,</v>
      </c>
    </row>
    <row r="716" spans="1:10">
      <c r="A716" s="4" t="str">
        <f t="shared" si="189"/>
        <v>1级紫手镯暴击几率</v>
      </c>
      <c r="B716" s="4" t="s">
        <v>218</v>
      </c>
      <c r="C716" s="4" t="s">
        <v>119</v>
      </c>
      <c r="D716" s="4">
        <v>1</v>
      </c>
      <c r="E716" s="4" t="s">
        <v>21</v>
      </c>
      <c r="F716" s="4">
        <f>VLOOKUP(E716,基础属性ID!A:B,2,0)</f>
        <v>13</v>
      </c>
      <c r="G716" s="4">
        <f>VLOOKUP(E716,基础属性ID!$A:$E,5,0)</f>
        <v>20</v>
      </c>
      <c r="H716" s="4">
        <v>50</v>
      </c>
      <c r="I716" s="4">
        <v>150</v>
      </c>
      <c r="J716" s="4" t="str">
        <f t="shared" si="186"/>
        <v>13:20:50:150,</v>
      </c>
    </row>
    <row r="717" spans="1:10">
      <c r="A717" s="4" t="str">
        <f t="shared" si="189"/>
        <v>1级紫手镯爆击伤害</v>
      </c>
      <c r="B717" s="4" t="s">
        <v>218</v>
      </c>
      <c r="C717" s="4" t="s">
        <v>119</v>
      </c>
      <c r="D717" s="4">
        <v>1</v>
      </c>
      <c r="E717" s="4" t="s">
        <v>76</v>
      </c>
      <c r="F717" s="4">
        <f>VLOOKUP(E717,基础属性ID!A:B,2,0)</f>
        <v>14</v>
      </c>
      <c r="G717" s="4">
        <f>VLOOKUP(E717,基础属性ID!$A:$E,5,0)</f>
        <v>20</v>
      </c>
      <c r="H717" s="4">
        <v>3</v>
      </c>
      <c r="I717" s="4">
        <v>8</v>
      </c>
      <c r="J717" s="4" t="str">
        <f t="shared" si="186"/>
        <v>14:20:3:8,</v>
      </c>
    </row>
    <row r="718" spans="1:10">
      <c r="A718" s="4" t="str">
        <f t="shared" si="189"/>
        <v>1级紫手镯装备掉率</v>
      </c>
      <c r="B718" s="4" t="s">
        <v>218</v>
      </c>
      <c r="C718" s="4" t="s">
        <v>119</v>
      </c>
      <c r="D718" s="4">
        <v>1</v>
      </c>
      <c r="E718" s="4" t="s">
        <v>30</v>
      </c>
      <c r="F718" s="4">
        <f>VLOOKUP(E718,基础属性ID!A:B,2,0)</f>
        <v>17</v>
      </c>
      <c r="G718" s="4">
        <f>VLOOKUP(E718,基础属性ID!$A:$E,5,0)</f>
        <v>60</v>
      </c>
      <c r="H718" s="4">
        <v>3</v>
      </c>
      <c r="I718" s="4">
        <v>9</v>
      </c>
      <c r="J718" s="4" t="str">
        <f t="shared" si="186"/>
        <v>17:60:3:9,</v>
      </c>
    </row>
    <row r="719" spans="1:10">
      <c r="A719" s="4" t="str">
        <f t="shared" si="189"/>
        <v>1级紫手镯极品掉率</v>
      </c>
      <c r="B719" s="4" t="s">
        <v>218</v>
      </c>
      <c r="C719" s="4" t="s">
        <v>119</v>
      </c>
      <c r="D719" s="4">
        <v>1</v>
      </c>
      <c r="E719" s="4" t="s">
        <v>31</v>
      </c>
      <c r="F719" s="4">
        <f>VLOOKUP(E719,基础属性ID!A:B,2,0)</f>
        <v>18</v>
      </c>
      <c r="G719" s="4">
        <f>VLOOKUP(E719,基础属性ID!$A:$E,5,0)</f>
        <v>60</v>
      </c>
      <c r="H719" s="4">
        <v>3</v>
      </c>
      <c r="I719" s="4">
        <v>9</v>
      </c>
      <c r="J719" s="4" t="str">
        <f t="shared" si="186"/>
        <v>18:60:3:9,</v>
      </c>
    </row>
    <row r="720" spans="1:10">
      <c r="A720" s="4" t="str">
        <f t="shared" si="189"/>
        <v>1级紫戒指生命值</v>
      </c>
      <c r="B720" s="4" t="s">
        <v>221</v>
      </c>
      <c r="C720" s="4" t="s">
        <v>119</v>
      </c>
      <c r="D720" s="4">
        <v>1</v>
      </c>
      <c r="E720" s="4" t="s">
        <v>74</v>
      </c>
      <c r="F720" s="4">
        <f>VLOOKUP(E720,基础属性ID!A:B,2,0)</f>
        <v>1</v>
      </c>
      <c r="G720" s="4">
        <f>VLOOKUP(E720,基础属性ID!$A:$E,5,0)</f>
        <v>100</v>
      </c>
      <c r="H720" s="4">
        <v>6</v>
      </c>
      <c r="I720" s="4">
        <f>H720*3</f>
        <v>18</v>
      </c>
      <c r="J720" s="4" t="str">
        <f t="shared" si="186"/>
        <v>1:100:6:18,</v>
      </c>
    </row>
    <row r="721" spans="1:10">
      <c r="A721" s="4" t="str">
        <f t="shared" si="189"/>
        <v>1级紫戒指法力值</v>
      </c>
      <c r="B721" s="4" t="s">
        <v>221</v>
      </c>
      <c r="C721" s="4" t="s">
        <v>119</v>
      </c>
      <c r="D721" s="4">
        <v>1</v>
      </c>
      <c r="E721" s="4" t="s">
        <v>75</v>
      </c>
      <c r="F721" s="4">
        <f>VLOOKUP(E721,基础属性ID!A:B,2,0)</f>
        <v>2</v>
      </c>
      <c r="G721" s="4">
        <f>VLOOKUP(E721,基础属性ID!$A:$E,5,0)</f>
        <v>100</v>
      </c>
      <c r="H721" s="4">
        <v>6</v>
      </c>
      <c r="I721" s="4">
        <v>15</v>
      </c>
      <c r="J721" s="4" t="str">
        <f t="shared" si="186"/>
        <v>2:100:6:15,</v>
      </c>
    </row>
    <row r="722" spans="1:10">
      <c r="A722" s="4" t="str">
        <f t="shared" si="189"/>
        <v>1级紫戒指物理攻击</v>
      </c>
      <c r="B722" s="4" t="s">
        <v>221</v>
      </c>
      <c r="C722" s="4" t="s">
        <v>119</v>
      </c>
      <c r="D722" s="4">
        <v>1</v>
      </c>
      <c r="E722" s="4" t="s">
        <v>13</v>
      </c>
      <c r="F722" s="4">
        <f>VLOOKUP(E722,基础属性ID!A:B,2,0)</f>
        <v>3</v>
      </c>
      <c r="G722" s="4">
        <f>VLOOKUP(E722,基础属性ID!$A:$E,5,0)</f>
        <v>100</v>
      </c>
      <c r="H722" s="4">
        <v>3</v>
      </c>
      <c r="I722" s="4">
        <f t="shared" ref="I722:I727" si="192">H722*3</f>
        <v>9</v>
      </c>
      <c r="J722" s="4" t="str">
        <f t="shared" si="186"/>
        <v>3:100:3:9,</v>
      </c>
    </row>
    <row r="723" spans="1:10">
      <c r="A723" s="4" t="str">
        <f t="shared" si="189"/>
        <v>1级紫戒指魔法攻击</v>
      </c>
      <c r="B723" s="4" t="s">
        <v>221</v>
      </c>
      <c r="C723" s="4" t="s">
        <v>119</v>
      </c>
      <c r="D723" s="4">
        <v>1</v>
      </c>
      <c r="E723" s="4" t="s">
        <v>14</v>
      </c>
      <c r="F723" s="4">
        <f>VLOOKUP(E723,基础属性ID!A:B,2,0)</f>
        <v>4</v>
      </c>
      <c r="G723" s="4">
        <f>VLOOKUP(E723,基础属性ID!$A:$E,5,0)</f>
        <v>100</v>
      </c>
      <c r="H723" s="4">
        <v>3</v>
      </c>
      <c r="I723" s="4">
        <f t="shared" si="192"/>
        <v>9</v>
      </c>
      <c r="J723" s="4" t="str">
        <f t="shared" si="186"/>
        <v>4:100:3:9,</v>
      </c>
    </row>
    <row r="724" spans="1:10">
      <c r="A724" s="4" t="str">
        <f t="shared" si="189"/>
        <v>1级紫戒指道术攻击</v>
      </c>
      <c r="B724" s="4" t="s">
        <v>221</v>
      </c>
      <c r="C724" s="4" t="s">
        <v>119</v>
      </c>
      <c r="D724" s="4">
        <v>1</v>
      </c>
      <c r="E724" s="4" t="s">
        <v>15</v>
      </c>
      <c r="F724" s="4">
        <f>VLOOKUP(E724,基础属性ID!A:B,2,0)</f>
        <v>5</v>
      </c>
      <c r="G724" s="4">
        <f>VLOOKUP(E724,基础属性ID!$A:$E,5,0)</f>
        <v>100</v>
      </c>
      <c r="H724" s="4">
        <v>3</v>
      </c>
      <c r="I724" s="4">
        <f t="shared" si="192"/>
        <v>9</v>
      </c>
      <c r="J724" s="4" t="str">
        <f t="shared" si="186"/>
        <v>5:100:3:9,</v>
      </c>
    </row>
    <row r="725" spans="1:10">
      <c r="A725" s="4" t="str">
        <f t="shared" si="189"/>
        <v>1级紫戒指防御</v>
      </c>
      <c r="B725" s="4" t="s">
        <v>221</v>
      </c>
      <c r="C725" s="4" t="s">
        <v>119</v>
      </c>
      <c r="D725" s="4">
        <v>1</v>
      </c>
      <c r="E725" s="4" t="s">
        <v>17</v>
      </c>
      <c r="F725" s="4">
        <f>VLOOKUP(E725,基础属性ID!A:B,2,0)</f>
        <v>6</v>
      </c>
      <c r="G725" s="4">
        <f>VLOOKUP(E725,基础属性ID!$A:$E,5,0)</f>
        <v>100</v>
      </c>
      <c r="H725" s="4">
        <v>3</v>
      </c>
      <c r="I725" s="4">
        <f t="shared" si="192"/>
        <v>9</v>
      </c>
      <c r="J725" s="4" t="str">
        <f t="shared" si="186"/>
        <v>6:100:3:9,</v>
      </c>
    </row>
    <row r="726" spans="1:10">
      <c r="A726" s="4" t="str">
        <f t="shared" si="189"/>
        <v>1级紫戒指固定伤害</v>
      </c>
      <c r="B726" s="4" t="s">
        <v>221</v>
      </c>
      <c r="C726" s="4" t="s">
        <v>119</v>
      </c>
      <c r="D726" s="4">
        <v>1</v>
      </c>
      <c r="E726" s="4" t="s">
        <v>24</v>
      </c>
      <c r="F726" s="4">
        <f>VLOOKUP(E726,基础属性ID!A:B,2,0)</f>
        <v>9</v>
      </c>
      <c r="G726" s="4">
        <f>VLOOKUP(E726,基础属性ID!$A:$E,5,0)</f>
        <v>50</v>
      </c>
      <c r="H726" s="4">
        <v>3</v>
      </c>
      <c r="I726" s="4">
        <f t="shared" si="192"/>
        <v>9</v>
      </c>
      <c r="J726" s="4" t="str">
        <f t="shared" si="186"/>
        <v>9:50:3:9,</v>
      </c>
    </row>
    <row r="727" spans="1:10">
      <c r="A727" s="4" t="str">
        <f t="shared" si="189"/>
        <v>1级紫戒指固定减伤</v>
      </c>
      <c r="B727" s="4" t="s">
        <v>221</v>
      </c>
      <c r="C727" s="4" t="s">
        <v>119</v>
      </c>
      <c r="D727" s="4">
        <v>1</v>
      </c>
      <c r="E727" s="4" t="s">
        <v>25</v>
      </c>
      <c r="F727" s="4">
        <f>VLOOKUP(E727,基础属性ID!A:B,2,0)</f>
        <v>10</v>
      </c>
      <c r="G727" s="4">
        <f>VLOOKUP(E727,基础属性ID!$A:$E,5,0)</f>
        <v>50</v>
      </c>
      <c r="H727" s="4">
        <v>3</v>
      </c>
      <c r="I727" s="4">
        <f t="shared" si="192"/>
        <v>9</v>
      </c>
      <c r="J727" s="4" t="str">
        <f t="shared" si="186"/>
        <v>10:50:3:9,</v>
      </c>
    </row>
    <row r="728" spans="1:10">
      <c r="A728" s="4" t="str">
        <f t="shared" si="189"/>
        <v>1级紫戒指生命吸取</v>
      </c>
      <c r="B728" s="4" t="s">
        <v>221</v>
      </c>
      <c r="C728" s="4" t="s">
        <v>119</v>
      </c>
      <c r="D728" s="4">
        <v>1</v>
      </c>
      <c r="E728" s="4" t="s">
        <v>28</v>
      </c>
      <c r="F728" s="4">
        <f>VLOOKUP(E728,基础属性ID!A:B,2,0)</f>
        <v>11</v>
      </c>
      <c r="G728" s="4">
        <f>VLOOKUP(E728,基础属性ID!$A:$E,5,0)</f>
        <v>50</v>
      </c>
      <c r="H728" s="4">
        <v>2</v>
      </c>
      <c r="I728" s="4">
        <f t="shared" ref="I728:I729" si="193">H728*3</f>
        <v>6</v>
      </c>
      <c r="J728" s="4" t="str">
        <f t="shared" si="186"/>
        <v>11:50:2:6,</v>
      </c>
    </row>
    <row r="729" spans="1:10">
      <c r="A729" s="4" t="str">
        <f t="shared" si="189"/>
        <v>1级紫戒指法力吸取</v>
      </c>
      <c r="B729" s="4" t="s">
        <v>221</v>
      </c>
      <c r="C729" s="4" t="s">
        <v>119</v>
      </c>
      <c r="D729" s="4">
        <v>1</v>
      </c>
      <c r="E729" s="4" t="s">
        <v>29</v>
      </c>
      <c r="F729" s="4">
        <f>VLOOKUP(E729,基础属性ID!A:B,2,0)</f>
        <v>12</v>
      </c>
      <c r="G729" s="4">
        <f>VLOOKUP(E729,基础属性ID!$A:$E,5,0)</f>
        <v>50</v>
      </c>
      <c r="H729" s="4">
        <v>2</v>
      </c>
      <c r="I729" s="4">
        <f t="shared" si="193"/>
        <v>6</v>
      </c>
      <c r="J729" s="4" t="str">
        <f t="shared" si="186"/>
        <v>12:50:2:6,</v>
      </c>
    </row>
    <row r="730" spans="1:10">
      <c r="A730" s="4" t="str">
        <f t="shared" si="189"/>
        <v>1级紫戒指暴击几率</v>
      </c>
      <c r="B730" s="4" t="s">
        <v>221</v>
      </c>
      <c r="C730" s="4" t="s">
        <v>119</v>
      </c>
      <c r="D730" s="4">
        <v>1</v>
      </c>
      <c r="E730" s="4" t="s">
        <v>21</v>
      </c>
      <c r="F730" s="4">
        <f>VLOOKUP(E730,基础属性ID!A:B,2,0)</f>
        <v>13</v>
      </c>
      <c r="G730" s="4">
        <f>VLOOKUP(E730,基础属性ID!$A:$E,5,0)</f>
        <v>20</v>
      </c>
      <c r="H730" s="4">
        <v>50</v>
      </c>
      <c r="I730" s="4">
        <v>150</v>
      </c>
      <c r="J730" s="4" t="str">
        <f t="shared" si="186"/>
        <v>13:20:50:150,</v>
      </c>
    </row>
    <row r="731" spans="1:10">
      <c r="A731" s="4" t="str">
        <f t="shared" si="189"/>
        <v>1级紫戒指爆击伤害</v>
      </c>
      <c r="B731" s="4" t="s">
        <v>221</v>
      </c>
      <c r="C731" s="4" t="s">
        <v>119</v>
      </c>
      <c r="D731" s="4">
        <v>1</v>
      </c>
      <c r="E731" s="4" t="s">
        <v>76</v>
      </c>
      <c r="F731" s="4">
        <f>VLOOKUP(E731,基础属性ID!A:B,2,0)</f>
        <v>14</v>
      </c>
      <c r="G731" s="4">
        <f>VLOOKUP(E731,基础属性ID!$A:$E,5,0)</f>
        <v>20</v>
      </c>
      <c r="H731" s="4">
        <v>3</v>
      </c>
      <c r="I731" s="4">
        <v>8</v>
      </c>
      <c r="J731" s="4" t="str">
        <f t="shared" si="186"/>
        <v>14:20:3:8,</v>
      </c>
    </row>
    <row r="732" spans="1:10">
      <c r="A732" s="4" t="str">
        <f t="shared" si="189"/>
        <v>1级紫戒指装备掉率</v>
      </c>
      <c r="B732" s="4" t="s">
        <v>221</v>
      </c>
      <c r="C732" s="4" t="s">
        <v>119</v>
      </c>
      <c r="D732" s="4">
        <v>1</v>
      </c>
      <c r="E732" s="4" t="s">
        <v>30</v>
      </c>
      <c r="F732" s="4">
        <f>VLOOKUP(E732,基础属性ID!A:B,2,0)</f>
        <v>17</v>
      </c>
      <c r="G732" s="4">
        <f>VLOOKUP(E732,基础属性ID!$A:$E,5,0)</f>
        <v>60</v>
      </c>
      <c r="H732" s="4">
        <v>3</v>
      </c>
      <c r="I732" s="4">
        <v>9</v>
      </c>
      <c r="J732" s="4" t="str">
        <f t="shared" si="186"/>
        <v>17:60:3:9,</v>
      </c>
    </row>
    <row r="733" spans="1:10">
      <c r="A733" s="4" t="str">
        <f t="shared" si="189"/>
        <v>1级紫戒指极品掉率</v>
      </c>
      <c r="B733" s="4" t="s">
        <v>221</v>
      </c>
      <c r="C733" s="4" t="s">
        <v>119</v>
      </c>
      <c r="D733" s="4">
        <v>1</v>
      </c>
      <c r="E733" s="4" t="s">
        <v>31</v>
      </c>
      <c r="F733" s="4">
        <f>VLOOKUP(E733,基础属性ID!A:B,2,0)</f>
        <v>18</v>
      </c>
      <c r="G733" s="4">
        <f>VLOOKUP(E733,基础属性ID!$A:$E,5,0)</f>
        <v>60</v>
      </c>
      <c r="H733" s="4">
        <v>3</v>
      </c>
      <c r="I733" s="4">
        <v>9</v>
      </c>
      <c r="J733" s="4" t="str">
        <f t="shared" si="186"/>
        <v>18:60:3:9,</v>
      </c>
    </row>
    <row r="734" spans="1:10">
      <c r="A734" s="4" t="str">
        <f t="shared" si="189"/>
        <v>21级紫武器生命值</v>
      </c>
      <c r="B734" s="4" t="s">
        <v>198</v>
      </c>
      <c r="C734" s="4" t="s">
        <v>119</v>
      </c>
      <c r="D734" s="4">
        <v>21</v>
      </c>
      <c r="E734" s="4" t="s">
        <v>74</v>
      </c>
      <c r="F734" s="4">
        <f>VLOOKUP(E734,基础属性ID!A:B,2,0)</f>
        <v>1</v>
      </c>
      <c r="G734" s="4">
        <f>VLOOKUP(E734,基础属性ID!$A:$E,5,0)</f>
        <v>100</v>
      </c>
      <c r="H734" s="4">
        <v>12</v>
      </c>
      <c r="I734" s="4">
        <f>H734*3</f>
        <v>36</v>
      </c>
      <c r="J734" s="4" t="str">
        <f t="shared" si="186"/>
        <v>1:100:12:36,</v>
      </c>
    </row>
    <row r="735" spans="1:10">
      <c r="A735" s="4" t="str">
        <f t="shared" si="189"/>
        <v>21级紫武器法力值</v>
      </c>
      <c r="B735" s="4" t="s">
        <v>198</v>
      </c>
      <c r="C735" s="4" t="s">
        <v>119</v>
      </c>
      <c r="D735" s="4">
        <v>21</v>
      </c>
      <c r="E735" s="4" t="s">
        <v>75</v>
      </c>
      <c r="F735" s="4">
        <f>VLOOKUP(E735,基础属性ID!A:B,2,0)</f>
        <v>2</v>
      </c>
      <c r="G735" s="4">
        <f>VLOOKUP(E735,基础属性ID!$A:$E,5,0)</f>
        <v>100</v>
      </c>
      <c r="H735" s="4">
        <v>8</v>
      </c>
      <c r="I735" s="4">
        <v>16</v>
      </c>
      <c r="J735" s="4" t="str">
        <f t="shared" si="186"/>
        <v>2:100:8:16,</v>
      </c>
    </row>
    <row r="736" spans="1:10">
      <c r="A736" s="4" t="str">
        <f t="shared" si="189"/>
        <v>21级紫武器物理攻击</v>
      </c>
      <c r="B736" s="4" t="s">
        <v>198</v>
      </c>
      <c r="C736" s="4" t="s">
        <v>119</v>
      </c>
      <c r="D736" s="4">
        <v>21</v>
      </c>
      <c r="E736" s="4" t="s">
        <v>13</v>
      </c>
      <c r="F736" s="4">
        <f>VLOOKUP(E736,基础属性ID!A:B,2,0)</f>
        <v>3</v>
      </c>
      <c r="G736" s="4">
        <f>VLOOKUP(E736,基础属性ID!$A:$E,5,0)</f>
        <v>100</v>
      </c>
      <c r="H736" s="4">
        <v>5</v>
      </c>
      <c r="I736" s="4">
        <f t="shared" ref="I736:I739" si="194">H736*3</f>
        <v>15</v>
      </c>
      <c r="J736" s="4" t="str">
        <f t="shared" si="186"/>
        <v>3:100:5:15,</v>
      </c>
    </row>
    <row r="737" spans="1:10">
      <c r="A737" s="4" t="str">
        <f t="shared" si="189"/>
        <v>21级紫武器魔法攻击</v>
      </c>
      <c r="B737" s="4" t="s">
        <v>198</v>
      </c>
      <c r="C737" s="4" t="s">
        <v>119</v>
      </c>
      <c r="D737" s="4">
        <v>21</v>
      </c>
      <c r="E737" s="4" t="s">
        <v>14</v>
      </c>
      <c r="F737" s="4">
        <f>VLOOKUP(E737,基础属性ID!A:B,2,0)</f>
        <v>4</v>
      </c>
      <c r="G737" s="4">
        <f>VLOOKUP(E737,基础属性ID!$A:$E,5,0)</f>
        <v>100</v>
      </c>
      <c r="H737" s="4">
        <v>5</v>
      </c>
      <c r="I737" s="4">
        <f t="shared" si="194"/>
        <v>15</v>
      </c>
      <c r="J737" s="4" t="str">
        <f t="shared" si="186"/>
        <v>4:100:5:15,</v>
      </c>
    </row>
    <row r="738" spans="1:10">
      <c r="A738" s="4" t="str">
        <f t="shared" si="189"/>
        <v>21级紫武器道术攻击</v>
      </c>
      <c r="B738" s="4" t="s">
        <v>198</v>
      </c>
      <c r="C738" s="4" t="s">
        <v>119</v>
      </c>
      <c r="D738" s="4">
        <v>21</v>
      </c>
      <c r="E738" s="4" t="s">
        <v>15</v>
      </c>
      <c r="F738" s="4">
        <f>VLOOKUP(E738,基础属性ID!A:B,2,0)</f>
        <v>5</v>
      </c>
      <c r="G738" s="4">
        <f>VLOOKUP(E738,基础属性ID!$A:$E,5,0)</f>
        <v>100</v>
      </c>
      <c r="H738" s="4">
        <v>5</v>
      </c>
      <c r="I738" s="4">
        <f t="shared" si="194"/>
        <v>15</v>
      </c>
      <c r="J738" s="4" t="str">
        <f t="shared" si="186"/>
        <v>5:100:5:15,</v>
      </c>
    </row>
    <row r="739" spans="1:10">
      <c r="A739" s="4" t="str">
        <f t="shared" si="189"/>
        <v>21级紫武器防御</v>
      </c>
      <c r="B739" s="4" t="s">
        <v>198</v>
      </c>
      <c r="C739" s="4" t="s">
        <v>119</v>
      </c>
      <c r="D739" s="4">
        <v>21</v>
      </c>
      <c r="E739" s="4" t="s">
        <v>17</v>
      </c>
      <c r="F739" s="4">
        <f>VLOOKUP(E739,基础属性ID!A:B,2,0)</f>
        <v>6</v>
      </c>
      <c r="G739" s="4">
        <f>VLOOKUP(E739,基础属性ID!$A:$E,5,0)</f>
        <v>100</v>
      </c>
      <c r="H739" s="4">
        <v>5</v>
      </c>
      <c r="I739" s="4">
        <f t="shared" si="194"/>
        <v>15</v>
      </c>
      <c r="J739" s="4" t="str">
        <f t="shared" si="186"/>
        <v>6:100:5:15,</v>
      </c>
    </row>
    <row r="740" spans="1:10">
      <c r="A740" s="4" t="str">
        <f t="shared" si="189"/>
        <v>21级紫武器攻速</v>
      </c>
      <c r="B740" s="4" t="s">
        <v>198</v>
      </c>
      <c r="C740" s="4" t="s">
        <v>119</v>
      </c>
      <c r="D740" s="4">
        <v>21</v>
      </c>
      <c r="E740" s="4" t="s">
        <v>18</v>
      </c>
      <c r="F740" s="4">
        <f>VLOOKUP(E740,基础属性ID!A:B,2,0)</f>
        <v>7</v>
      </c>
      <c r="G740" s="4">
        <f>VLOOKUP(E740,基础属性ID!$A:$E,5,0)</f>
        <v>20</v>
      </c>
      <c r="H740" s="4">
        <v>1</v>
      </c>
      <c r="I740" s="4">
        <v>2</v>
      </c>
      <c r="J740" s="4" t="str">
        <f t="shared" si="186"/>
        <v>7:20:1:2,</v>
      </c>
    </row>
    <row r="741" spans="1:10">
      <c r="A741" s="4" t="str">
        <f t="shared" si="189"/>
        <v>21级紫武器幸运</v>
      </c>
      <c r="B741" s="4" t="s">
        <v>198</v>
      </c>
      <c r="C741" s="4" t="s">
        <v>119</v>
      </c>
      <c r="D741" s="4">
        <v>21</v>
      </c>
      <c r="E741" s="4" t="s">
        <v>19</v>
      </c>
      <c r="F741" s="4">
        <f>VLOOKUP(E741,基础属性ID!A:B,2,0)</f>
        <v>8</v>
      </c>
      <c r="G741" s="4">
        <f>VLOOKUP(E741,基础属性ID!$A:$E,5,0)</f>
        <v>20</v>
      </c>
      <c r="H741" s="4">
        <v>1</v>
      </c>
      <c r="I741" s="4">
        <v>3</v>
      </c>
      <c r="J741" s="4" t="str">
        <f t="shared" si="186"/>
        <v>8:20:1:3,</v>
      </c>
    </row>
    <row r="742" spans="1:10">
      <c r="A742" s="4" t="str">
        <f t="shared" si="189"/>
        <v>21级紫武器固定伤害</v>
      </c>
      <c r="B742" s="4" t="s">
        <v>198</v>
      </c>
      <c r="C742" s="4" t="s">
        <v>119</v>
      </c>
      <c r="D742" s="4">
        <v>21</v>
      </c>
      <c r="E742" s="4" t="s">
        <v>24</v>
      </c>
      <c r="F742" s="4">
        <f>VLOOKUP(E742,基础属性ID!A:B,2,0)</f>
        <v>9</v>
      </c>
      <c r="G742" s="4">
        <f>VLOOKUP(E742,基础属性ID!$A:$E,5,0)</f>
        <v>50</v>
      </c>
      <c r="H742" s="4">
        <v>4</v>
      </c>
      <c r="I742" s="4">
        <f t="shared" ref="I742:I743" si="195">H742*3</f>
        <v>12</v>
      </c>
      <c r="J742" s="4" t="str">
        <f t="shared" si="186"/>
        <v>9:50:4:12,</v>
      </c>
    </row>
    <row r="743" spans="1:10">
      <c r="A743" s="4" t="str">
        <f t="shared" si="189"/>
        <v>21级紫武器固定减伤</v>
      </c>
      <c r="B743" s="4" t="s">
        <v>198</v>
      </c>
      <c r="C743" s="4" t="s">
        <v>119</v>
      </c>
      <c r="D743" s="4">
        <v>21</v>
      </c>
      <c r="E743" s="4" t="s">
        <v>25</v>
      </c>
      <c r="F743" s="4">
        <f>VLOOKUP(E743,基础属性ID!A:B,2,0)</f>
        <v>10</v>
      </c>
      <c r="G743" s="4">
        <f>VLOOKUP(E743,基础属性ID!$A:$E,5,0)</f>
        <v>50</v>
      </c>
      <c r="H743" s="4">
        <v>4</v>
      </c>
      <c r="I743" s="4">
        <f t="shared" si="195"/>
        <v>12</v>
      </c>
      <c r="J743" s="4" t="str">
        <f t="shared" si="186"/>
        <v>10:50:4:12,</v>
      </c>
    </row>
    <row r="744" spans="1:10">
      <c r="A744" s="4" t="str">
        <f t="shared" si="189"/>
        <v>21级紫武器生命吸取</v>
      </c>
      <c r="B744" s="4" t="s">
        <v>198</v>
      </c>
      <c r="C744" s="4" t="s">
        <v>119</v>
      </c>
      <c r="D744" s="4">
        <v>21</v>
      </c>
      <c r="E744" s="4" t="s">
        <v>28</v>
      </c>
      <c r="F744" s="4">
        <f>VLOOKUP(E744,基础属性ID!A:B,2,0)</f>
        <v>11</v>
      </c>
      <c r="G744" s="4">
        <f>VLOOKUP(E744,基础属性ID!$A:$E,5,0)</f>
        <v>50</v>
      </c>
      <c r="H744" s="4">
        <v>3</v>
      </c>
      <c r="I744" s="4">
        <f t="shared" ref="I744:I745" si="196">H744*3</f>
        <v>9</v>
      </c>
      <c r="J744" s="4" t="str">
        <f t="shared" si="186"/>
        <v>11:50:3:9,</v>
      </c>
    </row>
    <row r="745" spans="1:10">
      <c r="A745" s="4" t="str">
        <f t="shared" si="189"/>
        <v>21级紫武器法力吸取</v>
      </c>
      <c r="B745" s="4" t="s">
        <v>198</v>
      </c>
      <c r="C745" s="4" t="s">
        <v>119</v>
      </c>
      <c r="D745" s="4">
        <v>21</v>
      </c>
      <c r="E745" s="4" t="s">
        <v>29</v>
      </c>
      <c r="F745" s="4">
        <f>VLOOKUP(E745,基础属性ID!A:B,2,0)</f>
        <v>12</v>
      </c>
      <c r="G745" s="4">
        <f>VLOOKUP(E745,基础属性ID!$A:$E,5,0)</f>
        <v>50</v>
      </c>
      <c r="H745" s="4">
        <v>3</v>
      </c>
      <c r="I745" s="4">
        <f t="shared" si="196"/>
        <v>9</v>
      </c>
      <c r="J745" s="4" t="str">
        <f t="shared" si="186"/>
        <v>12:50:3:9,</v>
      </c>
    </row>
    <row r="746" spans="1:10">
      <c r="A746" s="4" t="str">
        <f t="shared" si="189"/>
        <v>21级紫武器暴击几率</v>
      </c>
      <c r="B746" s="4" t="s">
        <v>198</v>
      </c>
      <c r="C746" s="4" t="s">
        <v>119</v>
      </c>
      <c r="D746" s="4">
        <v>21</v>
      </c>
      <c r="E746" s="4" t="s">
        <v>21</v>
      </c>
      <c r="F746" s="4">
        <f>VLOOKUP(E746,基础属性ID!A:B,2,0)</f>
        <v>13</v>
      </c>
      <c r="G746" s="4">
        <f>VLOOKUP(E746,基础属性ID!$A:$E,5,0)</f>
        <v>20</v>
      </c>
      <c r="H746" s="4">
        <v>50</v>
      </c>
      <c r="I746" s="4">
        <v>150</v>
      </c>
      <c r="J746" s="4" t="str">
        <f t="shared" si="186"/>
        <v>13:20:50:150,</v>
      </c>
    </row>
    <row r="747" spans="1:10">
      <c r="A747" s="4" t="str">
        <f t="shared" si="189"/>
        <v>21级紫武器爆击伤害</v>
      </c>
      <c r="B747" s="4" t="s">
        <v>198</v>
      </c>
      <c r="C747" s="4" t="s">
        <v>119</v>
      </c>
      <c r="D747" s="4">
        <v>21</v>
      </c>
      <c r="E747" s="4" t="s">
        <v>76</v>
      </c>
      <c r="F747" s="4">
        <f>VLOOKUP(E747,基础属性ID!A:B,2,0)</f>
        <v>14</v>
      </c>
      <c r="G747" s="4">
        <f>VLOOKUP(E747,基础属性ID!$A:$E,5,0)</f>
        <v>20</v>
      </c>
      <c r="H747" s="4">
        <v>3</v>
      </c>
      <c r="I747" s="4">
        <v>8</v>
      </c>
      <c r="J747" s="4" t="str">
        <f t="shared" si="186"/>
        <v>14:20:3:8,</v>
      </c>
    </row>
    <row r="748" spans="1:10">
      <c r="A748" s="4" t="str">
        <f t="shared" si="189"/>
        <v>21级紫武器伤害增加</v>
      </c>
      <c r="B748" s="4" t="s">
        <v>198</v>
      </c>
      <c r="C748" s="4" t="s">
        <v>119</v>
      </c>
      <c r="D748" s="4">
        <v>21</v>
      </c>
      <c r="E748" s="4" t="s">
        <v>26</v>
      </c>
      <c r="F748" s="4">
        <f>VLOOKUP(E748,基础属性ID!A:B,2,0)</f>
        <v>15</v>
      </c>
      <c r="G748" s="4">
        <f>VLOOKUP(E748,基础属性ID!$A:$E,5,0)</f>
        <v>10</v>
      </c>
      <c r="H748" s="4">
        <v>1</v>
      </c>
      <c r="I748" s="4">
        <v>2</v>
      </c>
      <c r="J748" s="4" t="str">
        <f t="shared" si="186"/>
        <v>15:10:1:2,</v>
      </c>
    </row>
    <row r="749" spans="1:10">
      <c r="A749" s="4" t="str">
        <f t="shared" si="189"/>
        <v>21级紫武器伤害减免</v>
      </c>
      <c r="B749" s="4" t="s">
        <v>198</v>
      </c>
      <c r="C749" s="4" t="s">
        <v>119</v>
      </c>
      <c r="D749" s="4">
        <v>21</v>
      </c>
      <c r="E749" s="4" t="s">
        <v>27</v>
      </c>
      <c r="F749" s="4">
        <f>VLOOKUP(E749,基础属性ID!A:B,2,0)</f>
        <v>16</v>
      </c>
      <c r="G749" s="4">
        <f>VLOOKUP(E749,基础属性ID!$A:$E,5,0)</f>
        <v>10</v>
      </c>
      <c r="H749" s="4">
        <v>1</v>
      </c>
      <c r="I749" s="4">
        <v>2</v>
      </c>
      <c r="J749" s="4" t="str">
        <f t="shared" si="186"/>
        <v>16:10:1:2,</v>
      </c>
    </row>
    <row r="750" spans="1:10">
      <c r="A750" s="4" t="str">
        <f t="shared" si="189"/>
        <v>21级紫武器装备掉率</v>
      </c>
      <c r="B750" s="4" t="s">
        <v>198</v>
      </c>
      <c r="C750" s="4" t="s">
        <v>119</v>
      </c>
      <c r="D750" s="4">
        <v>21</v>
      </c>
      <c r="E750" s="4" t="s">
        <v>30</v>
      </c>
      <c r="F750" s="4">
        <f>VLOOKUP(E750,基础属性ID!A:B,2,0)</f>
        <v>17</v>
      </c>
      <c r="G750" s="4">
        <f>VLOOKUP(E750,基础属性ID!$A:$E,5,0)</f>
        <v>60</v>
      </c>
      <c r="H750" s="4">
        <v>3</v>
      </c>
      <c r="I750" s="4">
        <v>9</v>
      </c>
      <c r="J750" s="4" t="str">
        <f t="shared" si="186"/>
        <v>17:60:3:9,</v>
      </c>
    </row>
    <row r="751" spans="1:10">
      <c r="A751" s="4" t="str">
        <f t="shared" si="189"/>
        <v>21级紫武器极品掉率</v>
      </c>
      <c r="B751" s="4" t="s">
        <v>198</v>
      </c>
      <c r="C751" s="4" t="s">
        <v>119</v>
      </c>
      <c r="D751" s="4">
        <v>21</v>
      </c>
      <c r="E751" s="4" t="s">
        <v>31</v>
      </c>
      <c r="F751" s="4">
        <f>VLOOKUP(E751,基础属性ID!A:B,2,0)</f>
        <v>18</v>
      </c>
      <c r="G751" s="4">
        <f>VLOOKUP(E751,基础属性ID!$A:$E,5,0)</f>
        <v>60</v>
      </c>
      <c r="H751" s="4">
        <v>3</v>
      </c>
      <c r="I751" s="4">
        <v>9</v>
      </c>
      <c r="J751" s="4" t="str">
        <f t="shared" si="186"/>
        <v>18:60:3:9,</v>
      </c>
    </row>
    <row r="752" spans="1:10">
      <c r="A752" s="4" t="str">
        <f t="shared" si="189"/>
        <v>41级紫武器生命值</v>
      </c>
      <c r="B752" s="4" t="s">
        <v>198</v>
      </c>
      <c r="C752" s="4" t="s">
        <v>119</v>
      </c>
      <c r="D752" s="4">
        <v>41</v>
      </c>
      <c r="E752" s="4" t="s">
        <v>74</v>
      </c>
      <c r="F752" s="4">
        <f>VLOOKUP(E752,基础属性ID!A:B,2,0)</f>
        <v>1</v>
      </c>
      <c r="G752" s="4">
        <f>VLOOKUP(E752,基础属性ID!$A:$E,5,0)</f>
        <v>100</v>
      </c>
      <c r="H752" s="4">
        <v>20</v>
      </c>
      <c r="I752" s="4">
        <f>H752*3</f>
        <v>60</v>
      </c>
      <c r="J752" s="4" t="str">
        <f t="shared" ref="J752:J813" si="197">F752&amp;":"&amp;G752&amp;":"&amp;H752&amp;":"&amp;I752&amp;","</f>
        <v>1:100:20:60,</v>
      </c>
    </row>
    <row r="753" spans="1:10">
      <c r="A753" s="4" t="str">
        <f t="shared" si="189"/>
        <v>41级紫武器法力值</v>
      </c>
      <c r="B753" s="4" t="s">
        <v>198</v>
      </c>
      <c r="C753" s="4" t="s">
        <v>119</v>
      </c>
      <c r="D753" s="4">
        <v>41</v>
      </c>
      <c r="E753" s="4" t="s">
        <v>75</v>
      </c>
      <c r="F753" s="4">
        <f>VLOOKUP(E753,基础属性ID!A:B,2,0)</f>
        <v>2</v>
      </c>
      <c r="G753" s="4">
        <f>VLOOKUP(E753,基础属性ID!$A:$E,5,0)</f>
        <v>100</v>
      </c>
      <c r="H753" s="4">
        <v>10</v>
      </c>
      <c r="I753" s="4">
        <v>20</v>
      </c>
      <c r="J753" s="4" t="str">
        <f t="shared" si="197"/>
        <v>2:100:10:20,</v>
      </c>
    </row>
    <row r="754" spans="1:10">
      <c r="A754" s="4" t="str">
        <f t="shared" si="189"/>
        <v>41级紫武器物理攻击</v>
      </c>
      <c r="B754" s="4" t="s">
        <v>198</v>
      </c>
      <c r="C754" s="4" t="s">
        <v>119</v>
      </c>
      <c r="D754" s="4">
        <v>41</v>
      </c>
      <c r="E754" s="4" t="s">
        <v>13</v>
      </c>
      <c r="F754" s="4">
        <f>VLOOKUP(E754,基础属性ID!A:B,2,0)</f>
        <v>3</v>
      </c>
      <c r="G754" s="4">
        <f>VLOOKUP(E754,基础属性ID!$A:$E,5,0)</f>
        <v>100</v>
      </c>
      <c r="H754" s="4">
        <v>7</v>
      </c>
      <c r="I754" s="4">
        <f t="shared" ref="I754:I757" si="198">H754*3</f>
        <v>21</v>
      </c>
      <c r="J754" s="4" t="str">
        <f t="shared" si="197"/>
        <v>3:100:7:21,</v>
      </c>
    </row>
    <row r="755" spans="1:10">
      <c r="A755" s="4" t="str">
        <f t="shared" si="189"/>
        <v>41级紫武器魔法攻击</v>
      </c>
      <c r="B755" s="4" t="s">
        <v>198</v>
      </c>
      <c r="C755" s="4" t="s">
        <v>119</v>
      </c>
      <c r="D755" s="4">
        <v>41</v>
      </c>
      <c r="E755" s="4" t="s">
        <v>14</v>
      </c>
      <c r="F755" s="4">
        <f>VLOOKUP(E755,基础属性ID!A:B,2,0)</f>
        <v>4</v>
      </c>
      <c r="G755" s="4">
        <f>VLOOKUP(E755,基础属性ID!$A:$E,5,0)</f>
        <v>100</v>
      </c>
      <c r="H755" s="4">
        <v>7</v>
      </c>
      <c r="I755" s="4">
        <f t="shared" si="198"/>
        <v>21</v>
      </c>
      <c r="J755" s="4" t="str">
        <f t="shared" si="197"/>
        <v>4:100:7:21,</v>
      </c>
    </row>
    <row r="756" spans="1:10">
      <c r="A756" s="4" t="str">
        <f t="shared" si="189"/>
        <v>41级紫武器道术攻击</v>
      </c>
      <c r="B756" s="4" t="s">
        <v>198</v>
      </c>
      <c r="C756" s="4" t="s">
        <v>119</v>
      </c>
      <c r="D756" s="4">
        <v>41</v>
      </c>
      <c r="E756" s="4" t="s">
        <v>15</v>
      </c>
      <c r="F756" s="4">
        <f>VLOOKUP(E756,基础属性ID!A:B,2,0)</f>
        <v>5</v>
      </c>
      <c r="G756" s="4">
        <f>VLOOKUP(E756,基础属性ID!$A:$E,5,0)</f>
        <v>100</v>
      </c>
      <c r="H756" s="4">
        <v>7</v>
      </c>
      <c r="I756" s="4">
        <f t="shared" si="198"/>
        <v>21</v>
      </c>
      <c r="J756" s="4" t="str">
        <f t="shared" si="197"/>
        <v>5:100:7:21,</v>
      </c>
    </row>
    <row r="757" spans="1:10">
      <c r="A757" s="4" t="str">
        <f t="shared" si="189"/>
        <v>41级紫武器防御</v>
      </c>
      <c r="B757" s="4" t="s">
        <v>198</v>
      </c>
      <c r="C757" s="4" t="s">
        <v>119</v>
      </c>
      <c r="D757" s="4">
        <v>41</v>
      </c>
      <c r="E757" s="4" t="s">
        <v>17</v>
      </c>
      <c r="F757" s="4">
        <f>VLOOKUP(E757,基础属性ID!A:B,2,0)</f>
        <v>6</v>
      </c>
      <c r="G757" s="4">
        <f>VLOOKUP(E757,基础属性ID!$A:$E,5,0)</f>
        <v>100</v>
      </c>
      <c r="H757" s="4">
        <v>7</v>
      </c>
      <c r="I757" s="4">
        <f t="shared" si="198"/>
        <v>21</v>
      </c>
      <c r="J757" s="4" t="str">
        <f t="shared" si="197"/>
        <v>6:100:7:21,</v>
      </c>
    </row>
    <row r="758" spans="1:10">
      <c r="A758" s="4" t="str">
        <f t="shared" si="189"/>
        <v>41级紫武器攻速</v>
      </c>
      <c r="B758" s="4" t="s">
        <v>198</v>
      </c>
      <c r="C758" s="4" t="s">
        <v>119</v>
      </c>
      <c r="D758" s="4">
        <v>41</v>
      </c>
      <c r="E758" s="4" t="s">
        <v>18</v>
      </c>
      <c r="F758" s="4">
        <f>VLOOKUP(E758,基础属性ID!A:B,2,0)</f>
        <v>7</v>
      </c>
      <c r="G758" s="4">
        <f>VLOOKUP(E758,基础属性ID!$A:$E,5,0)</f>
        <v>20</v>
      </c>
      <c r="H758" s="4">
        <v>1</v>
      </c>
      <c r="I758" s="4">
        <v>2</v>
      </c>
      <c r="J758" s="4" t="str">
        <f t="shared" si="197"/>
        <v>7:20:1:2,</v>
      </c>
    </row>
    <row r="759" spans="1:10">
      <c r="A759" s="4" t="str">
        <f t="shared" si="189"/>
        <v>41级紫武器幸运</v>
      </c>
      <c r="B759" s="4" t="s">
        <v>198</v>
      </c>
      <c r="C759" s="4" t="s">
        <v>119</v>
      </c>
      <c r="D759" s="4">
        <v>41</v>
      </c>
      <c r="E759" s="4" t="s">
        <v>19</v>
      </c>
      <c r="F759" s="4">
        <f>VLOOKUP(E759,基础属性ID!A:B,2,0)</f>
        <v>8</v>
      </c>
      <c r="G759" s="4">
        <f>VLOOKUP(E759,基础属性ID!$A:$E,5,0)</f>
        <v>20</v>
      </c>
      <c r="H759" s="4">
        <v>1</v>
      </c>
      <c r="I759" s="4">
        <v>3</v>
      </c>
      <c r="J759" s="4" t="str">
        <f t="shared" si="197"/>
        <v>8:20:1:3,</v>
      </c>
    </row>
    <row r="760" spans="1:10">
      <c r="A760" s="4" t="str">
        <f t="shared" si="189"/>
        <v>41级紫武器固定伤害</v>
      </c>
      <c r="B760" s="4" t="s">
        <v>198</v>
      </c>
      <c r="C760" s="4" t="s">
        <v>119</v>
      </c>
      <c r="D760" s="4">
        <v>41</v>
      </c>
      <c r="E760" s="4" t="s">
        <v>24</v>
      </c>
      <c r="F760" s="4">
        <f>VLOOKUP(E760,基础属性ID!A:B,2,0)</f>
        <v>9</v>
      </c>
      <c r="G760" s="4">
        <f>VLOOKUP(E760,基础属性ID!$A:$E,5,0)</f>
        <v>50</v>
      </c>
      <c r="H760" s="4">
        <v>5</v>
      </c>
      <c r="I760" s="4">
        <f t="shared" ref="I760:I761" si="199">H760*3</f>
        <v>15</v>
      </c>
      <c r="J760" s="4" t="str">
        <f t="shared" si="197"/>
        <v>9:50:5:15,</v>
      </c>
    </row>
    <row r="761" spans="1:10">
      <c r="A761" s="4" t="str">
        <f t="shared" si="189"/>
        <v>41级紫武器固定减伤</v>
      </c>
      <c r="B761" s="4" t="s">
        <v>198</v>
      </c>
      <c r="C761" s="4" t="s">
        <v>119</v>
      </c>
      <c r="D761" s="4">
        <v>41</v>
      </c>
      <c r="E761" s="4" t="s">
        <v>25</v>
      </c>
      <c r="F761" s="4">
        <f>VLOOKUP(E761,基础属性ID!A:B,2,0)</f>
        <v>10</v>
      </c>
      <c r="G761" s="4">
        <f>VLOOKUP(E761,基础属性ID!$A:$E,5,0)</f>
        <v>50</v>
      </c>
      <c r="H761" s="4">
        <v>5</v>
      </c>
      <c r="I761" s="4">
        <f t="shared" si="199"/>
        <v>15</v>
      </c>
      <c r="J761" s="4" t="str">
        <f t="shared" si="197"/>
        <v>10:50:5:15,</v>
      </c>
    </row>
    <row r="762" spans="1:10">
      <c r="A762" s="4" t="str">
        <f t="shared" si="189"/>
        <v>41级紫武器生命吸取</v>
      </c>
      <c r="B762" s="4" t="s">
        <v>198</v>
      </c>
      <c r="C762" s="4" t="s">
        <v>119</v>
      </c>
      <c r="D762" s="4">
        <v>41</v>
      </c>
      <c r="E762" s="4" t="s">
        <v>28</v>
      </c>
      <c r="F762" s="4">
        <f>VLOOKUP(E762,基础属性ID!A:B,2,0)</f>
        <v>11</v>
      </c>
      <c r="G762" s="4">
        <f>VLOOKUP(E762,基础属性ID!$A:$E,5,0)</f>
        <v>50</v>
      </c>
      <c r="H762" s="4">
        <v>4</v>
      </c>
      <c r="I762" s="4">
        <f t="shared" ref="I762:I763" si="200">H762*3</f>
        <v>12</v>
      </c>
      <c r="J762" s="4" t="str">
        <f t="shared" si="197"/>
        <v>11:50:4:12,</v>
      </c>
    </row>
    <row r="763" spans="1:10">
      <c r="A763" s="4" t="str">
        <f t="shared" si="189"/>
        <v>41级紫武器法力吸取</v>
      </c>
      <c r="B763" s="4" t="s">
        <v>198</v>
      </c>
      <c r="C763" s="4" t="s">
        <v>119</v>
      </c>
      <c r="D763" s="4">
        <v>41</v>
      </c>
      <c r="E763" s="4" t="s">
        <v>29</v>
      </c>
      <c r="F763" s="4">
        <f>VLOOKUP(E763,基础属性ID!A:B,2,0)</f>
        <v>12</v>
      </c>
      <c r="G763" s="4">
        <f>VLOOKUP(E763,基础属性ID!$A:$E,5,0)</f>
        <v>50</v>
      </c>
      <c r="H763" s="4">
        <v>4</v>
      </c>
      <c r="I763" s="4">
        <f t="shared" si="200"/>
        <v>12</v>
      </c>
      <c r="J763" s="4" t="str">
        <f t="shared" si="197"/>
        <v>12:50:4:12,</v>
      </c>
    </row>
    <row r="764" spans="1:10">
      <c r="A764" s="4" t="str">
        <f t="shared" si="189"/>
        <v>41级紫武器暴击几率</v>
      </c>
      <c r="B764" s="4" t="s">
        <v>198</v>
      </c>
      <c r="C764" s="4" t="s">
        <v>119</v>
      </c>
      <c r="D764" s="4">
        <v>41</v>
      </c>
      <c r="E764" s="4" t="s">
        <v>21</v>
      </c>
      <c r="F764" s="4">
        <f>VLOOKUP(E764,基础属性ID!A:B,2,0)</f>
        <v>13</v>
      </c>
      <c r="G764" s="4">
        <f>VLOOKUP(E764,基础属性ID!$A:$E,5,0)</f>
        <v>20</v>
      </c>
      <c r="H764" s="4">
        <v>50</v>
      </c>
      <c r="I764" s="4">
        <v>150</v>
      </c>
      <c r="J764" s="4" t="str">
        <f t="shared" si="197"/>
        <v>13:20:50:150,</v>
      </c>
    </row>
    <row r="765" spans="1:10">
      <c r="A765" s="4" t="str">
        <f t="shared" si="189"/>
        <v>41级紫武器爆击伤害</v>
      </c>
      <c r="B765" s="4" t="s">
        <v>198</v>
      </c>
      <c r="C765" s="4" t="s">
        <v>119</v>
      </c>
      <c r="D765" s="4">
        <v>41</v>
      </c>
      <c r="E765" s="4" t="s">
        <v>76</v>
      </c>
      <c r="F765" s="4">
        <f>VLOOKUP(E765,基础属性ID!A:B,2,0)</f>
        <v>14</v>
      </c>
      <c r="G765" s="4">
        <f>VLOOKUP(E765,基础属性ID!$A:$E,5,0)</f>
        <v>20</v>
      </c>
      <c r="H765" s="4">
        <v>3</v>
      </c>
      <c r="I765" s="4">
        <v>8</v>
      </c>
      <c r="J765" s="4" t="str">
        <f t="shared" si="197"/>
        <v>14:20:3:8,</v>
      </c>
    </row>
    <row r="766" spans="1:10">
      <c r="A766" s="4" t="str">
        <f t="shared" si="189"/>
        <v>41级紫武器伤害增加</v>
      </c>
      <c r="B766" s="4" t="s">
        <v>198</v>
      </c>
      <c r="C766" s="4" t="s">
        <v>119</v>
      </c>
      <c r="D766" s="4">
        <v>41</v>
      </c>
      <c r="E766" s="4" t="s">
        <v>26</v>
      </c>
      <c r="F766" s="4">
        <f>VLOOKUP(E766,基础属性ID!A:B,2,0)</f>
        <v>15</v>
      </c>
      <c r="G766" s="4">
        <f>VLOOKUP(E766,基础属性ID!$A:$E,5,0)</f>
        <v>10</v>
      </c>
      <c r="H766" s="4">
        <v>1</v>
      </c>
      <c r="I766" s="4">
        <v>2</v>
      </c>
      <c r="J766" s="4" t="str">
        <f t="shared" si="197"/>
        <v>15:10:1:2,</v>
      </c>
    </row>
    <row r="767" spans="1:10">
      <c r="A767" s="4" t="str">
        <f t="shared" si="189"/>
        <v>41级紫武器伤害减免</v>
      </c>
      <c r="B767" s="4" t="s">
        <v>198</v>
      </c>
      <c r="C767" s="4" t="s">
        <v>119</v>
      </c>
      <c r="D767" s="4">
        <v>41</v>
      </c>
      <c r="E767" s="4" t="s">
        <v>27</v>
      </c>
      <c r="F767" s="4">
        <f>VLOOKUP(E767,基础属性ID!A:B,2,0)</f>
        <v>16</v>
      </c>
      <c r="G767" s="4">
        <f>VLOOKUP(E767,基础属性ID!$A:$E,5,0)</f>
        <v>10</v>
      </c>
      <c r="H767" s="4">
        <v>1</v>
      </c>
      <c r="I767" s="4">
        <v>2</v>
      </c>
      <c r="J767" s="4" t="str">
        <f t="shared" si="197"/>
        <v>16:10:1:2,</v>
      </c>
    </row>
    <row r="768" spans="1:10">
      <c r="A768" s="4" t="str">
        <f t="shared" si="189"/>
        <v>41级紫武器装备掉率</v>
      </c>
      <c r="B768" s="4" t="s">
        <v>198</v>
      </c>
      <c r="C768" s="4" t="s">
        <v>119</v>
      </c>
      <c r="D768" s="4">
        <v>41</v>
      </c>
      <c r="E768" s="4" t="s">
        <v>30</v>
      </c>
      <c r="F768" s="4">
        <f>VLOOKUP(E768,基础属性ID!A:B,2,0)</f>
        <v>17</v>
      </c>
      <c r="G768" s="4">
        <f>VLOOKUP(E768,基础属性ID!$A:$E,5,0)</f>
        <v>60</v>
      </c>
      <c r="H768" s="4">
        <v>3</v>
      </c>
      <c r="I768" s="4">
        <v>9</v>
      </c>
      <c r="J768" s="4" t="str">
        <f t="shared" si="197"/>
        <v>17:60:3:9,</v>
      </c>
    </row>
    <row r="769" spans="1:10">
      <c r="A769" s="4" t="str">
        <f t="shared" si="189"/>
        <v>41级紫武器极品掉率</v>
      </c>
      <c r="B769" s="4" t="s">
        <v>198</v>
      </c>
      <c r="C769" s="4" t="s">
        <v>119</v>
      </c>
      <c r="D769" s="4">
        <v>41</v>
      </c>
      <c r="E769" s="4" t="s">
        <v>31</v>
      </c>
      <c r="F769" s="4">
        <f>VLOOKUP(E769,基础属性ID!A:B,2,0)</f>
        <v>18</v>
      </c>
      <c r="G769" s="4">
        <f>VLOOKUP(E769,基础属性ID!$A:$E,5,0)</f>
        <v>60</v>
      </c>
      <c r="H769" s="4">
        <v>3</v>
      </c>
      <c r="I769" s="4">
        <v>9</v>
      </c>
      <c r="J769" s="4" t="str">
        <f t="shared" si="197"/>
        <v>18:60:3:9,</v>
      </c>
    </row>
    <row r="770" spans="1:10">
      <c r="A770" s="4" t="str">
        <f t="shared" si="189"/>
        <v>61级紫武器生命值</v>
      </c>
      <c r="B770" s="4" t="s">
        <v>198</v>
      </c>
      <c r="C770" s="4" t="s">
        <v>119</v>
      </c>
      <c r="D770" s="4">
        <v>61</v>
      </c>
      <c r="E770" s="4" t="s">
        <v>74</v>
      </c>
      <c r="F770" s="4">
        <f>VLOOKUP(E770,基础属性ID!A:B,2,0)</f>
        <v>1</v>
      </c>
      <c r="G770" s="4">
        <f>VLOOKUP(E770,基础属性ID!$A:$E,5,0)</f>
        <v>100</v>
      </c>
      <c r="H770" s="4">
        <v>30</v>
      </c>
      <c r="I770" s="4">
        <f>H770*3</f>
        <v>90</v>
      </c>
      <c r="J770" s="4" t="str">
        <f t="shared" si="197"/>
        <v>1:100:30:90,</v>
      </c>
    </row>
    <row r="771" spans="1:10">
      <c r="A771" s="4" t="str">
        <f t="shared" ref="A771:A834" si="201">D771&amp;"级"&amp;C771&amp;B771&amp;E771</f>
        <v>61级紫武器法力值</v>
      </c>
      <c r="B771" s="4" t="s">
        <v>198</v>
      </c>
      <c r="C771" s="4" t="s">
        <v>119</v>
      </c>
      <c r="D771" s="4">
        <v>61</v>
      </c>
      <c r="E771" s="4" t="s">
        <v>75</v>
      </c>
      <c r="F771" s="4">
        <f>VLOOKUP(E771,基础属性ID!A:B,2,0)</f>
        <v>2</v>
      </c>
      <c r="G771" s="4">
        <f>VLOOKUP(E771,基础属性ID!$A:$E,5,0)</f>
        <v>100</v>
      </c>
      <c r="H771" s="4">
        <v>12</v>
      </c>
      <c r="I771" s="4">
        <v>25</v>
      </c>
      <c r="J771" s="4" t="str">
        <f t="shared" si="197"/>
        <v>2:100:12:25,</v>
      </c>
    </row>
    <row r="772" spans="1:10">
      <c r="A772" s="4" t="str">
        <f t="shared" si="201"/>
        <v>61级紫武器物理攻击</v>
      </c>
      <c r="B772" s="4" t="s">
        <v>198</v>
      </c>
      <c r="C772" s="4" t="s">
        <v>119</v>
      </c>
      <c r="D772" s="4">
        <v>61</v>
      </c>
      <c r="E772" s="4" t="s">
        <v>13</v>
      </c>
      <c r="F772" s="4">
        <f>VLOOKUP(E772,基础属性ID!A:B,2,0)</f>
        <v>3</v>
      </c>
      <c r="G772" s="4">
        <f>VLOOKUP(E772,基础属性ID!$A:$E,5,0)</f>
        <v>100</v>
      </c>
      <c r="H772" s="4">
        <v>10</v>
      </c>
      <c r="I772" s="4">
        <f t="shared" ref="I772:I775" si="202">H772*3</f>
        <v>30</v>
      </c>
      <c r="J772" s="4" t="str">
        <f t="shared" si="197"/>
        <v>3:100:10:30,</v>
      </c>
    </row>
    <row r="773" spans="1:10">
      <c r="A773" s="4" t="str">
        <f t="shared" si="201"/>
        <v>61级紫武器魔法攻击</v>
      </c>
      <c r="B773" s="4" t="s">
        <v>198</v>
      </c>
      <c r="C773" s="4" t="s">
        <v>119</v>
      </c>
      <c r="D773" s="4">
        <v>61</v>
      </c>
      <c r="E773" s="4" t="s">
        <v>14</v>
      </c>
      <c r="F773" s="4">
        <f>VLOOKUP(E773,基础属性ID!A:B,2,0)</f>
        <v>4</v>
      </c>
      <c r="G773" s="4">
        <f>VLOOKUP(E773,基础属性ID!$A:$E,5,0)</f>
        <v>100</v>
      </c>
      <c r="H773" s="4">
        <v>10</v>
      </c>
      <c r="I773" s="4">
        <f t="shared" si="202"/>
        <v>30</v>
      </c>
      <c r="J773" s="4" t="str">
        <f t="shared" si="197"/>
        <v>4:100:10:30,</v>
      </c>
    </row>
    <row r="774" spans="1:10">
      <c r="A774" s="4" t="str">
        <f t="shared" si="201"/>
        <v>61级紫武器道术攻击</v>
      </c>
      <c r="B774" s="4" t="s">
        <v>198</v>
      </c>
      <c r="C774" s="4" t="s">
        <v>119</v>
      </c>
      <c r="D774" s="4">
        <v>61</v>
      </c>
      <c r="E774" s="4" t="s">
        <v>15</v>
      </c>
      <c r="F774" s="4">
        <f>VLOOKUP(E774,基础属性ID!A:B,2,0)</f>
        <v>5</v>
      </c>
      <c r="G774" s="4">
        <f>VLOOKUP(E774,基础属性ID!$A:$E,5,0)</f>
        <v>100</v>
      </c>
      <c r="H774" s="4">
        <v>10</v>
      </c>
      <c r="I774" s="4">
        <f t="shared" si="202"/>
        <v>30</v>
      </c>
      <c r="J774" s="4" t="str">
        <f t="shared" si="197"/>
        <v>5:100:10:30,</v>
      </c>
    </row>
    <row r="775" spans="1:10">
      <c r="A775" s="4" t="str">
        <f t="shared" si="201"/>
        <v>61级紫武器防御</v>
      </c>
      <c r="B775" s="4" t="s">
        <v>198</v>
      </c>
      <c r="C775" s="4" t="s">
        <v>119</v>
      </c>
      <c r="D775" s="4">
        <v>61</v>
      </c>
      <c r="E775" s="4" t="s">
        <v>17</v>
      </c>
      <c r="F775" s="4">
        <f>VLOOKUP(E775,基础属性ID!A:B,2,0)</f>
        <v>6</v>
      </c>
      <c r="G775" s="4">
        <f>VLOOKUP(E775,基础属性ID!$A:$E,5,0)</f>
        <v>100</v>
      </c>
      <c r="H775" s="4">
        <v>10</v>
      </c>
      <c r="I775" s="4">
        <f t="shared" si="202"/>
        <v>30</v>
      </c>
      <c r="J775" s="4" t="str">
        <f t="shared" si="197"/>
        <v>6:100:10:30,</v>
      </c>
    </row>
    <row r="776" spans="1:10">
      <c r="A776" s="4" t="str">
        <f t="shared" si="201"/>
        <v>61级紫武器攻速</v>
      </c>
      <c r="B776" s="4" t="s">
        <v>198</v>
      </c>
      <c r="C776" s="4" t="s">
        <v>119</v>
      </c>
      <c r="D776" s="4">
        <v>61</v>
      </c>
      <c r="E776" s="4" t="s">
        <v>18</v>
      </c>
      <c r="F776" s="4">
        <f>VLOOKUP(E776,基础属性ID!A:B,2,0)</f>
        <v>7</v>
      </c>
      <c r="G776" s="4">
        <f>VLOOKUP(E776,基础属性ID!$A:$E,5,0)</f>
        <v>20</v>
      </c>
      <c r="H776" s="4">
        <v>1</v>
      </c>
      <c r="I776" s="4">
        <v>2</v>
      </c>
      <c r="J776" s="4" t="str">
        <f t="shared" si="197"/>
        <v>7:20:1:2,</v>
      </c>
    </row>
    <row r="777" spans="1:10">
      <c r="A777" s="4" t="str">
        <f t="shared" si="201"/>
        <v>61级紫武器幸运</v>
      </c>
      <c r="B777" s="4" t="s">
        <v>198</v>
      </c>
      <c r="C777" s="4" t="s">
        <v>119</v>
      </c>
      <c r="D777" s="4">
        <v>61</v>
      </c>
      <c r="E777" s="4" t="s">
        <v>19</v>
      </c>
      <c r="F777" s="4">
        <f>VLOOKUP(E777,基础属性ID!A:B,2,0)</f>
        <v>8</v>
      </c>
      <c r="G777" s="4">
        <f>VLOOKUP(E777,基础属性ID!$A:$E,5,0)</f>
        <v>20</v>
      </c>
      <c r="H777" s="4">
        <v>1</v>
      </c>
      <c r="I777" s="4">
        <v>3</v>
      </c>
      <c r="J777" s="4" t="str">
        <f t="shared" si="197"/>
        <v>8:20:1:3,</v>
      </c>
    </row>
    <row r="778" spans="1:10">
      <c r="A778" s="4" t="str">
        <f t="shared" si="201"/>
        <v>61级紫武器固定伤害</v>
      </c>
      <c r="B778" s="4" t="s">
        <v>198</v>
      </c>
      <c r="C778" s="4" t="s">
        <v>119</v>
      </c>
      <c r="D778" s="4">
        <v>61</v>
      </c>
      <c r="E778" s="4" t="s">
        <v>24</v>
      </c>
      <c r="F778" s="4">
        <f>VLOOKUP(E778,基础属性ID!A:B,2,0)</f>
        <v>9</v>
      </c>
      <c r="G778" s="4">
        <f>VLOOKUP(E778,基础属性ID!$A:$E,5,0)</f>
        <v>50</v>
      </c>
      <c r="H778" s="4">
        <v>6</v>
      </c>
      <c r="I778" s="4">
        <f t="shared" ref="I778:I779" si="203">H778*3</f>
        <v>18</v>
      </c>
      <c r="J778" s="4" t="str">
        <f t="shared" si="197"/>
        <v>9:50:6:18,</v>
      </c>
    </row>
    <row r="779" spans="1:10">
      <c r="A779" s="4" t="str">
        <f t="shared" si="201"/>
        <v>61级紫武器固定减伤</v>
      </c>
      <c r="B779" s="4" t="s">
        <v>198</v>
      </c>
      <c r="C779" s="4" t="s">
        <v>119</v>
      </c>
      <c r="D779" s="4">
        <v>61</v>
      </c>
      <c r="E779" s="4" t="s">
        <v>25</v>
      </c>
      <c r="F779" s="4">
        <f>VLOOKUP(E779,基础属性ID!A:B,2,0)</f>
        <v>10</v>
      </c>
      <c r="G779" s="4">
        <f>VLOOKUP(E779,基础属性ID!$A:$E,5,0)</f>
        <v>50</v>
      </c>
      <c r="H779" s="4">
        <v>6</v>
      </c>
      <c r="I779" s="4">
        <f t="shared" si="203"/>
        <v>18</v>
      </c>
      <c r="J779" s="4" t="str">
        <f t="shared" si="197"/>
        <v>10:50:6:18,</v>
      </c>
    </row>
    <row r="780" spans="1:10">
      <c r="A780" s="4" t="str">
        <f t="shared" si="201"/>
        <v>61级紫武器生命吸取</v>
      </c>
      <c r="B780" s="4" t="s">
        <v>198</v>
      </c>
      <c r="C780" s="4" t="s">
        <v>119</v>
      </c>
      <c r="D780" s="4">
        <v>61</v>
      </c>
      <c r="E780" s="4" t="s">
        <v>28</v>
      </c>
      <c r="F780" s="4">
        <f>VLOOKUP(E780,基础属性ID!A:B,2,0)</f>
        <v>11</v>
      </c>
      <c r="G780" s="4">
        <f>VLOOKUP(E780,基础属性ID!$A:$E,5,0)</f>
        <v>50</v>
      </c>
      <c r="H780" s="4">
        <v>5</v>
      </c>
      <c r="I780" s="4">
        <f t="shared" ref="I780:I781" si="204">H780*3</f>
        <v>15</v>
      </c>
      <c r="J780" s="4" t="str">
        <f t="shared" si="197"/>
        <v>11:50:5:15,</v>
      </c>
    </row>
    <row r="781" spans="1:10">
      <c r="A781" s="4" t="str">
        <f t="shared" si="201"/>
        <v>61级紫武器法力吸取</v>
      </c>
      <c r="B781" s="4" t="s">
        <v>198</v>
      </c>
      <c r="C781" s="4" t="s">
        <v>119</v>
      </c>
      <c r="D781" s="4">
        <v>61</v>
      </c>
      <c r="E781" s="4" t="s">
        <v>29</v>
      </c>
      <c r="F781" s="4">
        <f>VLOOKUP(E781,基础属性ID!A:B,2,0)</f>
        <v>12</v>
      </c>
      <c r="G781" s="4">
        <f>VLOOKUP(E781,基础属性ID!$A:$E,5,0)</f>
        <v>50</v>
      </c>
      <c r="H781" s="4">
        <v>5</v>
      </c>
      <c r="I781" s="4">
        <f t="shared" si="204"/>
        <v>15</v>
      </c>
      <c r="J781" s="4" t="str">
        <f t="shared" si="197"/>
        <v>12:50:5:15,</v>
      </c>
    </row>
    <row r="782" spans="1:10">
      <c r="A782" s="4" t="str">
        <f t="shared" si="201"/>
        <v>61级紫武器暴击几率</v>
      </c>
      <c r="B782" s="4" t="s">
        <v>198</v>
      </c>
      <c r="C782" s="4" t="s">
        <v>119</v>
      </c>
      <c r="D782" s="4">
        <v>61</v>
      </c>
      <c r="E782" s="4" t="s">
        <v>21</v>
      </c>
      <c r="F782" s="4">
        <f>VLOOKUP(E782,基础属性ID!A:B,2,0)</f>
        <v>13</v>
      </c>
      <c r="G782" s="4">
        <f>VLOOKUP(E782,基础属性ID!$A:$E,5,0)</f>
        <v>20</v>
      </c>
      <c r="H782" s="4">
        <v>50</v>
      </c>
      <c r="I782" s="4">
        <v>150</v>
      </c>
      <c r="J782" s="4" t="str">
        <f t="shared" si="197"/>
        <v>13:20:50:150,</v>
      </c>
    </row>
    <row r="783" spans="1:10">
      <c r="A783" s="4" t="str">
        <f t="shared" si="201"/>
        <v>61级紫武器爆击伤害</v>
      </c>
      <c r="B783" s="4" t="s">
        <v>198</v>
      </c>
      <c r="C783" s="4" t="s">
        <v>119</v>
      </c>
      <c r="D783" s="4">
        <v>61</v>
      </c>
      <c r="E783" s="4" t="s">
        <v>76</v>
      </c>
      <c r="F783" s="4">
        <f>VLOOKUP(E783,基础属性ID!A:B,2,0)</f>
        <v>14</v>
      </c>
      <c r="G783" s="4">
        <f>VLOOKUP(E783,基础属性ID!$A:$E,5,0)</f>
        <v>20</v>
      </c>
      <c r="H783" s="4">
        <v>3</v>
      </c>
      <c r="I783" s="4">
        <v>8</v>
      </c>
      <c r="J783" s="4" t="str">
        <f t="shared" si="197"/>
        <v>14:20:3:8,</v>
      </c>
    </row>
    <row r="784" spans="1:10">
      <c r="A784" s="4" t="str">
        <f t="shared" si="201"/>
        <v>61级紫武器伤害增加</v>
      </c>
      <c r="B784" s="4" t="s">
        <v>198</v>
      </c>
      <c r="C784" s="4" t="s">
        <v>119</v>
      </c>
      <c r="D784" s="4">
        <v>61</v>
      </c>
      <c r="E784" s="4" t="s">
        <v>26</v>
      </c>
      <c r="F784" s="4">
        <f>VLOOKUP(E784,基础属性ID!A:B,2,0)</f>
        <v>15</v>
      </c>
      <c r="G784" s="4">
        <f>VLOOKUP(E784,基础属性ID!$A:$E,5,0)</f>
        <v>10</v>
      </c>
      <c r="H784" s="4">
        <v>1</v>
      </c>
      <c r="I784" s="4">
        <v>2</v>
      </c>
      <c r="J784" s="4" t="str">
        <f t="shared" si="197"/>
        <v>15:10:1:2,</v>
      </c>
    </row>
    <row r="785" spans="1:10">
      <c r="A785" s="4" t="str">
        <f t="shared" si="201"/>
        <v>61级紫武器伤害减免</v>
      </c>
      <c r="B785" s="4" t="s">
        <v>198</v>
      </c>
      <c r="C785" s="4" t="s">
        <v>119</v>
      </c>
      <c r="D785" s="4">
        <v>61</v>
      </c>
      <c r="E785" s="4" t="s">
        <v>27</v>
      </c>
      <c r="F785" s="4">
        <f>VLOOKUP(E785,基础属性ID!A:B,2,0)</f>
        <v>16</v>
      </c>
      <c r="G785" s="4">
        <f>VLOOKUP(E785,基础属性ID!$A:$E,5,0)</f>
        <v>10</v>
      </c>
      <c r="H785" s="4">
        <v>1</v>
      </c>
      <c r="I785" s="4">
        <v>2</v>
      </c>
      <c r="J785" s="4" t="str">
        <f t="shared" si="197"/>
        <v>16:10:1:2,</v>
      </c>
    </row>
    <row r="786" spans="1:10">
      <c r="A786" s="4" t="str">
        <f t="shared" si="201"/>
        <v>61级紫武器装备掉率</v>
      </c>
      <c r="B786" s="4" t="s">
        <v>198</v>
      </c>
      <c r="C786" s="4" t="s">
        <v>119</v>
      </c>
      <c r="D786" s="4">
        <v>61</v>
      </c>
      <c r="E786" s="4" t="s">
        <v>30</v>
      </c>
      <c r="F786" s="4">
        <f>VLOOKUP(E786,基础属性ID!A:B,2,0)</f>
        <v>17</v>
      </c>
      <c r="G786" s="4">
        <f>VLOOKUP(E786,基础属性ID!$A:$E,5,0)</f>
        <v>60</v>
      </c>
      <c r="H786" s="4">
        <v>3</v>
      </c>
      <c r="I786" s="4">
        <v>9</v>
      </c>
      <c r="J786" s="4" t="str">
        <f t="shared" si="197"/>
        <v>17:60:3:9,</v>
      </c>
    </row>
    <row r="787" spans="1:10">
      <c r="A787" s="4" t="str">
        <f t="shared" si="201"/>
        <v>61级紫武器极品掉率</v>
      </c>
      <c r="B787" s="4" t="s">
        <v>198</v>
      </c>
      <c r="C787" s="4" t="s">
        <v>119</v>
      </c>
      <c r="D787" s="4">
        <v>61</v>
      </c>
      <c r="E787" s="4" t="s">
        <v>31</v>
      </c>
      <c r="F787" s="4">
        <f>VLOOKUP(E787,基础属性ID!A:B,2,0)</f>
        <v>18</v>
      </c>
      <c r="G787" s="4">
        <f>VLOOKUP(E787,基础属性ID!$A:$E,5,0)</f>
        <v>60</v>
      </c>
      <c r="H787" s="4">
        <v>3</v>
      </c>
      <c r="I787" s="4">
        <v>9</v>
      </c>
      <c r="J787" s="4" t="str">
        <f t="shared" si="197"/>
        <v>18:60:3:9,</v>
      </c>
    </row>
    <row r="788" spans="1:10">
      <c r="A788" s="4" t="str">
        <f t="shared" si="201"/>
        <v>21级紫护甲生命值</v>
      </c>
      <c r="B788" s="4" t="s">
        <v>203</v>
      </c>
      <c r="C788" s="4" t="s">
        <v>119</v>
      </c>
      <c r="D788" s="4">
        <v>21</v>
      </c>
      <c r="E788" s="4" t="s">
        <v>74</v>
      </c>
      <c r="F788" s="4">
        <f>VLOOKUP(E788,基础属性ID!A:B,2,0)</f>
        <v>1</v>
      </c>
      <c r="G788" s="4">
        <f>VLOOKUP(E788,基础属性ID!$A:$E,5,0)</f>
        <v>100</v>
      </c>
      <c r="H788" s="4">
        <v>12</v>
      </c>
      <c r="I788" s="4">
        <f>H788*3</f>
        <v>36</v>
      </c>
      <c r="J788" s="4" t="str">
        <f t="shared" si="197"/>
        <v>1:100:12:36,</v>
      </c>
    </row>
    <row r="789" spans="1:10">
      <c r="A789" s="4" t="str">
        <f t="shared" si="201"/>
        <v>21级紫护甲法力值</v>
      </c>
      <c r="B789" s="4" t="s">
        <v>203</v>
      </c>
      <c r="C789" s="4" t="s">
        <v>119</v>
      </c>
      <c r="D789" s="4">
        <v>21</v>
      </c>
      <c r="E789" s="4" t="s">
        <v>75</v>
      </c>
      <c r="F789" s="4">
        <f>VLOOKUP(E789,基础属性ID!A:B,2,0)</f>
        <v>2</v>
      </c>
      <c r="G789" s="4">
        <f>VLOOKUP(E789,基础属性ID!$A:$E,5,0)</f>
        <v>100</v>
      </c>
      <c r="H789" s="4">
        <v>8</v>
      </c>
      <c r="I789" s="4">
        <v>16</v>
      </c>
      <c r="J789" s="4" t="str">
        <f t="shared" si="197"/>
        <v>2:100:8:16,</v>
      </c>
    </row>
    <row r="790" spans="1:10">
      <c r="A790" s="4" t="str">
        <f t="shared" si="201"/>
        <v>21级紫护甲物理攻击</v>
      </c>
      <c r="B790" s="4" t="s">
        <v>203</v>
      </c>
      <c r="C790" s="4" t="s">
        <v>119</v>
      </c>
      <c r="D790" s="4">
        <v>21</v>
      </c>
      <c r="E790" s="4" t="s">
        <v>13</v>
      </c>
      <c r="F790" s="4">
        <f>VLOOKUP(E790,基础属性ID!A:B,2,0)</f>
        <v>3</v>
      </c>
      <c r="G790" s="4">
        <f>VLOOKUP(E790,基础属性ID!$A:$E,5,0)</f>
        <v>100</v>
      </c>
      <c r="H790" s="4">
        <v>5</v>
      </c>
      <c r="I790" s="4">
        <f t="shared" ref="I790:I793" si="205">H790*3</f>
        <v>15</v>
      </c>
      <c r="J790" s="4" t="str">
        <f t="shared" si="197"/>
        <v>3:100:5:15,</v>
      </c>
    </row>
    <row r="791" spans="1:10">
      <c r="A791" s="4" t="str">
        <f t="shared" si="201"/>
        <v>21级紫护甲魔法攻击</v>
      </c>
      <c r="B791" s="4" t="s">
        <v>203</v>
      </c>
      <c r="C791" s="4" t="s">
        <v>119</v>
      </c>
      <c r="D791" s="4">
        <v>21</v>
      </c>
      <c r="E791" s="4" t="s">
        <v>14</v>
      </c>
      <c r="F791" s="4">
        <f>VLOOKUP(E791,基础属性ID!A:B,2,0)</f>
        <v>4</v>
      </c>
      <c r="G791" s="4">
        <f>VLOOKUP(E791,基础属性ID!$A:$E,5,0)</f>
        <v>100</v>
      </c>
      <c r="H791" s="4">
        <v>5</v>
      </c>
      <c r="I791" s="4">
        <f t="shared" si="205"/>
        <v>15</v>
      </c>
      <c r="J791" s="4" t="str">
        <f t="shared" si="197"/>
        <v>4:100:5:15,</v>
      </c>
    </row>
    <row r="792" spans="1:10">
      <c r="A792" s="4" t="str">
        <f t="shared" si="201"/>
        <v>21级紫护甲道术攻击</v>
      </c>
      <c r="B792" s="4" t="s">
        <v>203</v>
      </c>
      <c r="C792" s="4" t="s">
        <v>119</v>
      </c>
      <c r="D792" s="4">
        <v>21</v>
      </c>
      <c r="E792" s="4" t="s">
        <v>15</v>
      </c>
      <c r="F792" s="4">
        <f>VLOOKUP(E792,基础属性ID!A:B,2,0)</f>
        <v>5</v>
      </c>
      <c r="G792" s="4">
        <f>VLOOKUP(E792,基础属性ID!$A:$E,5,0)</f>
        <v>100</v>
      </c>
      <c r="H792" s="4">
        <v>5</v>
      </c>
      <c r="I792" s="4">
        <f t="shared" si="205"/>
        <v>15</v>
      </c>
      <c r="J792" s="4" t="str">
        <f t="shared" si="197"/>
        <v>5:100:5:15,</v>
      </c>
    </row>
    <row r="793" spans="1:10">
      <c r="A793" s="4" t="str">
        <f t="shared" si="201"/>
        <v>21级紫护甲防御</v>
      </c>
      <c r="B793" s="4" t="s">
        <v>203</v>
      </c>
      <c r="C793" s="4" t="s">
        <v>119</v>
      </c>
      <c r="D793" s="4">
        <v>21</v>
      </c>
      <c r="E793" s="4" t="s">
        <v>17</v>
      </c>
      <c r="F793" s="4">
        <f>VLOOKUP(E793,基础属性ID!A:B,2,0)</f>
        <v>6</v>
      </c>
      <c r="G793" s="4">
        <f>VLOOKUP(E793,基础属性ID!$A:$E,5,0)</f>
        <v>100</v>
      </c>
      <c r="H793" s="4">
        <v>5</v>
      </c>
      <c r="I793" s="4">
        <f t="shared" si="205"/>
        <v>15</v>
      </c>
      <c r="J793" s="4" t="str">
        <f t="shared" si="197"/>
        <v>6:100:5:15,</v>
      </c>
    </row>
    <row r="794" spans="1:10">
      <c r="A794" s="4" t="str">
        <f t="shared" si="201"/>
        <v>21级紫护甲攻速</v>
      </c>
      <c r="B794" s="4" t="s">
        <v>203</v>
      </c>
      <c r="C794" s="4" t="s">
        <v>119</v>
      </c>
      <c r="D794" s="4">
        <v>21</v>
      </c>
      <c r="E794" s="4" t="s">
        <v>18</v>
      </c>
      <c r="F794" s="4">
        <f>VLOOKUP(E794,基础属性ID!A:B,2,0)</f>
        <v>7</v>
      </c>
      <c r="G794" s="4">
        <f>VLOOKUP(E794,基础属性ID!$A:$E,5,0)</f>
        <v>20</v>
      </c>
      <c r="H794" s="4">
        <v>1</v>
      </c>
      <c r="I794" s="4">
        <v>2</v>
      </c>
      <c r="J794" s="4" t="str">
        <f t="shared" si="197"/>
        <v>7:20:1:2,</v>
      </c>
    </row>
    <row r="795" spans="1:10">
      <c r="A795" s="4" t="str">
        <f t="shared" si="201"/>
        <v>21级紫护甲固定伤害</v>
      </c>
      <c r="B795" s="4" t="s">
        <v>203</v>
      </c>
      <c r="C795" s="4" t="s">
        <v>119</v>
      </c>
      <c r="D795" s="4">
        <v>21</v>
      </c>
      <c r="E795" s="4" t="s">
        <v>24</v>
      </c>
      <c r="F795" s="4">
        <f>VLOOKUP(E795,基础属性ID!A:B,2,0)</f>
        <v>9</v>
      </c>
      <c r="G795" s="4">
        <f>VLOOKUP(E795,基础属性ID!$A:$E,5,0)</f>
        <v>50</v>
      </c>
      <c r="H795" s="4">
        <v>4</v>
      </c>
      <c r="I795" s="4">
        <f t="shared" ref="I795:I796" si="206">H795*3</f>
        <v>12</v>
      </c>
      <c r="J795" s="4" t="str">
        <f t="shared" si="197"/>
        <v>9:50:4:12,</v>
      </c>
    </row>
    <row r="796" spans="1:10">
      <c r="A796" s="4" t="str">
        <f t="shared" si="201"/>
        <v>21级紫护甲固定减伤</v>
      </c>
      <c r="B796" s="4" t="s">
        <v>203</v>
      </c>
      <c r="C796" s="4" t="s">
        <v>119</v>
      </c>
      <c r="D796" s="4">
        <v>21</v>
      </c>
      <c r="E796" s="4" t="s">
        <v>25</v>
      </c>
      <c r="F796" s="4">
        <f>VLOOKUP(E796,基础属性ID!A:B,2,0)</f>
        <v>10</v>
      </c>
      <c r="G796" s="4">
        <f>VLOOKUP(E796,基础属性ID!$A:$E,5,0)</f>
        <v>50</v>
      </c>
      <c r="H796" s="4">
        <v>4</v>
      </c>
      <c r="I796" s="4">
        <f t="shared" si="206"/>
        <v>12</v>
      </c>
      <c r="J796" s="4" t="str">
        <f t="shared" si="197"/>
        <v>10:50:4:12,</v>
      </c>
    </row>
    <row r="797" spans="1:10">
      <c r="A797" s="4" t="str">
        <f t="shared" si="201"/>
        <v>21级紫护甲生命吸取</v>
      </c>
      <c r="B797" s="4" t="s">
        <v>203</v>
      </c>
      <c r="C797" s="4" t="s">
        <v>119</v>
      </c>
      <c r="D797" s="4">
        <v>21</v>
      </c>
      <c r="E797" s="4" t="s">
        <v>28</v>
      </c>
      <c r="F797" s="4">
        <f>VLOOKUP(E797,基础属性ID!A:B,2,0)</f>
        <v>11</v>
      </c>
      <c r="G797" s="4">
        <f>VLOOKUP(E797,基础属性ID!$A:$E,5,0)</f>
        <v>50</v>
      </c>
      <c r="H797" s="4">
        <v>3</v>
      </c>
      <c r="I797" s="4">
        <f t="shared" ref="I797:I798" si="207">H797*3</f>
        <v>9</v>
      </c>
      <c r="J797" s="4" t="str">
        <f t="shared" si="197"/>
        <v>11:50:3:9,</v>
      </c>
    </row>
    <row r="798" spans="1:10">
      <c r="A798" s="4" t="str">
        <f t="shared" si="201"/>
        <v>21级紫护甲法力吸取</v>
      </c>
      <c r="B798" s="4" t="s">
        <v>203</v>
      </c>
      <c r="C798" s="4" t="s">
        <v>119</v>
      </c>
      <c r="D798" s="4">
        <v>21</v>
      </c>
      <c r="E798" s="4" t="s">
        <v>29</v>
      </c>
      <c r="F798" s="4">
        <f>VLOOKUP(E798,基础属性ID!A:B,2,0)</f>
        <v>12</v>
      </c>
      <c r="G798" s="4">
        <f>VLOOKUP(E798,基础属性ID!$A:$E,5,0)</f>
        <v>50</v>
      </c>
      <c r="H798" s="4">
        <v>3</v>
      </c>
      <c r="I798" s="4">
        <f t="shared" si="207"/>
        <v>9</v>
      </c>
      <c r="J798" s="4" t="str">
        <f t="shared" si="197"/>
        <v>12:50:3:9,</v>
      </c>
    </row>
    <row r="799" spans="1:10">
      <c r="A799" s="4" t="str">
        <f t="shared" si="201"/>
        <v>21级紫护甲暴击几率</v>
      </c>
      <c r="B799" s="4" t="s">
        <v>203</v>
      </c>
      <c r="C799" s="4" t="s">
        <v>119</v>
      </c>
      <c r="D799" s="4">
        <v>21</v>
      </c>
      <c r="E799" s="4" t="s">
        <v>21</v>
      </c>
      <c r="F799" s="4">
        <f>VLOOKUP(E799,基础属性ID!A:B,2,0)</f>
        <v>13</v>
      </c>
      <c r="G799" s="4">
        <f>VLOOKUP(E799,基础属性ID!$A:$E,5,0)</f>
        <v>20</v>
      </c>
      <c r="H799" s="4">
        <v>50</v>
      </c>
      <c r="I799" s="4">
        <v>150</v>
      </c>
      <c r="J799" s="4" t="str">
        <f t="shared" si="197"/>
        <v>13:20:50:150,</v>
      </c>
    </row>
    <row r="800" spans="1:10">
      <c r="A800" s="4" t="str">
        <f t="shared" si="201"/>
        <v>21级紫护甲爆击伤害</v>
      </c>
      <c r="B800" s="4" t="s">
        <v>203</v>
      </c>
      <c r="C800" s="4" t="s">
        <v>119</v>
      </c>
      <c r="D800" s="4">
        <v>21</v>
      </c>
      <c r="E800" s="4" t="s">
        <v>76</v>
      </c>
      <c r="F800" s="4">
        <f>VLOOKUP(E800,基础属性ID!A:B,2,0)</f>
        <v>14</v>
      </c>
      <c r="G800" s="4">
        <f>VLOOKUP(E800,基础属性ID!$A:$E,5,0)</f>
        <v>20</v>
      </c>
      <c r="H800" s="4">
        <v>3</v>
      </c>
      <c r="I800" s="4">
        <v>8</v>
      </c>
      <c r="J800" s="4" t="str">
        <f t="shared" si="197"/>
        <v>14:20:3:8,</v>
      </c>
    </row>
    <row r="801" spans="1:10">
      <c r="A801" s="4" t="str">
        <f t="shared" si="201"/>
        <v>21级紫护甲伤害增加</v>
      </c>
      <c r="B801" s="4" t="s">
        <v>203</v>
      </c>
      <c r="C801" s="4" t="s">
        <v>119</v>
      </c>
      <c r="D801" s="4">
        <v>21</v>
      </c>
      <c r="E801" s="4" t="s">
        <v>26</v>
      </c>
      <c r="F801" s="4">
        <f>VLOOKUP(E801,基础属性ID!A:B,2,0)</f>
        <v>15</v>
      </c>
      <c r="G801" s="4">
        <f>VLOOKUP(E801,基础属性ID!$A:$E,5,0)</f>
        <v>10</v>
      </c>
      <c r="H801" s="4">
        <v>1</v>
      </c>
      <c r="I801" s="4">
        <v>2</v>
      </c>
      <c r="J801" s="4" t="str">
        <f t="shared" si="197"/>
        <v>15:10:1:2,</v>
      </c>
    </row>
    <row r="802" spans="1:10">
      <c r="A802" s="4" t="str">
        <f t="shared" si="201"/>
        <v>21级紫护甲伤害减免</v>
      </c>
      <c r="B802" s="4" t="s">
        <v>203</v>
      </c>
      <c r="C802" s="4" t="s">
        <v>119</v>
      </c>
      <c r="D802" s="4">
        <v>21</v>
      </c>
      <c r="E802" s="4" t="s">
        <v>27</v>
      </c>
      <c r="F802" s="4">
        <f>VLOOKUP(E802,基础属性ID!A:B,2,0)</f>
        <v>16</v>
      </c>
      <c r="G802" s="4">
        <f>VLOOKUP(E802,基础属性ID!$A:$E,5,0)</f>
        <v>10</v>
      </c>
      <c r="H802" s="4">
        <v>1</v>
      </c>
      <c r="I802" s="4">
        <v>2</v>
      </c>
      <c r="J802" s="4" t="str">
        <f t="shared" si="197"/>
        <v>16:10:1:2,</v>
      </c>
    </row>
    <row r="803" spans="1:10">
      <c r="A803" s="4" t="str">
        <f t="shared" si="201"/>
        <v>21级紫护甲装备掉率</v>
      </c>
      <c r="B803" s="4" t="s">
        <v>203</v>
      </c>
      <c r="C803" s="4" t="s">
        <v>119</v>
      </c>
      <c r="D803" s="4">
        <v>21</v>
      </c>
      <c r="E803" s="4" t="s">
        <v>30</v>
      </c>
      <c r="F803" s="4">
        <f>VLOOKUP(E803,基础属性ID!A:B,2,0)</f>
        <v>17</v>
      </c>
      <c r="G803" s="4">
        <f>VLOOKUP(E803,基础属性ID!$A:$E,5,0)</f>
        <v>60</v>
      </c>
      <c r="H803" s="4">
        <v>3</v>
      </c>
      <c r="I803" s="4">
        <v>9</v>
      </c>
      <c r="J803" s="4" t="str">
        <f t="shared" si="197"/>
        <v>17:60:3:9,</v>
      </c>
    </row>
    <row r="804" spans="1:10">
      <c r="A804" s="4" t="str">
        <f t="shared" si="201"/>
        <v>21级紫护甲极品掉率</v>
      </c>
      <c r="B804" s="4" t="s">
        <v>203</v>
      </c>
      <c r="C804" s="4" t="s">
        <v>119</v>
      </c>
      <c r="D804" s="4">
        <v>21</v>
      </c>
      <c r="E804" s="4" t="s">
        <v>31</v>
      </c>
      <c r="F804" s="4">
        <f>VLOOKUP(E804,基础属性ID!A:B,2,0)</f>
        <v>18</v>
      </c>
      <c r="G804" s="4">
        <f>VLOOKUP(E804,基础属性ID!$A:$E,5,0)</f>
        <v>60</v>
      </c>
      <c r="H804" s="4">
        <v>3</v>
      </c>
      <c r="I804" s="4">
        <v>9</v>
      </c>
      <c r="J804" s="4" t="str">
        <f t="shared" si="197"/>
        <v>18:60:3:9,</v>
      </c>
    </row>
    <row r="805" spans="1:10">
      <c r="A805" s="4" t="str">
        <f t="shared" si="201"/>
        <v>41级紫护甲生命值</v>
      </c>
      <c r="B805" s="4" t="s">
        <v>203</v>
      </c>
      <c r="C805" s="4" t="s">
        <v>119</v>
      </c>
      <c r="D805" s="4">
        <v>41</v>
      </c>
      <c r="E805" s="4" t="s">
        <v>74</v>
      </c>
      <c r="F805" s="4">
        <f>VLOOKUP(E805,基础属性ID!A:B,2,0)</f>
        <v>1</v>
      </c>
      <c r="G805" s="4">
        <f>VLOOKUP(E805,基础属性ID!$A:$E,5,0)</f>
        <v>100</v>
      </c>
      <c r="H805" s="4">
        <v>20</v>
      </c>
      <c r="I805" s="4">
        <f>H805*3</f>
        <v>60</v>
      </c>
      <c r="J805" s="4" t="str">
        <f t="shared" si="197"/>
        <v>1:100:20:60,</v>
      </c>
    </row>
    <row r="806" spans="1:10">
      <c r="A806" s="4" t="str">
        <f t="shared" si="201"/>
        <v>41级紫护甲法力值</v>
      </c>
      <c r="B806" s="4" t="s">
        <v>203</v>
      </c>
      <c r="C806" s="4" t="s">
        <v>119</v>
      </c>
      <c r="D806" s="4">
        <v>41</v>
      </c>
      <c r="E806" s="4" t="s">
        <v>75</v>
      </c>
      <c r="F806" s="4">
        <f>VLOOKUP(E806,基础属性ID!A:B,2,0)</f>
        <v>2</v>
      </c>
      <c r="G806" s="4">
        <f>VLOOKUP(E806,基础属性ID!$A:$E,5,0)</f>
        <v>100</v>
      </c>
      <c r="H806" s="4">
        <v>10</v>
      </c>
      <c r="I806" s="4">
        <v>20</v>
      </c>
      <c r="J806" s="4" t="str">
        <f t="shared" si="197"/>
        <v>2:100:10:20,</v>
      </c>
    </row>
    <row r="807" spans="1:10">
      <c r="A807" s="4" t="str">
        <f t="shared" si="201"/>
        <v>41级紫护甲物理攻击</v>
      </c>
      <c r="B807" s="4" t="s">
        <v>203</v>
      </c>
      <c r="C807" s="4" t="s">
        <v>119</v>
      </c>
      <c r="D807" s="4">
        <v>41</v>
      </c>
      <c r="E807" s="4" t="s">
        <v>13</v>
      </c>
      <c r="F807" s="4">
        <f>VLOOKUP(E807,基础属性ID!A:B,2,0)</f>
        <v>3</v>
      </c>
      <c r="G807" s="4">
        <f>VLOOKUP(E807,基础属性ID!$A:$E,5,0)</f>
        <v>100</v>
      </c>
      <c r="H807" s="4">
        <v>7</v>
      </c>
      <c r="I807" s="4">
        <f t="shared" ref="I807:I810" si="208">H807*3</f>
        <v>21</v>
      </c>
      <c r="J807" s="4" t="str">
        <f t="shared" si="197"/>
        <v>3:100:7:21,</v>
      </c>
    </row>
    <row r="808" spans="1:10">
      <c r="A808" s="4" t="str">
        <f t="shared" si="201"/>
        <v>41级紫护甲魔法攻击</v>
      </c>
      <c r="B808" s="4" t="s">
        <v>203</v>
      </c>
      <c r="C808" s="4" t="s">
        <v>119</v>
      </c>
      <c r="D808" s="4">
        <v>41</v>
      </c>
      <c r="E808" s="4" t="s">
        <v>14</v>
      </c>
      <c r="F808" s="4">
        <f>VLOOKUP(E808,基础属性ID!A:B,2,0)</f>
        <v>4</v>
      </c>
      <c r="G808" s="4">
        <f>VLOOKUP(E808,基础属性ID!$A:$E,5,0)</f>
        <v>100</v>
      </c>
      <c r="H808" s="4">
        <v>7</v>
      </c>
      <c r="I808" s="4">
        <f t="shared" si="208"/>
        <v>21</v>
      </c>
      <c r="J808" s="4" t="str">
        <f t="shared" si="197"/>
        <v>4:100:7:21,</v>
      </c>
    </row>
    <row r="809" spans="1:10">
      <c r="A809" s="4" t="str">
        <f t="shared" si="201"/>
        <v>41级紫护甲道术攻击</v>
      </c>
      <c r="B809" s="4" t="s">
        <v>203</v>
      </c>
      <c r="C809" s="4" t="s">
        <v>119</v>
      </c>
      <c r="D809" s="4">
        <v>41</v>
      </c>
      <c r="E809" s="4" t="s">
        <v>15</v>
      </c>
      <c r="F809" s="4">
        <f>VLOOKUP(E809,基础属性ID!A:B,2,0)</f>
        <v>5</v>
      </c>
      <c r="G809" s="4">
        <f>VLOOKUP(E809,基础属性ID!$A:$E,5,0)</f>
        <v>100</v>
      </c>
      <c r="H809" s="4">
        <v>7</v>
      </c>
      <c r="I809" s="4">
        <f t="shared" si="208"/>
        <v>21</v>
      </c>
      <c r="J809" s="4" t="str">
        <f t="shared" si="197"/>
        <v>5:100:7:21,</v>
      </c>
    </row>
    <row r="810" spans="1:10">
      <c r="A810" s="4" t="str">
        <f t="shared" si="201"/>
        <v>41级紫护甲防御</v>
      </c>
      <c r="B810" s="4" t="s">
        <v>203</v>
      </c>
      <c r="C810" s="4" t="s">
        <v>119</v>
      </c>
      <c r="D810" s="4">
        <v>41</v>
      </c>
      <c r="E810" s="4" t="s">
        <v>17</v>
      </c>
      <c r="F810" s="4">
        <f>VLOOKUP(E810,基础属性ID!A:B,2,0)</f>
        <v>6</v>
      </c>
      <c r="G810" s="4">
        <f>VLOOKUP(E810,基础属性ID!$A:$E,5,0)</f>
        <v>100</v>
      </c>
      <c r="H810" s="4">
        <v>7</v>
      </c>
      <c r="I810" s="4">
        <f t="shared" si="208"/>
        <v>21</v>
      </c>
      <c r="J810" s="4" t="str">
        <f t="shared" si="197"/>
        <v>6:100:7:21,</v>
      </c>
    </row>
    <row r="811" spans="1:10">
      <c r="A811" s="4" t="str">
        <f t="shared" si="201"/>
        <v>41级紫护甲攻速</v>
      </c>
      <c r="B811" s="4" t="s">
        <v>203</v>
      </c>
      <c r="C811" s="4" t="s">
        <v>119</v>
      </c>
      <c r="D811" s="4">
        <v>41</v>
      </c>
      <c r="E811" s="4" t="s">
        <v>18</v>
      </c>
      <c r="F811" s="4">
        <f>VLOOKUP(E811,基础属性ID!A:B,2,0)</f>
        <v>7</v>
      </c>
      <c r="G811" s="4">
        <f>VLOOKUP(E811,基础属性ID!$A:$E,5,0)</f>
        <v>20</v>
      </c>
      <c r="H811" s="4">
        <v>1</v>
      </c>
      <c r="I811" s="4">
        <v>2</v>
      </c>
      <c r="J811" s="4" t="str">
        <f t="shared" si="197"/>
        <v>7:20:1:2,</v>
      </c>
    </row>
    <row r="812" spans="1:10">
      <c r="A812" s="4" t="str">
        <f t="shared" si="201"/>
        <v>41级紫护甲固定伤害</v>
      </c>
      <c r="B812" s="4" t="s">
        <v>203</v>
      </c>
      <c r="C812" s="4" t="s">
        <v>119</v>
      </c>
      <c r="D812" s="4">
        <v>41</v>
      </c>
      <c r="E812" s="4" t="s">
        <v>24</v>
      </c>
      <c r="F812" s="4">
        <f>VLOOKUP(E812,基础属性ID!A:B,2,0)</f>
        <v>9</v>
      </c>
      <c r="G812" s="4">
        <f>VLOOKUP(E812,基础属性ID!$A:$E,5,0)</f>
        <v>50</v>
      </c>
      <c r="H812" s="4">
        <v>5</v>
      </c>
      <c r="I812" s="4">
        <f t="shared" ref="I812:I813" si="209">H812*3</f>
        <v>15</v>
      </c>
      <c r="J812" s="4" t="str">
        <f t="shared" si="197"/>
        <v>9:50:5:15,</v>
      </c>
    </row>
    <row r="813" spans="1:10">
      <c r="A813" s="4" t="str">
        <f t="shared" si="201"/>
        <v>41级紫护甲固定减伤</v>
      </c>
      <c r="B813" s="4" t="s">
        <v>203</v>
      </c>
      <c r="C813" s="4" t="s">
        <v>119</v>
      </c>
      <c r="D813" s="4">
        <v>41</v>
      </c>
      <c r="E813" s="4" t="s">
        <v>25</v>
      </c>
      <c r="F813" s="4">
        <f>VLOOKUP(E813,基础属性ID!A:B,2,0)</f>
        <v>10</v>
      </c>
      <c r="G813" s="4">
        <f>VLOOKUP(E813,基础属性ID!$A:$E,5,0)</f>
        <v>50</v>
      </c>
      <c r="H813" s="4">
        <v>5</v>
      </c>
      <c r="I813" s="4">
        <f t="shared" si="209"/>
        <v>15</v>
      </c>
      <c r="J813" s="4" t="str">
        <f t="shared" si="197"/>
        <v>10:50:5:15,</v>
      </c>
    </row>
    <row r="814" spans="1:10">
      <c r="A814" s="4" t="str">
        <f t="shared" si="201"/>
        <v>41级紫护甲生命吸取</v>
      </c>
      <c r="B814" s="4" t="s">
        <v>203</v>
      </c>
      <c r="C814" s="4" t="s">
        <v>119</v>
      </c>
      <c r="D814" s="4">
        <v>41</v>
      </c>
      <c r="E814" s="4" t="s">
        <v>28</v>
      </c>
      <c r="F814" s="4">
        <f>VLOOKUP(E814,基础属性ID!A:B,2,0)</f>
        <v>11</v>
      </c>
      <c r="G814" s="4">
        <f>VLOOKUP(E814,基础属性ID!$A:$E,5,0)</f>
        <v>50</v>
      </c>
      <c r="H814" s="4">
        <v>4</v>
      </c>
      <c r="I814" s="4">
        <f t="shared" ref="I814:I815" si="210">H814*3</f>
        <v>12</v>
      </c>
      <c r="J814" s="4" t="str">
        <f t="shared" ref="J814:J876" si="211">F814&amp;":"&amp;G814&amp;":"&amp;H814&amp;":"&amp;I814&amp;","</f>
        <v>11:50:4:12,</v>
      </c>
    </row>
    <row r="815" spans="1:10">
      <c r="A815" s="4" t="str">
        <f t="shared" si="201"/>
        <v>41级紫护甲法力吸取</v>
      </c>
      <c r="B815" s="4" t="s">
        <v>203</v>
      </c>
      <c r="C815" s="4" t="s">
        <v>119</v>
      </c>
      <c r="D815" s="4">
        <v>41</v>
      </c>
      <c r="E815" s="4" t="s">
        <v>29</v>
      </c>
      <c r="F815" s="4">
        <f>VLOOKUP(E815,基础属性ID!A:B,2,0)</f>
        <v>12</v>
      </c>
      <c r="G815" s="4">
        <f>VLOOKUP(E815,基础属性ID!$A:$E,5,0)</f>
        <v>50</v>
      </c>
      <c r="H815" s="4">
        <v>4</v>
      </c>
      <c r="I815" s="4">
        <f t="shared" si="210"/>
        <v>12</v>
      </c>
      <c r="J815" s="4" t="str">
        <f t="shared" si="211"/>
        <v>12:50:4:12,</v>
      </c>
    </row>
    <row r="816" spans="1:10">
      <c r="A816" s="4" t="str">
        <f t="shared" si="201"/>
        <v>41级紫护甲暴击几率</v>
      </c>
      <c r="B816" s="4" t="s">
        <v>203</v>
      </c>
      <c r="C816" s="4" t="s">
        <v>119</v>
      </c>
      <c r="D816" s="4">
        <v>41</v>
      </c>
      <c r="E816" s="4" t="s">
        <v>21</v>
      </c>
      <c r="F816" s="4">
        <f>VLOOKUP(E816,基础属性ID!A:B,2,0)</f>
        <v>13</v>
      </c>
      <c r="G816" s="4">
        <f>VLOOKUP(E816,基础属性ID!$A:$E,5,0)</f>
        <v>20</v>
      </c>
      <c r="H816" s="4">
        <v>50</v>
      </c>
      <c r="I816" s="4">
        <v>150</v>
      </c>
      <c r="J816" s="4" t="str">
        <f t="shared" si="211"/>
        <v>13:20:50:150,</v>
      </c>
    </row>
    <row r="817" spans="1:10">
      <c r="A817" s="4" t="str">
        <f t="shared" si="201"/>
        <v>41级紫护甲爆击伤害</v>
      </c>
      <c r="B817" s="4" t="s">
        <v>203</v>
      </c>
      <c r="C817" s="4" t="s">
        <v>119</v>
      </c>
      <c r="D817" s="4">
        <v>41</v>
      </c>
      <c r="E817" s="4" t="s">
        <v>76</v>
      </c>
      <c r="F817" s="4">
        <f>VLOOKUP(E817,基础属性ID!A:B,2,0)</f>
        <v>14</v>
      </c>
      <c r="G817" s="4">
        <f>VLOOKUP(E817,基础属性ID!$A:$E,5,0)</f>
        <v>20</v>
      </c>
      <c r="H817" s="4">
        <v>3</v>
      </c>
      <c r="I817" s="4">
        <v>8</v>
      </c>
      <c r="J817" s="4" t="str">
        <f t="shared" si="211"/>
        <v>14:20:3:8,</v>
      </c>
    </row>
    <row r="818" spans="1:10">
      <c r="A818" s="4" t="str">
        <f t="shared" si="201"/>
        <v>41级紫护甲伤害增加</v>
      </c>
      <c r="B818" s="4" t="s">
        <v>203</v>
      </c>
      <c r="C818" s="4" t="s">
        <v>119</v>
      </c>
      <c r="D818" s="4">
        <v>41</v>
      </c>
      <c r="E818" s="4" t="s">
        <v>26</v>
      </c>
      <c r="F818" s="4">
        <f>VLOOKUP(E818,基础属性ID!A:B,2,0)</f>
        <v>15</v>
      </c>
      <c r="G818" s="4">
        <f>VLOOKUP(E818,基础属性ID!$A:$E,5,0)</f>
        <v>10</v>
      </c>
      <c r="H818" s="4">
        <v>1</v>
      </c>
      <c r="I818" s="4">
        <v>2</v>
      </c>
      <c r="J818" s="4" t="str">
        <f t="shared" si="211"/>
        <v>15:10:1:2,</v>
      </c>
    </row>
    <row r="819" spans="1:10">
      <c r="A819" s="4" t="str">
        <f t="shared" si="201"/>
        <v>41级紫护甲伤害减免</v>
      </c>
      <c r="B819" s="4" t="s">
        <v>203</v>
      </c>
      <c r="C819" s="4" t="s">
        <v>119</v>
      </c>
      <c r="D819" s="4">
        <v>41</v>
      </c>
      <c r="E819" s="4" t="s">
        <v>27</v>
      </c>
      <c r="F819" s="4">
        <f>VLOOKUP(E819,基础属性ID!A:B,2,0)</f>
        <v>16</v>
      </c>
      <c r="G819" s="4">
        <f>VLOOKUP(E819,基础属性ID!$A:$E,5,0)</f>
        <v>10</v>
      </c>
      <c r="H819" s="4">
        <v>1</v>
      </c>
      <c r="I819" s="4">
        <v>2</v>
      </c>
      <c r="J819" s="4" t="str">
        <f t="shared" si="211"/>
        <v>16:10:1:2,</v>
      </c>
    </row>
    <row r="820" spans="1:10">
      <c r="A820" s="4" t="str">
        <f t="shared" si="201"/>
        <v>41级紫护甲装备掉率</v>
      </c>
      <c r="B820" s="4" t="s">
        <v>203</v>
      </c>
      <c r="C820" s="4" t="s">
        <v>119</v>
      </c>
      <c r="D820" s="4">
        <v>41</v>
      </c>
      <c r="E820" s="4" t="s">
        <v>30</v>
      </c>
      <c r="F820" s="4">
        <f>VLOOKUP(E820,基础属性ID!A:B,2,0)</f>
        <v>17</v>
      </c>
      <c r="G820" s="4">
        <f>VLOOKUP(E820,基础属性ID!$A:$E,5,0)</f>
        <v>60</v>
      </c>
      <c r="H820" s="4">
        <v>3</v>
      </c>
      <c r="I820" s="4">
        <v>9</v>
      </c>
      <c r="J820" s="4" t="str">
        <f t="shared" si="211"/>
        <v>17:60:3:9,</v>
      </c>
    </row>
    <row r="821" spans="1:10">
      <c r="A821" s="4" t="str">
        <f t="shared" si="201"/>
        <v>41级紫护甲极品掉率</v>
      </c>
      <c r="B821" s="4" t="s">
        <v>203</v>
      </c>
      <c r="C821" s="4" t="s">
        <v>119</v>
      </c>
      <c r="D821" s="4">
        <v>41</v>
      </c>
      <c r="E821" s="4" t="s">
        <v>31</v>
      </c>
      <c r="F821" s="4">
        <f>VLOOKUP(E821,基础属性ID!A:B,2,0)</f>
        <v>18</v>
      </c>
      <c r="G821" s="4">
        <f>VLOOKUP(E821,基础属性ID!$A:$E,5,0)</f>
        <v>60</v>
      </c>
      <c r="H821" s="4">
        <v>3</v>
      </c>
      <c r="I821" s="4">
        <v>9</v>
      </c>
      <c r="J821" s="4" t="str">
        <f t="shared" si="211"/>
        <v>18:60:3:9,</v>
      </c>
    </row>
    <row r="822" spans="1:10">
      <c r="A822" s="4" t="str">
        <f t="shared" si="201"/>
        <v>61级紫护甲生命值</v>
      </c>
      <c r="B822" s="4" t="s">
        <v>203</v>
      </c>
      <c r="C822" s="4" t="s">
        <v>119</v>
      </c>
      <c r="D822" s="4">
        <v>61</v>
      </c>
      <c r="E822" s="4" t="s">
        <v>74</v>
      </c>
      <c r="F822" s="4">
        <f>VLOOKUP(E822,基础属性ID!A:B,2,0)</f>
        <v>1</v>
      </c>
      <c r="G822" s="4">
        <f>VLOOKUP(E822,基础属性ID!$A:$E,5,0)</f>
        <v>100</v>
      </c>
      <c r="H822" s="4">
        <v>30</v>
      </c>
      <c r="I822" s="4">
        <f>H822*3</f>
        <v>90</v>
      </c>
      <c r="J822" s="4" t="str">
        <f t="shared" si="211"/>
        <v>1:100:30:90,</v>
      </c>
    </row>
    <row r="823" spans="1:10">
      <c r="A823" s="4" t="str">
        <f t="shared" si="201"/>
        <v>61级紫护甲法力值</v>
      </c>
      <c r="B823" s="4" t="s">
        <v>203</v>
      </c>
      <c r="C823" s="4" t="s">
        <v>119</v>
      </c>
      <c r="D823" s="4">
        <v>61</v>
      </c>
      <c r="E823" s="4" t="s">
        <v>75</v>
      </c>
      <c r="F823" s="4">
        <f>VLOOKUP(E823,基础属性ID!A:B,2,0)</f>
        <v>2</v>
      </c>
      <c r="G823" s="4">
        <f>VLOOKUP(E823,基础属性ID!$A:$E,5,0)</f>
        <v>100</v>
      </c>
      <c r="H823" s="4">
        <v>12</v>
      </c>
      <c r="I823" s="4">
        <v>25</v>
      </c>
      <c r="J823" s="4" t="str">
        <f t="shared" si="211"/>
        <v>2:100:12:25,</v>
      </c>
    </row>
    <row r="824" spans="1:10">
      <c r="A824" s="4" t="str">
        <f t="shared" si="201"/>
        <v>61级紫护甲物理攻击</v>
      </c>
      <c r="B824" s="4" t="s">
        <v>203</v>
      </c>
      <c r="C824" s="4" t="s">
        <v>119</v>
      </c>
      <c r="D824" s="4">
        <v>61</v>
      </c>
      <c r="E824" s="4" t="s">
        <v>13</v>
      </c>
      <c r="F824" s="4">
        <f>VLOOKUP(E824,基础属性ID!A:B,2,0)</f>
        <v>3</v>
      </c>
      <c r="G824" s="4">
        <f>VLOOKUP(E824,基础属性ID!$A:$E,5,0)</f>
        <v>100</v>
      </c>
      <c r="H824" s="4">
        <v>10</v>
      </c>
      <c r="I824" s="4">
        <f t="shared" ref="I824:I827" si="212">H824*3</f>
        <v>30</v>
      </c>
      <c r="J824" s="4" t="str">
        <f t="shared" si="211"/>
        <v>3:100:10:30,</v>
      </c>
    </row>
    <row r="825" spans="1:10">
      <c r="A825" s="4" t="str">
        <f t="shared" si="201"/>
        <v>61级紫护甲魔法攻击</v>
      </c>
      <c r="B825" s="4" t="s">
        <v>203</v>
      </c>
      <c r="C825" s="4" t="s">
        <v>119</v>
      </c>
      <c r="D825" s="4">
        <v>61</v>
      </c>
      <c r="E825" s="4" t="s">
        <v>14</v>
      </c>
      <c r="F825" s="4">
        <f>VLOOKUP(E825,基础属性ID!A:B,2,0)</f>
        <v>4</v>
      </c>
      <c r="G825" s="4">
        <f>VLOOKUP(E825,基础属性ID!$A:$E,5,0)</f>
        <v>100</v>
      </c>
      <c r="H825" s="4">
        <v>10</v>
      </c>
      <c r="I825" s="4">
        <f t="shared" si="212"/>
        <v>30</v>
      </c>
      <c r="J825" s="4" t="str">
        <f t="shared" si="211"/>
        <v>4:100:10:30,</v>
      </c>
    </row>
    <row r="826" spans="1:10">
      <c r="A826" s="4" t="str">
        <f t="shared" si="201"/>
        <v>61级紫护甲道术攻击</v>
      </c>
      <c r="B826" s="4" t="s">
        <v>203</v>
      </c>
      <c r="C826" s="4" t="s">
        <v>119</v>
      </c>
      <c r="D826" s="4">
        <v>61</v>
      </c>
      <c r="E826" s="4" t="s">
        <v>15</v>
      </c>
      <c r="F826" s="4">
        <f>VLOOKUP(E826,基础属性ID!A:B,2,0)</f>
        <v>5</v>
      </c>
      <c r="G826" s="4">
        <f>VLOOKUP(E826,基础属性ID!$A:$E,5,0)</f>
        <v>100</v>
      </c>
      <c r="H826" s="4">
        <v>10</v>
      </c>
      <c r="I826" s="4">
        <f t="shared" si="212"/>
        <v>30</v>
      </c>
      <c r="J826" s="4" t="str">
        <f t="shared" si="211"/>
        <v>5:100:10:30,</v>
      </c>
    </row>
    <row r="827" spans="1:10">
      <c r="A827" s="4" t="str">
        <f t="shared" si="201"/>
        <v>61级紫护甲防御</v>
      </c>
      <c r="B827" s="4" t="s">
        <v>203</v>
      </c>
      <c r="C827" s="4" t="s">
        <v>119</v>
      </c>
      <c r="D827" s="4">
        <v>61</v>
      </c>
      <c r="E827" s="4" t="s">
        <v>17</v>
      </c>
      <c r="F827" s="4">
        <f>VLOOKUP(E827,基础属性ID!A:B,2,0)</f>
        <v>6</v>
      </c>
      <c r="G827" s="4">
        <f>VLOOKUP(E827,基础属性ID!$A:$E,5,0)</f>
        <v>100</v>
      </c>
      <c r="H827" s="4">
        <v>10</v>
      </c>
      <c r="I827" s="4">
        <f t="shared" si="212"/>
        <v>30</v>
      </c>
      <c r="J827" s="4" t="str">
        <f t="shared" si="211"/>
        <v>6:100:10:30,</v>
      </c>
    </row>
    <row r="828" spans="1:10">
      <c r="A828" s="4" t="str">
        <f t="shared" si="201"/>
        <v>61级紫护甲攻速</v>
      </c>
      <c r="B828" s="4" t="s">
        <v>203</v>
      </c>
      <c r="C828" s="4" t="s">
        <v>119</v>
      </c>
      <c r="D828" s="4">
        <v>61</v>
      </c>
      <c r="E828" s="4" t="s">
        <v>18</v>
      </c>
      <c r="F828" s="4">
        <f>VLOOKUP(E828,基础属性ID!A:B,2,0)</f>
        <v>7</v>
      </c>
      <c r="G828" s="4">
        <f>VLOOKUP(E828,基础属性ID!$A:$E,5,0)</f>
        <v>20</v>
      </c>
      <c r="H828" s="4">
        <v>1</v>
      </c>
      <c r="I828" s="4">
        <v>2</v>
      </c>
      <c r="J828" s="4" t="str">
        <f t="shared" si="211"/>
        <v>7:20:1:2,</v>
      </c>
    </row>
    <row r="829" spans="1:10">
      <c r="A829" s="4" t="str">
        <f t="shared" si="201"/>
        <v>61级紫护甲固定伤害</v>
      </c>
      <c r="B829" s="4" t="s">
        <v>203</v>
      </c>
      <c r="C829" s="4" t="s">
        <v>119</v>
      </c>
      <c r="D829" s="4">
        <v>61</v>
      </c>
      <c r="E829" s="4" t="s">
        <v>24</v>
      </c>
      <c r="F829" s="4">
        <f>VLOOKUP(E829,基础属性ID!A:B,2,0)</f>
        <v>9</v>
      </c>
      <c r="G829" s="4">
        <f>VLOOKUP(E829,基础属性ID!$A:$E,5,0)</f>
        <v>50</v>
      </c>
      <c r="H829" s="4">
        <v>6</v>
      </c>
      <c r="I829" s="4">
        <f t="shared" ref="I829:I830" si="213">H829*3</f>
        <v>18</v>
      </c>
      <c r="J829" s="4" t="str">
        <f t="shared" si="211"/>
        <v>9:50:6:18,</v>
      </c>
    </row>
    <row r="830" spans="1:10">
      <c r="A830" s="4" t="str">
        <f t="shared" si="201"/>
        <v>61级紫护甲固定减伤</v>
      </c>
      <c r="B830" s="4" t="s">
        <v>203</v>
      </c>
      <c r="C830" s="4" t="s">
        <v>119</v>
      </c>
      <c r="D830" s="4">
        <v>61</v>
      </c>
      <c r="E830" s="4" t="s">
        <v>25</v>
      </c>
      <c r="F830" s="4">
        <f>VLOOKUP(E830,基础属性ID!A:B,2,0)</f>
        <v>10</v>
      </c>
      <c r="G830" s="4">
        <f>VLOOKUP(E830,基础属性ID!$A:$E,5,0)</f>
        <v>50</v>
      </c>
      <c r="H830" s="4">
        <v>6</v>
      </c>
      <c r="I830" s="4">
        <f t="shared" si="213"/>
        <v>18</v>
      </c>
      <c r="J830" s="4" t="str">
        <f t="shared" si="211"/>
        <v>10:50:6:18,</v>
      </c>
    </row>
    <row r="831" spans="1:10">
      <c r="A831" s="4" t="str">
        <f t="shared" si="201"/>
        <v>61级紫护甲生命吸取</v>
      </c>
      <c r="B831" s="4" t="s">
        <v>203</v>
      </c>
      <c r="C831" s="4" t="s">
        <v>119</v>
      </c>
      <c r="D831" s="4">
        <v>61</v>
      </c>
      <c r="E831" s="4" t="s">
        <v>28</v>
      </c>
      <c r="F831" s="4">
        <f>VLOOKUP(E831,基础属性ID!A:B,2,0)</f>
        <v>11</v>
      </c>
      <c r="G831" s="4">
        <f>VLOOKUP(E831,基础属性ID!$A:$E,5,0)</f>
        <v>50</v>
      </c>
      <c r="H831" s="4">
        <v>5</v>
      </c>
      <c r="I831" s="4">
        <f t="shared" ref="I831:I832" si="214">H831*3</f>
        <v>15</v>
      </c>
      <c r="J831" s="4" t="str">
        <f t="shared" si="211"/>
        <v>11:50:5:15,</v>
      </c>
    </row>
    <row r="832" spans="1:10">
      <c r="A832" s="4" t="str">
        <f t="shared" si="201"/>
        <v>61级紫护甲法力吸取</v>
      </c>
      <c r="B832" s="4" t="s">
        <v>203</v>
      </c>
      <c r="C832" s="4" t="s">
        <v>119</v>
      </c>
      <c r="D832" s="4">
        <v>61</v>
      </c>
      <c r="E832" s="4" t="s">
        <v>29</v>
      </c>
      <c r="F832" s="4">
        <f>VLOOKUP(E832,基础属性ID!A:B,2,0)</f>
        <v>12</v>
      </c>
      <c r="G832" s="4">
        <f>VLOOKUP(E832,基础属性ID!$A:$E,5,0)</f>
        <v>50</v>
      </c>
      <c r="H832" s="4">
        <v>5</v>
      </c>
      <c r="I832" s="4">
        <f t="shared" si="214"/>
        <v>15</v>
      </c>
      <c r="J832" s="4" t="str">
        <f t="shared" si="211"/>
        <v>12:50:5:15,</v>
      </c>
    </row>
    <row r="833" spans="1:10">
      <c r="A833" s="4" t="str">
        <f t="shared" si="201"/>
        <v>61级紫护甲暴击几率</v>
      </c>
      <c r="B833" s="4" t="s">
        <v>203</v>
      </c>
      <c r="C833" s="4" t="s">
        <v>119</v>
      </c>
      <c r="D833" s="4">
        <v>61</v>
      </c>
      <c r="E833" s="4" t="s">
        <v>21</v>
      </c>
      <c r="F833" s="4">
        <f>VLOOKUP(E833,基础属性ID!A:B,2,0)</f>
        <v>13</v>
      </c>
      <c r="G833" s="4">
        <f>VLOOKUP(E833,基础属性ID!$A:$E,5,0)</f>
        <v>20</v>
      </c>
      <c r="H833" s="4">
        <v>50</v>
      </c>
      <c r="I833" s="4">
        <v>150</v>
      </c>
      <c r="J833" s="4" t="str">
        <f t="shared" si="211"/>
        <v>13:20:50:150,</v>
      </c>
    </row>
    <row r="834" spans="1:10">
      <c r="A834" s="4" t="str">
        <f t="shared" si="201"/>
        <v>61级紫护甲爆击伤害</v>
      </c>
      <c r="B834" s="4" t="s">
        <v>203</v>
      </c>
      <c r="C834" s="4" t="s">
        <v>119</v>
      </c>
      <c r="D834" s="4">
        <v>61</v>
      </c>
      <c r="E834" s="4" t="s">
        <v>76</v>
      </c>
      <c r="F834" s="4">
        <f>VLOOKUP(E834,基础属性ID!A:B,2,0)</f>
        <v>14</v>
      </c>
      <c r="G834" s="4">
        <f>VLOOKUP(E834,基础属性ID!$A:$E,5,0)</f>
        <v>20</v>
      </c>
      <c r="H834" s="4">
        <v>3</v>
      </c>
      <c r="I834" s="4">
        <v>8</v>
      </c>
      <c r="J834" s="4" t="str">
        <f t="shared" si="211"/>
        <v>14:20:3:8,</v>
      </c>
    </row>
    <row r="835" spans="1:10">
      <c r="A835" s="4" t="str">
        <f t="shared" ref="A835:A898" si="215">D835&amp;"级"&amp;C835&amp;B835&amp;E835</f>
        <v>61级紫护甲伤害增加</v>
      </c>
      <c r="B835" s="4" t="s">
        <v>203</v>
      </c>
      <c r="C835" s="4" t="s">
        <v>119</v>
      </c>
      <c r="D835" s="4">
        <v>61</v>
      </c>
      <c r="E835" s="4" t="s">
        <v>26</v>
      </c>
      <c r="F835" s="4">
        <f>VLOOKUP(E835,基础属性ID!A:B,2,0)</f>
        <v>15</v>
      </c>
      <c r="G835" s="4">
        <f>VLOOKUP(E835,基础属性ID!$A:$E,5,0)</f>
        <v>10</v>
      </c>
      <c r="H835" s="4">
        <v>1</v>
      </c>
      <c r="I835" s="4">
        <v>2</v>
      </c>
      <c r="J835" s="4" t="str">
        <f t="shared" si="211"/>
        <v>15:10:1:2,</v>
      </c>
    </row>
    <row r="836" spans="1:10">
      <c r="A836" s="4" t="str">
        <f t="shared" si="215"/>
        <v>61级紫护甲伤害减免</v>
      </c>
      <c r="B836" s="4" t="s">
        <v>203</v>
      </c>
      <c r="C836" s="4" t="s">
        <v>119</v>
      </c>
      <c r="D836" s="4">
        <v>61</v>
      </c>
      <c r="E836" s="4" t="s">
        <v>27</v>
      </c>
      <c r="F836" s="4">
        <f>VLOOKUP(E836,基础属性ID!A:B,2,0)</f>
        <v>16</v>
      </c>
      <c r="G836" s="4">
        <f>VLOOKUP(E836,基础属性ID!$A:$E,5,0)</f>
        <v>10</v>
      </c>
      <c r="H836" s="4">
        <v>1</v>
      </c>
      <c r="I836" s="4">
        <v>2</v>
      </c>
      <c r="J836" s="4" t="str">
        <f t="shared" si="211"/>
        <v>16:10:1:2,</v>
      </c>
    </row>
    <row r="837" spans="1:10">
      <c r="A837" s="4" t="str">
        <f t="shared" si="215"/>
        <v>61级紫护甲装备掉率</v>
      </c>
      <c r="B837" s="4" t="s">
        <v>203</v>
      </c>
      <c r="C837" s="4" t="s">
        <v>119</v>
      </c>
      <c r="D837" s="4">
        <v>61</v>
      </c>
      <c r="E837" s="4" t="s">
        <v>30</v>
      </c>
      <c r="F837" s="4">
        <f>VLOOKUP(E837,基础属性ID!A:B,2,0)</f>
        <v>17</v>
      </c>
      <c r="G837" s="4">
        <f>VLOOKUP(E837,基础属性ID!$A:$E,5,0)</f>
        <v>60</v>
      </c>
      <c r="H837" s="4">
        <v>3</v>
      </c>
      <c r="I837" s="4">
        <v>9</v>
      </c>
      <c r="J837" s="4" t="str">
        <f t="shared" si="211"/>
        <v>17:60:3:9,</v>
      </c>
    </row>
    <row r="838" spans="1:10">
      <c r="A838" s="4" t="str">
        <f t="shared" si="215"/>
        <v>61级紫护甲极品掉率</v>
      </c>
      <c r="B838" s="4" t="s">
        <v>203</v>
      </c>
      <c r="C838" s="4" t="s">
        <v>119</v>
      </c>
      <c r="D838" s="4">
        <v>61</v>
      </c>
      <c r="E838" s="4" t="s">
        <v>31</v>
      </c>
      <c r="F838" s="4">
        <f>VLOOKUP(E838,基础属性ID!A:B,2,0)</f>
        <v>18</v>
      </c>
      <c r="G838" s="4">
        <f>VLOOKUP(E838,基础属性ID!$A:$E,5,0)</f>
        <v>60</v>
      </c>
      <c r="H838" s="4">
        <v>3</v>
      </c>
      <c r="I838" s="4">
        <v>9</v>
      </c>
      <c r="J838" s="4" t="str">
        <f t="shared" si="211"/>
        <v>18:60:3:9,</v>
      </c>
    </row>
    <row r="839" spans="1:10">
      <c r="A839" s="4" t="str">
        <f t="shared" si="215"/>
        <v>21级紫项链生命值</v>
      </c>
      <c r="B839" s="4" t="s">
        <v>215</v>
      </c>
      <c r="C839" s="4" t="s">
        <v>119</v>
      </c>
      <c r="D839" s="4">
        <v>21</v>
      </c>
      <c r="E839" s="4" t="s">
        <v>74</v>
      </c>
      <c r="F839" s="4">
        <f>VLOOKUP(E839,基础属性ID!A:B,2,0)</f>
        <v>1</v>
      </c>
      <c r="G839" s="4">
        <f>VLOOKUP(E839,基础属性ID!$A:$E,5,0)</f>
        <v>100</v>
      </c>
      <c r="H839" s="4">
        <v>12</v>
      </c>
      <c r="I839" s="4">
        <f>H839*3</f>
        <v>36</v>
      </c>
      <c r="J839" s="4" t="str">
        <f t="shared" si="211"/>
        <v>1:100:12:36,</v>
      </c>
    </row>
    <row r="840" spans="1:10">
      <c r="A840" s="4" t="str">
        <f t="shared" si="215"/>
        <v>21级紫项链法力值</v>
      </c>
      <c r="B840" s="4" t="s">
        <v>215</v>
      </c>
      <c r="C840" s="4" t="s">
        <v>119</v>
      </c>
      <c r="D840" s="4">
        <v>21</v>
      </c>
      <c r="E840" s="4" t="s">
        <v>75</v>
      </c>
      <c r="F840" s="4">
        <f>VLOOKUP(E840,基础属性ID!A:B,2,0)</f>
        <v>2</v>
      </c>
      <c r="G840" s="4">
        <f>VLOOKUP(E840,基础属性ID!$A:$E,5,0)</f>
        <v>100</v>
      </c>
      <c r="H840" s="4">
        <v>8</v>
      </c>
      <c r="I840" s="4">
        <v>16</v>
      </c>
      <c r="J840" s="4" t="str">
        <f t="shared" si="211"/>
        <v>2:100:8:16,</v>
      </c>
    </row>
    <row r="841" spans="1:10">
      <c r="A841" s="4" t="str">
        <f t="shared" si="215"/>
        <v>21级紫项链物理攻击</v>
      </c>
      <c r="B841" s="4" t="s">
        <v>215</v>
      </c>
      <c r="C841" s="4" t="s">
        <v>119</v>
      </c>
      <c r="D841" s="4">
        <v>21</v>
      </c>
      <c r="E841" s="4" t="s">
        <v>13</v>
      </c>
      <c r="F841" s="4">
        <f>VLOOKUP(E841,基础属性ID!A:B,2,0)</f>
        <v>3</v>
      </c>
      <c r="G841" s="4">
        <f>VLOOKUP(E841,基础属性ID!$A:$E,5,0)</f>
        <v>100</v>
      </c>
      <c r="H841" s="4">
        <v>5</v>
      </c>
      <c r="I841" s="4">
        <f t="shared" ref="I841:I844" si="216">H841*3</f>
        <v>15</v>
      </c>
      <c r="J841" s="4" t="str">
        <f t="shared" si="211"/>
        <v>3:100:5:15,</v>
      </c>
    </row>
    <row r="842" spans="1:10">
      <c r="A842" s="4" t="str">
        <f t="shared" si="215"/>
        <v>21级紫项链魔法攻击</v>
      </c>
      <c r="B842" s="4" t="s">
        <v>215</v>
      </c>
      <c r="C842" s="4" t="s">
        <v>119</v>
      </c>
      <c r="D842" s="4">
        <v>21</v>
      </c>
      <c r="E842" s="4" t="s">
        <v>14</v>
      </c>
      <c r="F842" s="4">
        <f>VLOOKUP(E842,基础属性ID!A:B,2,0)</f>
        <v>4</v>
      </c>
      <c r="G842" s="4">
        <f>VLOOKUP(E842,基础属性ID!$A:$E,5,0)</f>
        <v>100</v>
      </c>
      <c r="H842" s="4">
        <v>5</v>
      </c>
      <c r="I842" s="4">
        <f t="shared" si="216"/>
        <v>15</v>
      </c>
      <c r="J842" s="4" t="str">
        <f t="shared" si="211"/>
        <v>4:100:5:15,</v>
      </c>
    </row>
    <row r="843" spans="1:10">
      <c r="A843" s="4" t="str">
        <f t="shared" si="215"/>
        <v>21级紫项链道术攻击</v>
      </c>
      <c r="B843" s="4" t="s">
        <v>215</v>
      </c>
      <c r="C843" s="4" t="s">
        <v>119</v>
      </c>
      <c r="D843" s="4">
        <v>21</v>
      </c>
      <c r="E843" s="4" t="s">
        <v>15</v>
      </c>
      <c r="F843" s="4">
        <f>VLOOKUP(E843,基础属性ID!A:B,2,0)</f>
        <v>5</v>
      </c>
      <c r="G843" s="4">
        <f>VLOOKUP(E843,基础属性ID!$A:$E,5,0)</f>
        <v>100</v>
      </c>
      <c r="H843" s="4">
        <v>5</v>
      </c>
      <c r="I843" s="4">
        <f t="shared" si="216"/>
        <v>15</v>
      </c>
      <c r="J843" s="4" t="str">
        <f t="shared" si="211"/>
        <v>5:100:5:15,</v>
      </c>
    </row>
    <row r="844" spans="1:10">
      <c r="A844" s="4" t="str">
        <f t="shared" si="215"/>
        <v>21级紫项链防御</v>
      </c>
      <c r="B844" s="4" t="s">
        <v>215</v>
      </c>
      <c r="C844" s="4" t="s">
        <v>119</v>
      </c>
      <c r="D844" s="4">
        <v>21</v>
      </c>
      <c r="E844" s="4" t="s">
        <v>17</v>
      </c>
      <c r="F844" s="4">
        <f>VLOOKUP(E844,基础属性ID!A:B,2,0)</f>
        <v>6</v>
      </c>
      <c r="G844" s="4">
        <f>VLOOKUP(E844,基础属性ID!$A:$E,5,0)</f>
        <v>100</v>
      </c>
      <c r="H844" s="4">
        <v>5</v>
      </c>
      <c r="I844" s="4">
        <f t="shared" si="216"/>
        <v>15</v>
      </c>
      <c r="J844" s="4" t="str">
        <f t="shared" si="211"/>
        <v>6:100:5:15,</v>
      </c>
    </row>
    <row r="845" spans="1:10">
      <c r="A845" s="4" t="str">
        <f t="shared" si="215"/>
        <v>21级紫项链攻速</v>
      </c>
      <c r="B845" s="4" t="s">
        <v>215</v>
      </c>
      <c r="C845" s="4" t="s">
        <v>119</v>
      </c>
      <c r="D845" s="4">
        <v>21</v>
      </c>
      <c r="E845" s="4" t="s">
        <v>18</v>
      </c>
      <c r="F845" s="4">
        <f>VLOOKUP(E845,基础属性ID!A:B,2,0)</f>
        <v>7</v>
      </c>
      <c r="G845" s="4">
        <f>VLOOKUP(E845,基础属性ID!$A:$E,5,0)</f>
        <v>20</v>
      </c>
      <c r="H845" s="4">
        <v>1</v>
      </c>
      <c r="I845" s="4">
        <v>2</v>
      </c>
      <c r="J845" s="4" t="str">
        <f t="shared" si="211"/>
        <v>7:20:1:2,</v>
      </c>
    </row>
    <row r="846" spans="1:10">
      <c r="A846" s="4" t="str">
        <f t="shared" si="215"/>
        <v>21级紫项链幸运</v>
      </c>
      <c r="B846" s="4" t="s">
        <v>215</v>
      </c>
      <c r="C846" s="4" t="s">
        <v>119</v>
      </c>
      <c r="D846" s="4">
        <v>21</v>
      </c>
      <c r="E846" s="4" t="s">
        <v>19</v>
      </c>
      <c r="F846" s="4">
        <f>VLOOKUP(E846,基础属性ID!A:B,2,0)</f>
        <v>8</v>
      </c>
      <c r="G846" s="4">
        <f>VLOOKUP(E846,基础属性ID!$A:$E,5,0)</f>
        <v>20</v>
      </c>
      <c r="H846" s="4">
        <v>1</v>
      </c>
      <c r="I846" s="4">
        <v>3</v>
      </c>
      <c r="J846" s="4" t="str">
        <f t="shared" si="211"/>
        <v>8:20:1:3,</v>
      </c>
    </row>
    <row r="847" spans="1:10">
      <c r="A847" s="4" t="str">
        <f t="shared" si="215"/>
        <v>21级紫项链固定伤害</v>
      </c>
      <c r="B847" s="4" t="s">
        <v>215</v>
      </c>
      <c r="C847" s="4" t="s">
        <v>119</v>
      </c>
      <c r="D847" s="4">
        <v>21</v>
      </c>
      <c r="E847" s="4" t="s">
        <v>24</v>
      </c>
      <c r="F847" s="4">
        <f>VLOOKUP(E847,基础属性ID!A:B,2,0)</f>
        <v>9</v>
      </c>
      <c r="G847" s="4">
        <f>VLOOKUP(E847,基础属性ID!$A:$E,5,0)</f>
        <v>50</v>
      </c>
      <c r="H847" s="4">
        <v>4</v>
      </c>
      <c r="I847" s="4">
        <f t="shared" ref="I847:I848" si="217">H847*3</f>
        <v>12</v>
      </c>
      <c r="J847" s="4" t="str">
        <f t="shared" si="211"/>
        <v>9:50:4:12,</v>
      </c>
    </row>
    <row r="848" spans="1:10">
      <c r="A848" s="4" t="str">
        <f t="shared" si="215"/>
        <v>21级紫项链固定减伤</v>
      </c>
      <c r="B848" s="4" t="s">
        <v>215</v>
      </c>
      <c r="C848" s="4" t="s">
        <v>119</v>
      </c>
      <c r="D848" s="4">
        <v>21</v>
      </c>
      <c r="E848" s="4" t="s">
        <v>25</v>
      </c>
      <c r="F848" s="4">
        <f>VLOOKUP(E848,基础属性ID!A:B,2,0)</f>
        <v>10</v>
      </c>
      <c r="G848" s="4">
        <f>VLOOKUP(E848,基础属性ID!$A:$E,5,0)</f>
        <v>50</v>
      </c>
      <c r="H848" s="4">
        <v>4</v>
      </c>
      <c r="I848" s="4">
        <f t="shared" si="217"/>
        <v>12</v>
      </c>
      <c r="J848" s="4" t="str">
        <f t="shared" si="211"/>
        <v>10:50:4:12,</v>
      </c>
    </row>
    <row r="849" spans="1:10">
      <c r="A849" s="4" t="str">
        <f t="shared" si="215"/>
        <v>21级紫项链生命吸取</v>
      </c>
      <c r="B849" s="4" t="s">
        <v>215</v>
      </c>
      <c r="C849" s="4" t="s">
        <v>119</v>
      </c>
      <c r="D849" s="4">
        <v>21</v>
      </c>
      <c r="E849" s="4" t="s">
        <v>28</v>
      </c>
      <c r="F849" s="4">
        <f>VLOOKUP(E849,基础属性ID!A:B,2,0)</f>
        <v>11</v>
      </c>
      <c r="G849" s="4">
        <f>VLOOKUP(E849,基础属性ID!$A:$E,5,0)</f>
        <v>50</v>
      </c>
      <c r="H849" s="4">
        <v>3</v>
      </c>
      <c r="I849" s="4">
        <f t="shared" ref="I849:I850" si="218">H849*3</f>
        <v>9</v>
      </c>
      <c r="J849" s="4" t="str">
        <f t="shared" si="211"/>
        <v>11:50:3:9,</v>
      </c>
    </row>
    <row r="850" spans="1:10">
      <c r="A850" s="4" t="str">
        <f t="shared" si="215"/>
        <v>21级紫项链法力吸取</v>
      </c>
      <c r="B850" s="4" t="s">
        <v>215</v>
      </c>
      <c r="C850" s="4" t="s">
        <v>119</v>
      </c>
      <c r="D850" s="4">
        <v>21</v>
      </c>
      <c r="E850" s="4" t="s">
        <v>29</v>
      </c>
      <c r="F850" s="4">
        <f>VLOOKUP(E850,基础属性ID!A:B,2,0)</f>
        <v>12</v>
      </c>
      <c r="G850" s="4">
        <f>VLOOKUP(E850,基础属性ID!$A:$E,5,0)</f>
        <v>50</v>
      </c>
      <c r="H850" s="4">
        <v>3</v>
      </c>
      <c r="I850" s="4">
        <f t="shared" si="218"/>
        <v>9</v>
      </c>
      <c r="J850" s="4" t="str">
        <f t="shared" si="211"/>
        <v>12:50:3:9,</v>
      </c>
    </row>
    <row r="851" spans="1:10">
      <c r="A851" s="4" t="str">
        <f t="shared" si="215"/>
        <v>21级紫项链暴击几率</v>
      </c>
      <c r="B851" s="4" t="s">
        <v>215</v>
      </c>
      <c r="C851" s="4" t="s">
        <v>119</v>
      </c>
      <c r="D851" s="4">
        <v>21</v>
      </c>
      <c r="E851" s="4" t="s">
        <v>21</v>
      </c>
      <c r="F851" s="4">
        <f>VLOOKUP(E851,基础属性ID!A:B,2,0)</f>
        <v>13</v>
      </c>
      <c r="G851" s="4">
        <f>VLOOKUP(E851,基础属性ID!$A:$E,5,0)</f>
        <v>20</v>
      </c>
      <c r="H851" s="4">
        <v>50</v>
      </c>
      <c r="I851" s="4">
        <v>150</v>
      </c>
      <c r="J851" s="4" t="str">
        <f t="shared" si="211"/>
        <v>13:20:50:150,</v>
      </c>
    </row>
    <row r="852" spans="1:10">
      <c r="A852" s="4" t="str">
        <f t="shared" si="215"/>
        <v>21级紫项链爆击伤害</v>
      </c>
      <c r="B852" s="4" t="s">
        <v>215</v>
      </c>
      <c r="C852" s="4" t="s">
        <v>119</v>
      </c>
      <c r="D852" s="4">
        <v>21</v>
      </c>
      <c r="E852" s="4" t="s">
        <v>76</v>
      </c>
      <c r="F852" s="4">
        <f>VLOOKUP(E852,基础属性ID!A:B,2,0)</f>
        <v>14</v>
      </c>
      <c r="G852" s="4">
        <f>VLOOKUP(E852,基础属性ID!$A:$E,5,0)</f>
        <v>20</v>
      </c>
      <c r="H852" s="4">
        <v>3</v>
      </c>
      <c r="I852" s="4">
        <v>8</v>
      </c>
      <c r="J852" s="4" t="str">
        <f t="shared" si="211"/>
        <v>14:20:3:8,</v>
      </c>
    </row>
    <row r="853" spans="1:10">
      <c r="A853" s="4" t="str">
        <f t="shared" si="215"/>
        <v>21级紫项链伤害增加</v>
      </c>
      <c r="B853" s="4" t="s">
        <v>215</v>
      </c>
      <c r="C853" s="4" t="s">
        <v>119</v>
      </c>
      <c r="D853" s="4">
        <v>21</v>
      </c>
      <c r="E853" s="4" t="s">
        <v>26</v>
      </c>
      <c r="F853" s="4">
        <f>VLOOKUP(E853,基础属性ID!A:B,2,0)</f>
        <v>15</v>
      </c>
      <c r="G853" s="4">
        <f>VLOOKUP(E853,基础属性ID!$A:$E,5,0)</f>
        <v>10</v>
      </c>
      <c r="H853" s="4">
        <v>1</v>
      </c>
      <c r="I853" s="4">
        <v>2</v>
      </c>
      <c r="J853" s="4" t="str">
        <f t="shared" si="211"/>
        <v>15:10:1:2,</v>
      </c>
    </row>
    <row r="854" spans="1:10">
      <c r="A854" s="4" t="str">
        <f t="shared" si="215"/>
        <v>21级紫项链伤害减免</v>
      </c>
      <c r="B854" s="4" t="s">
        <v>215</v>
      </c>
      <c r="C854" s="4" t="s">
        <v>119</v>
      </c>
      <c r="D854" s="4">
        <v>21</v>
      </c>
      <c r="E854" s="4" t="s">
        <v>27</v>
      </c>
      <c r="F854" s="4">
        <f>VLOOKUP(E854,基础属性ID!A:B,2,0)</f>
        <v>16</v>
      </c>
      <c r="G854" s="4">
        <f>VLOOKUP(E854,基础属性ID!$A:$E,5,0)</f>
        <v>10</v>
      </c>
      <c r="H854" s="4">
        <v>1</v>
      </c>
      <c r="I854" s="4">
        <v>2</v>
      </c>
      <c r="J854" s="4" t="str">
        <f t="shared" si="211"/>
        <v>16:10:1:2,</v>
      </c>
    </row>
    <row r="855" spans="1:10">
      <c r="A855" s="4" t="str">
        <f t="shared" si="215"/>
        <v>21级紫项链装备掉率</v>
      </c>
      <c r="B855" s="4" t="s">
        <v>215</v>
      </c>
      <c r="C855" s="4" t="s">
        <v>119</v>
      </c>
      <c r="D855" s="4">
        <v>21</v>
      </c>
      <c r="E855" s="4" t="s">
        <v>30</v>
      </c>
      <c r="F855" s="4">
        <f>VLOOKUP(E855,基础属性ID!A:B,2,0)</f>
        <v>17</v>
      </c>
      <c r="G855" s="4">
        <f>VLOOKUP(E855,基础属性ID!$A:$E,5,0)</f>
        <v>60</v>
      </c>
      <c r="H855" s="4">
        <v>3</v>
      </c>
      <c r="I855" s="4">
        <v>9</v>
      </c>
      <c r="J855" s="4" t="str">
        <f t="shared" si="211"/>
        <v>17:60:3:9,</v>
      </c>
    </row>
    <row r="856" spans="1:10">
      <c r="A856" s="4" t="str">
        <f t="shared" si="215"/>
        <v>21级紫项链极品掉率</v>
      </c>
      <c r="B856" s="4" t="s">
        <v>215</v>
      </c>
      <c r="C856" s="4" t="s">
        <v>119</v>
      </c>
      <c r="D856" s="4">
        <v>21</v>
      </c>
      <c r="E856" s="4" t="s">
        <v>31</v>
      </c>
      <c r="F856" s="4">
        <f>VLOOKUP(E856,基础属性ID!A:B,2,0)</f>
        <v>18</v>
      </c>
      <c r="G856" s="4">
        <f>VLOOKUP(E856,基础属性ID!$A:$E,5,0)</f>
        <v>60</v>
      </c>
      <c r="H856" s="4">
        <v>3</v>
      </c>
      <c r="I856" s="4">
        <v>9</v>
      </c>
      <c r="J856" s="4" t="str">
        <f t="shared" si="211"/>
        <v>18:60:3:9,</v>
      </c>
    </row>
    <row r="857" spans="1:10">
      <c r="A857" s="4" t="str">
        <f t="shared" si="215"/>
        <v>41级紫项链生命值</v>
      </c>
      <c r="B857" s="4" t="s">
        <v>215</v>
      </c>
      <c r="C857" s="4" t="s">
        <v>119</v>
      </c>
      <c r="D857" s="4">
        <v>41</v>
      </c>
      <c r="E857" s="4" t="s">
        <v>74</v>
      </c>
      <c r="F857" s="4">
        <f>VLOOKUP(E857,基础属性ID!A:B,2,0)</f>
        <v>1</v>
      </c>
      <c r="G857" s="4">
        <f>VLOOKUP(E857,基础属性ID!$A:$E,5,0)</f>
        <v>100</v>
      </c>
      <c r="H857" s="4">
        <v>20</v>
      </c>
      <c r="I857" s="4">
        <f>H857*3</f>
        <v>60</v>
      </c>
      <c r="J857" s="4" t="str">
        <f t="shared" si="211"/>
        <v>1:100:20:60,</v>
      </c>
    </row>
    <row r="858" spans="1:10">
      <c r="A858" s="4" t="str">
        <f t="shared" si="215"/>
        <v>41级紫项链法力值</v>
      </c>
      <c r="B858" s="4" t="s">
        <v>215</v>
      </c>
      <c r="C858" s="4" t="s">
        <v>119</v>
      </c>
      <c r="D858" s="4">
        <v>41</v>
      </c>
      <c r="E858" s="4" t="s">
        <v>75</v>
      </c>
      <c r="F858" s="4">
        <f>VLOOKUP(E858,基础属性ID!A:B,2,0)</f>
        <v>2</v>
      </c>
      <c r="G858" s="4">
        <f>VLOOKUP(E858,基础属性ID!$A:$E,5,0)</f>
        <v>100</v>
      </c>
      <c r="H858" s="4">
        <v>10</v>
      </c>
      <c r="I858" s="4">
        <v>20</v>
      </c>
      <c r="J858" s="4" t="str">
        <f t="shared" si="211"/>
        <v>2:100:10:20,</v>
      </c>
    </row>
    <row r="859" spans="1:10">
      <c r="A859" s="4" t="str">
        <f t="shared" si="215"/>
        <v>41级紫项链物理攻击</v>
      </c>
      <c r="B859" s="4" t="s">
        <v>215</v>
      </c>
      <c r="C859" s="4" t="s">
        <v>119</v>
      </c>
      <c r="D859" s="4">
        <v>41</v>
      </c>
      <c r="E859" s="4" t="s">
        <v>13</v>
      </c>
      <c r="F859" s="4">
        <f>VLOOKUP(E859,基础属性ID!A:B,2,0)</f>
        <v>3</v>
      </c>
      <c r="G859" s="4">
        <f>VLOOKUP(E859,基础属性ID!$A:$E,5,0)</f>
        <v>100</v>
      </c>
      <c r="H859" s="4">
        <v>7</v>
      </c>
      <c r="I859" s="4">
        <f t="shared" ref="I859:I862" si="219">H859*3</f>
        <v>21</v>
      </c>
      <c r="J859" s="4" t="str">
        <f t="shared" si="211"/>
        <v>3:100:7:21,</v>
      </c>
    </row>
    <row r="860" spans="1:10">
      <c r="A860" s="4" t="str">
        <f t="shared" si="215"/>
        <v>41级紫项链魔法攻击</v>
      </c>
      <c r="B860" s="4" t="s">
        <v>215</v>
      </c>
      <c r="C860" s="4" t="s">
        <v>119</v>
      </c>
      <c r="D860" s="4">
        <v>41</v>
      </c>
      <c r="E860" s="4" t="s">
        <v>14</v>
      </c>
      <c r="F860" s="4">
        <f>VLOOKUP(E860,基础属性ID!A:B,2,0)</f>
        <v>4</v>
      </c>
      <c r="G860" s="4">
        <f>VLOOKUP(E860,基础属性ID!$A:$E,5,0)</f>
        <v>100</v>
      </c>
      <c r="H860" s="4">
        <v>7</v>
      </c>
      <c r="I860" s="4">
        <f t="shared" si="219"/>
        <v>21</v>
      </c>
      <c r="J860" s="4" t="str">
        <f t="shared" si="211"/>
        <v>4:100:7:21,</v>
      </c>
    </row>
    <row r="861" spans="1:10">
      <c r="A861" s="4" t="str">
        <f t="shared" si="215"/>
        <v>41级紫项链道术攻击</v>
      </c>
      <c r="B861" s="4" t="s">
        <v>215</v>
      </c>
      <c r="C861" s="4" t="s">
        <v>119</v>
      </c>
      <c r="D861" s="4">
        <v>41</v>
      </c>
      <c r="E861" s="4" t="s">
        <v>15</v>
      </c>
      <c r="F861" s="4">
        <f>VLOOKUP(E861,基础属性ID!A:B,2,0)</f>
        <v>5</v>
      </c>
      <c r="G861" s="4">
        <f>VLOOKUP(E861,基础属性ID!$A:$E,5,0)</f>
        <v>100</v>
      </c>
      <c r="H861" s="4">
        <v>7</v>
      </c>
      <c r="I861" s="4">
        <f t="shared" si="219"/>
        <v>21</v>
      </c>
      <c r="J861" s="4" t="str">
        <f t="shared" si="211"/>
        <v>5:100:7:21,</v>
      </c>
    </row>
    <row r="862" spans="1:10">
      <c r="A862" s="4" t="str">
        <f t="shared" si="215"/>
        <v>41级紫项链防御</v>
      </c>
      <c r="B862" s="4" t="s">
        <v>215</v>
      </c>
      <c r="C862" s="4" t="s">
        <v>119</v>
      </c>
      <c r="D862" s="4">
        <v>41</v>
      </c>
      <c r="E862" s="4" t="s">
        <v>17</v>
      </c>
      <c r="F862" s="4">
        <f>VLOOKUP(E862,基础属性ID!A:B,2,0)</f>
        <v>6</v>
      </c>
      <c r="G862" s="4">
        <f>VLOOKUP(E862,基础属性ID!$A:$E,5,0)</f>
        <v>100</v>
      </c>
      <c r="H862" s="4">
        <v>7</v>
      </c>
      <c r="I862" s="4">
        <f t="shared" si="219"/>
        <v>21</v>
      </c>
      <c r="J862" s="4" t="str">
        <f t="shared" si="211"/>
        <v>6:100:7:21,</v>
      </c>
    </row>
    <row r="863" spans="1:10">
      <c r="A863" s="4" t="str">
        <f t="shared" si="215"/>
        <v>41级紫项链攻速</v>
      </c>
      <c r="B863" s="4" t="s">
        <v>215</v>
      </c>
      <c r="C863" s="4" t="s">
        <v>119</v>
      </c>
      <c r="D863" s="4">
        <v>41</v>
      </c>
      <c r="E863" s="4" t="s">
        <v>18</v>
      </c>
      <c r="F863" s="4">
        <f>VLOOKUP(E863,基础属性ID!A:B,2,0)</f>
        <v>7</v>
      </c>
      <c r="G863" s="4">
        <f>VLOOKUP(E863,基础属性ID!$A:$E,5,0)</f>
        <v>20</v>
      </c>
      <c r="H863" s="4">
        <v>1</v>
      </c>
      <c r="I863" s="4">
        <v>2</v>
      </c>
      <c r="J863" s="4" t="str">
        <f t="shared" si="211"/>
        <v>7:20:1:2,</v>
      </c>
    </row>
    <row r="864" spans="1:10">
      <c r="A864" s="4" t="str">
        <f t="shared" si="215"/>
        <v>41级紫项链幸运</v>
      </c>
      <c r="B864" s="4" t="s">
        <v>215</v>
      </c>
      <c r="C864" s="4" t="s">
        <v>119</v>
      </c>
      <c r="D864" s="4">
        <v>41</v>
      </c>
      <c r="E864" s="4" t="s">
        <v>19</v>
      </c>
      <c r="F864" s="4">
        <f>VLOOKUP(E864,基础属性ID!A:B,2,0)</f>
        <v>8</v>
      </c>
      <c r="G864" s="4">
        <f>VLOOKUP(E864,基础属性ID!$A:$E,5,0)</f>
        <v>20</v>
      </c>
      <c r="H864" s="4">
        <v>1</v>
      </c>
      <c r="I864" s="4">
        <v>3</v>
      </c>
      <c r="J864" s="4" t="str">
        <f t="shared" si="211"/>
        <v>8:20:1:3,</v>
      </c>
    </row>
    <row r="865" spans="1:10">
      <c r="A865" s="4" t="str">
        <f t="shared" si="215"/>
        <v>41级紫项链固定伤害</v>
      </c>
      <c r="B865" s="4" t="s">
        <v>215</v>
      </c>
      <c r="C865" s="4" t="s">
        <v>119</v>
      </c>
      <c r="D865" s="4">
        <v>41</v>
      </c>
      <c r="E865" s="4" t="s">
        <v>24</v>
      </c>
      <c r="F865" s="4">
        <f>VLOOKUP(E865,基础属性ID!A:B,2,0)</f>
        <v>9</v>
      </c>
      <c r="G865" s="4">
        <f>VLOOKUP(E865,基础属性ID!$A:$E,5,0)</f>
        <v>50</v>
      </c>
      <c r="H865" s="4">
        <v>5</v>
      </c>
      <c r="I865" s="4">
        <f t="shared" ref="I865:I866" si="220">H865*3</f>
        <v>15</v>
      </c>
      <c r="J865" s="4" t="str">
        <f t="shared" si="211"/>
        <v>9:50:5:15,</v>
      </c>
    </row>
    <row r="866" spans="1:10">
      <c r="A866" s="4" t="str">
        <f t="shared" si="215"/>
        <v>41级紫项链固定减伤</v>
      </c>
      <c r="B866" s="4" t="s">
        <v>215</v>
      </c>
      <c r="C866" s="4" t="s">
        <v>119</v>
      </c>
      <c r="D866" s="4">
        <v>41</v>
      </c>
      <c r="E866" s="4" t="s">
        <v>25</v>
      </c>
      <c r="F866" s="4">
        <f>VLOOKUP(E866,基础属性ID!A:B,2,0)</f>
        <v>10</v>
      </c>
      <c r="G866" s="4">
        <f>VLOOKUP(E866,基础属性ID!$A:$E,5,0)</f>
        <v>50</v>
      </c>
      <c r="H866" s="4">
        <v>5</v>
      </c>
      <c r="I866" s="4">
        <f t="shared" si="220"/>
        <v>15</v>
      </c>
      <c r="J866" s="4" t="str">
        <f t="shared" si="211"/>
        <v>10:50:5:15,</v>
      </c>
    </row>
    <row r="867" spans="1:10">
      <c r="A867" s="4" t="str">
        <f t="shared" si="215"/>
        <v>41级紫项链生命吸取</v>
      </c>
      <c r="B867" s="4" t="s">
        <v>215</v>
      </c>
      <c r="C867" s="4" t="s">
        <v>119</v>
      </c>
      <c r="D867" s="4">
        <v>41</v>
      </c>
      <c r="E867" s="4" t="s">
        <v>28</v>
      </c>
      <c r="F867" s="4">
        <f>VLOOKUP(E867,基础属性ID!A:B,2,0)</f>
        <v>11</v>
      </c>
      <c r="G867" s="4">
        <f>VLOOKUP(E867,基础属性ID!$A:$E,5,0)</f>
        <v>50</v>
      </c>
      <c r="H867" s="4">
        <v>4</v>
      </c>
      <c r="I867" s="4">
        <f t="shared" ref="I867:I868" si="221">H867*3</f>
        <v>12</v>
      </c>
      <c r="J867" s="4" t="str">
        <f t="shared" si="211"/>
        <v>11:50:4:12,</v>
      </c>
    </row>
    <row r="868" spans="1:10">
      <c r="A868" s="4" t="str">
        <f t="shared" si="215"/>
        <v>41级紫项链法力吸取</v>
      </c>
      <c r="B868" s="4" t="s">
        <v>215</v>
      </c>
      <c r="C868" s="4" t="s">
        <v>119</v>
      </c>
      <c r="D868" s="4">
        <v>41</v>
      </c>
      <c r="E868" s="4" t="s">
        <v>29</v>
      </c>
      <c r="F868" s="4">
        <f>VLOOKUP(E868,基础属性ID!A:B,2,0)</f>
        <v>12</v>
      </c>
      <c r="G868" s="4">
        <f>VLOOKUP(E868,基础属性ID!$A:$E,5,0)</f>
        <v>50</v>
      </c>
      <c r="H868" s="4">
        <v>4</v>
      </c>
      <c r="I868" s="4">
        <f t="shared" si="221"/>
        <v>12</v>
      </c>
      <c r="J868" s="4" t="str">
        <f t="shared" si="211"/>
        <v>12:50:4:12,</v>
      </c>
    </row>
    <row r="869" spans="1:10">
      <c r="A869" s="4" t="str">
        <f t="shared" si="215"/>
        <v>41级紫项链暴击几率</v>
      </c>
      <c r="B869" s="4" t="s">
        <v>215</v>
      </c>
      <c r="C869" s="4" t="s">
        <v>119</v>
      </c>
      <c r="D869" s="4">
        <v>41</v>
      </c>
      <c r="E869" s="4" t="s">
        <v>21</v>
      </c>
      <c r="F869" s="4">
        <f>VLOOKUP(E869,基础属性ID!A:B,2,0)</f>
        <v>13</v>
      </c>
      <c r="G869" s="4">
        <f>VLOOKUP(E869,基础属性ID!$A:$E,5,0)</f>
        <v>20</v>
      </c>
      <c r="H869" s="4">
        <v>50</v>
      </c>
      <c r="I869" s="4">
        <v>150</v>
      </c>
      <c r="J869" s="4" t="str">
        <f t="shared" si="211"/>
        <v>13:20:50:150,</v>
      </c>
    </row>
    <row r="870" spans="1:10">
      <c r="A870" s="4" t="str">
        <f t="shared" si="215"/>
        <v>41级紫项链爆击伤害</v>
      </c>
      <c r="B870" s="4" t="s">
        <v>215</v>
      </c>
      <c r="C870" s="4" t="s">
        <v>119</v>
      </c>
      <c r="D870" s="4">
        <v>41</v>
      </c>
      <c r="E870" s="4" t="s">
        <v>76</v>
      </c>
      <c r="F870" s="4">
        <f>VLOOKUP(E870,基础属性ID!A:B,2,0)</f>
        <v>14</v>
      </c>
      <c r="G870" s="4">
        <f>VLOOKUP(E870,基础属性ID!$A:$E,5,0)</f>
        <v>20</v>
      </c>
      <c r="H870" s="4">
        <v>3</v>
      </c>
      <c r="I870" s="4">
        <v>8</v>
      </c>
      <c r="J870" s="4" t="str">
        <f t="shared" si="211"/>
        <v>14:20:3:8,</v>
      </c>
    </row>
    <row r="871" spans="1:10">
      <c r="A871" s="4" t="str">
        <f t="shared" si="215"/>
        <v>41级紫项链伤害增加</v>
      </c>
      <c r="B871" s="4" t="s">
        <v>215</v>
      </c>
      <c r="C871" s="4" t="s">
        <v>119</v>
      </c>
      <c r="D871" s="4">
        <v>41</v>
      </c>
      <c r="E871" s="4" t="s">
        <v>26</v>
      </c>
      <c r="F871" s="4">
        <f>VLOOKUP(E871,基础属性ID!A:B,2,0)</f>
        <v>15</v>
      </c>
      <c r="G871" s="4">
        <f>VLOOKUP(E871,基础属性ID!$A:$E,5,0)</f>
        <v>10</v>
      </c>
      <c r="H871" s="4">
        <v>1</v>
      </c>
      <c r="I871" s="4">
        <v>2</v>
      </c>
      <c r="J871" s="4" t="str">
        <f t="shared" si="211"/>
        <v>15:10:1:2,</v>
      </c>
    </row>
    <row r="872" spans="1:10">
      <c r="A872" s="4" t="str">
        <f t="shared" si="215"/>
        <v>41级紫项链伤害减免</v>
      </c>
      <c r="B872" s="4" t="s">
        <v>215</v>
      </c>
      <c r="C872" s="4" t="s">
        <v>119</v>
      </c>
      <c r="D872" s="4">
        <v>41</v>
      </c>
      <c r="E872" s="4" t="s">
        <v>27</v>
      </c>
      <c r="F872" s="4">
        <f>VLOOKUP(E872,基础属性ID!A:B,2,0)</f>
        <v>16</v>
      </c>
      <c r="G872" s="4">
        <f>VLOOKUP(E872,基础属性ID!$A:$E,5,0)</f>
        <v>10</v>
      </c>
      <c r="H872" s="4">
        <v>1</v>
      </c>
      <c r="I872" s="4">
        <v>2</v>
      </c>
      <c r="J872" s="4" t="str">
        <f t="shared" si="211"/>
        <v>16:10:1:2,</v>
      </c>
    </row>
    <row r="873" spans="1:10">
      <c r="A873" s="4" t="str">
        <f t="shared" si="215"/>
        <v>41级紫项链装备掉率</v>
      </c>
      <c r="B873" s="4" t="s">
        <v>215</v>
      </c>
      <c r="C873" s="4" t="s">
        <v>119</v>
      </c>
      <c r="D873" s="4">
        <v>41</v>
      </c>
      <c r="E873" s="4" t="s">
        <v>30</v>
      </c>
      <c r="F873" s="4">
        <f>VLOOKUP(E873,基础属性ID!A:B,2,0)</f>
        <v>17</v>
      </c>
      <c r="G873" s="4">
        <f>VLOOKUP(E873,基础属性ID!$A:$E,5,0)</f>
        <v>60</v>
      </c>
      <c r="H873" s="4">
        <v>3</v>
      </c>
      <c r="I873" s="4">
        <v>9</v>
      </c>
      <c r="J873" s="4" t="str">
        <f t="shared" si="211"/>
        <v>17:60:3:9,</v>
      </c>
    </row>
    <row r="874" spans="1:10">
      <c r="A874" s="4" t="str">
        <f t="shared" si="215"/>
        <v>41级紫项链极品掉率</v>
      </c>
      <c r="B874" s="4" t="s">
        <v>215</v>
      </c>
      <c r="C874" s="4" t="s">
        <v>119</v>
      </c>
      <c r="D874" s="4">
        <v>41</v>
      </c>
      <c r="E874" s="4" t="s">
        <v>31</v>
      </c>
      <c r="F874" s="4">
        <f>VLOOKUP(E874,基础属性ID!A:B,2,0)</f>
        <v>18</v>
      </c>
      <c r="G874" s="4">
        <f>VLOOKUP(E874,基础属性ID!$A:$E,5,0)</f>
        <v>60</v>
      </c>
      <c r="H874" s="4">
        <v>3</v>
      </c>
      <c r="I874" s="4">
        <v>9</v>
      </c>
      <c r="J874" s="4" t="str">
        <f t="shared" si="211"/>
        <v>18:60:3:9,</v>
      </c>
    </row>
    <row r="875" spans="1:10">
      <c r="A875" s="4" t="str">
        <f t="shared" si="215"/>
        <v>61级紫项链生命值</v>
      </c>
      <c r="B875" s="4" t="s">
        <v>215</v>
      </c>
      <c r="C875" s="4" t="s">
        <v>119</v>
      </c>
      <c r="D875" s="4">
        <v>61</v>
      </c>
      <c r="E875" s="4" t="s">
        <v>74</v>
      </c>
      <c r="F875" s="4">
        <f>VLOOKUP(E875,基础属性ID!A:B,2,0)</f>
        <v>1</v>
      </c>
      <c r="G875" s="4">
        <f>VLOOKUP(E875,基础属性ID!$A:$E,5,0)</f>
        <v>100</v>
      </c>
      <c r="H875" s="4">
        <v>30</v>
      </c>
      <c r="I875" s="4">
        <f>H875*3</f>
        <v>90</v>
      </c>
      <c r="J875" s="4" t="str">
        <f t="shared" si="211"/>
        <v>1:100:30:90,</v>
      </c>
    </row>
    <row r="876" spans="1:10">
      <c r="A876" s="4" t="str">
        <f t="shared" si="215"/>
        <v>61级紫项链法力值</v>
      </c>
      <c r="B876" s="4" t="s">
        <v>215</v>
      </c>
      <c r="C876" s="4" t="s">
        <v>119</v>
      </c>
      <c r="D876" s="4">
        <v>61</v>
      </c>
      <c r="E876" s="4" t="s">
        <v>75</v>
      </c>
      <c r="F876" s="4">
        <f>VLOOKUP(E876,基础属性ID!A:B,2,0)</f>
        <v>2</v>
      </c>
      <c r="G876" s="4">
        <f>VLOOKUP(E876,基础属性ID!$A:$E,5,0)</f>
        <v>100</v>
      </c>
      <c r="H876" s="4">
        <v>12</v>
      </c>
      <c r="I876" s="4">
        <v>25</v>
      </c>
      <c r="J876" s="4" t="str">
        <f t="shared" si="211"/>
        <v>2:100:12:25,</v>
      </c>
    </row>
    <row r="877" spans="1:10">
      <c r="A877" s="4" t="str">
        <f t="shared" si="215"/>
        <v>61级紫项链物理攻击</v>
      </c>
      <c r="B877" s="4" t="s">
        <v>215</v>
      </c>
      <c r="C877" s="4" t="s">
        <v>119</v>
      </c>
      <c r="D877" s="4">
        <v>61</v>
      </c>
      <c r="E877" s="4" t="s">
        <v>13</v>
      </c>
      <c r="F877" s="4">
        <f>VLOOKUP(E877,基础属性ID!A:B,2,0)</f>
        <v>3</v>
      </c>
      <c r="G877" s="4">
        <f>VLOOKUP(E877,基础属性ID!$A:$E,5,0)</f>
        <v>100</v>
      </c>
      <c r="H877" s="4">
        <v>10</v>
      </c>
      <c r="I877" s="4">
        <f t="shared" ref="I877:I880" si="222">H877*3</f>
        <v>30</v>
      </c>
      <c r="J877" s="4" t="str">
        <f t="shared" ref="J877:J937" si="223">F877&amp;":"&amp;G877&amp;":"&amp;H877&amp;":"&amp;I877&amp;","</f>
        <v>3:100:10:30,</v>
      </c>
    </row>
    <row r="878" spans="1:10">
      <c r="A878" s="4" t="str">
        <f t="shared" si="215"/>
        <v>61级紫项链魔法攻击</v>
      </c>
      <c r="B878" s="4" t="s">
        <v>215</v>
      </c>
      <c r="C878" s="4" t="s">
        <v>119</v>
      </c>
      <c r="D878" s="4">
        <v>61</v>
      </c>
      <c r="E878" s="4" t="s">
        <v>14</v>
      </c>
      <c r="F878" s="4">
        <f>VLOOKUP(E878,基础属性ID!A:B,2,0)</f>
        <v>4</v>
      </c>
      <c r="G878" s="4">
        <f>VLOOKUP(E878,基础属性ID!$A:$E,5,0)</f>
        <v>100</v>
      </c>
      <c r="H878" s="4">
        <v>10</v>
      </c>
      <c r="I878" s="4">
        <f t="shared" si="222"/>
        <v>30</v>
      </c>
      <c r="J878" s="4" t="str">
        <f t="shared" si="223"/>
        <v>4:100:10:30,</v>
      </c>
    </row>
    <row r="879" spans="1:10">
      <c r="A879" s="4" t="str">
        <f t="shared" si="215"/>
        <v>61级紫项链道术攻击</v>
      </c>
      <c r="B879" s="4" t="s">
        <v>215</v>
      </c>
      <c r="C879" s="4" t="s">
        <v>119</v>
      </c>
      <c r="D879" s="4">
        <v>61</v>
      </c>
      <c r="E879" s="4" t="s">
        <v>15</v>
      </c>
      <c r="F879" s="4">
        <f>VLOOKUP(E879,基础属性ID!A:B,2,0)</f>
        <v>5</v>
      </c>
      <c r="G879" s="4">
        <f>VLOOKUP(E879,基础属性ID!$A:$E,5,0)</f>
        <v>100</v>
      </c>
      <c r="H879" s="4">
        <v>10</v>
      </c>
      <c r="I879" s="4">
        <f t="shared" si="222"/>
        <v>30</v>
      </c>
      <c r="J879" s="4" t="str">
        <f t="shared" si="223"/>
        <v>5:100:10:30,</v>
      </c>
    </row>
    <row r="880" spans="1:10">
      <c r="A880" s="4" t="str">
        <f t="shared" si="215"/>
        <v>61级紫项链防御</v>
      </c>
      <c r="B880" s="4" t="s">
        <v>215</v>
      </c>
      <c r="C880" s="4" t="s">
        <v>119</v>
      </c>
      <c r="D880" s="4">
        <v>61</v>
      </c>
      <c r="E880" s="4" t="s">
        <v>17</v>
      </c>
      <c r="F880" s="4">
        <f>VLOOKUP(E880,基础属性ID!A:B,2,0)</f>
        <v>6</v>
      </c>
      <c r="G880" s="4">
        <f>VLOOKUP(E880,基础属性ID!$A:$E,5,0)</f>
        <v>100</v>
      </c>
      <c r="H880" s="4">
        <v>10</v>
      </c>
      <c r="I880" s="4">
        <f t="shared" si="222"/>
        <v>30</v>
      </c>
      <c r="J880" s="4" t="str">
        <f t="shared" si="223"/>
        <v>6:100:10:30,</v>
      </c>
    </row>
    <row r="881" spans="1:10">
      <c r="A881" s="4" t="str">
        <f t="shared" si="215"/>
        <v>61级紫项链攻速</v>
      </c>
      <c r="B881" s="4" t="s">
        <v>215</v>
      </c>
      <c r="C881" s="4" t="s">
        <v>119</v>
      </c>
      <c r="D881" s="4">
        <v>61</v>
      </c>
      <c r="E881" s="4" t="s">
        <v>18</v>
      </c>
      <c r="F881" s="4">
        <f>VLOOKUP(E881,基础属性ID!A:B,2,0)</f>
        <v>7</v>
      </c>
      <c r="G881" s="4">
        <f>VLOOKUP(E881,基础属性ID!$A:$E,5,0)</f>
        <v>20</v>
      </c>
      <c r="H881" s="4">
        <v>1</v>
      </c>
      <c r="I881" s="4">
        <v>2</v>
      </c>
      <c r="J881" s="4" t="str">
        <f t="shared" si="223"/>
        <v>7:20:1:2,</v>
      </c>
    </row>
    <row r="882" spans="1:10">
      <c r="A882" s="4" t="str">
        <f t="shared" si="215"/>
        <v>61级紫项链幸运</v>
      </c>
      <c r="B882" s="4" t="s">
        <v>215</v>
      </c>
      <c r="C882" s="4" t="s">
        <v>119</v>
      </c>
      <c r="D882" s="4">
        <v>61</v>
      </c>
      <c r="E882" s="4" t="s">
        <v>19</v>
      </c>
      <c r="F882" s="4">
        <f>VLOOKUP(E882,基础属性ID!A:B,2,0)</f>
        <v>8</v>
      </c>
      <c r="G882" s="4">
        <f>VLOOKUP(E882,基础属性ID!$A:$E,5,0)</f>
        <v>20</v>
      </c>
      <c r="H882" s="4">
        <v>1</v>
      </c>
      <c r="I882" s="4">
        <v>3</v>
      </c>
      <c r="J882" s="4" t="str">
        <f t="shared" si="223"/>
        <v>8:20:1:3,</v>
      </c>
    </row>
    <row r="883" spans="1:10">
      <c r="A883" s="4" t="str">
        <f t="shared" si="215"/>
        <v>61级紫项链固定伤害</v>
      </c>
      <c r="B883" s="4" t="s">
        <v>215</v>
      </c>
      <c r="C883" s="4" t="s">
        <v>119</v>
      </c>
      <c r="D883" s="4">
        <v>61</v>
      </c>
      <c r="E883" s="4" t="s">
        <v>24</v>
      </c>
      <c r="F883" s="4">
        <f>VLOOKUP(E883,基础属性ID!A:B,2,0)</f>
        <v>9</v>
      </c>
      <c r="G883" s="4">
        <f>VLOOKUP(E883,基础属性ID!$A:$E,5,0)</f>
        <v>50</v>
      </c>
      <c r="H883" s="4">
        <v>6</v>
      </c>
      <c r="I883" s="4">
        <f t="shared" ref="I883:I884" si="224">H883*3</f>
        <v>18</v>
      </c>
      <c r="J883" s="4" t="str">
        <f t="shared" si="223"/>
        <v>9:50:6:18,</v>
      </c>
    </row>
    <row r="884" spans="1:10">
      <c r="A884" s="4" t="str">
        <f t="shared" si="215"/>
        <v>61级紫项链固定减伤</v>
      </c>
      <c r="B884" s="4" t="s">
        <v>215</v>
      </c>
      <c r="C884" s="4" t="s">
        <v>119</v>
      </c>
      <c r="D884" s="4">
        <v>61</v>
      </c>
      <c r="E884" s="4" t="s">
        <v>25</v>
      </c>
      <c r="F884" s="4">
        <f>VLOOKUP(E884,基础属性ID!A:B,2,0)</f>
        <v>10</v>
      </c>
      <c r="G884" s="4">
        <f>VLOOKUP(E884,基础属性ID!$A:$E,5,0)</f>
        <v>50</v>
      </c>
      <c r="H884" s="4">
        <v>6</v>
      </c>
      <c r="I884" s="4">
        <f t="shared" si="224"/>
        <v>18</v>
      </c>
      <c r="J884" s="4" t="str">
        <f t="shared" si="223"/>
        <v>10:50:6:18,</v>
      </c>
    </row>
    <row r="885" spans="1:10">
      <c r="A885" s="4" t="str">
        <f t="shared" si="215"/>
        <v>61级紫项链生命吸取</v>
      </c>
      <c r="B885" s="4" t="s">
        <v>215</v>
      </c>
      <c r="C885" s="4" t="s">
        <v>119</v>
      </c>
      <c r="D885" s="4">
        <v>61</v>
      </c>
      <c r="E885" s="4" t="s">
        <v>28</v>
      </c>
      <c r="F885" s="4">
        <f>VLOOKUP(E885,基础属性ID!A:B,2,0)</f>
        <v>11</v>
      </c>
      <c r="G885" s="4">
        <f>VLOOKUP(E885,基础属性ID!$A:$E,5,0)</f>
        <v>50</v>
      </c>
      <c r="H885" s="4">
        <v>5</v>
      </c>
      <c r="I885" s="4">
        <f t="shared" ref="I885:I886" si="225">H885*3</f>
        <v>15</v>
      </c>
      <c r="J885" s="4" t="str">
        <f t="shared" si="223"/>
        <v>11:50:5:15,</v>
      </c>
    </row>
    <row r="886" spans="1:10">
      <c r="A886" s="4" t="str">
        <f t="shared" si="215"/>
        <v>61级紫项链法力吸取</v>
      </c>
      <c r="B886" s="4" t="s">
        <v>215</v>
      </c>
      <c r="C886" s="4" t="s">
        <v>119</v>
      </c>
      <c r="D886" s="4">
        <v>61</v>
      </c>
      <c r="E886" s="4" t="s">
        <v>29</v>
      </c>
      <c r="F886" s="4">
        <f>VLOOKUP(E886,基础属性ID!A:B,2,0)</f>
        <v>12</v>
      </c>
      <c r="G886" s="4">
        <f>VLOOKUP(E886,基础属性ID!$A:$E,5,0)</f>
        <v>50</v>
      </c>
      <c r="H886" s="4">
        <v>5</v>
      </c>
      <c r="I886" s="4">
        <f t="shared" si="225"/>
        <v>15</v>
      </c>
      <c r="J886" s="4" t="str">
        <f t="shared" si="223"/>
        <v>12:50:5:15,</v>
      </c>
    </row>
    <row r="887" spans="1:10">
      <c r="A887" s="4" t="str">
        <f t="shared" si="215"/>
        <v>61级紫项链暴击几率</v>
      </c>
      <c r="B887" s="4" t="s">
        <v>215</v>
      </c>
      <c r="C887" s="4" t="s">
        <v>119</v>
      </c>
      <c r="D887" s="4">
        <v>61</v>
      </c>
      <c r="E887" s="4" t="s">
        <v>21</v>
      </c>
      <c r="F887" s="4">
        <f>VLOOKUP(E887,基础属性ID!A:B,2,0)</f>
        <v>13</v>
      </c>
      <c r="G887" s="4">
        <f>VLOOKUP(E887,基础属性ID!$A:$E,5,0)</f>
        <v>20</v>
      </c>
      <c r="H887" s="4">
        <v>50</v>
      </c>
      <c r="I887" s="4">
        <v>150</v>
      </c>
      <c r="J887" s="4" t="str">
        <f t="shared" si="223"/>
        <v>13:20:50:150,</v>
      </c>
    </row>
    <row r="888" spans="1:10">
      <c r="A888" s="4" t="str">
        <f t="shared" si="215"/>
        <v>61级紫项链爆击伤害</v>
      </c>
      <c r="B888" s="4" t="s">
        <v>215</v>
      </c>
      <c r="C888" s="4" t="s">
        <v>119</v>
      </c>
      <c r="D888" s="4">
        <v>61</v>
      </c>
      <c r="E888" s="4" t="s">
        <v>76</v>
      </c>
      <c r="F888" s="4">
        <f>VLOOKUP(E888,基础属性ID!A:B,2,0)</f>
        <v>14</v>
      </c>
      <c r="G888" s="4">
        <f>VLOOKUP(E888,基础属性ID!$A:$E,5,0)</f>
        <v>20</v>
      </c>
      <c r="H888" s="4">
        <v>3</v>
      </c>
      <c r="I888" s="4">
        <v>8</v>
      </c>
      <c r="J888" s="4" t="str">
        <f t="shared" si="223"/>
        <v>14:20:3:8,</v>
      </c>
    </row>
    <row r="889" spans="1:10">
      <c r="A889" s="4" t="str">
        <f t="shared" si="215"/>
        <v>61级紫项链伤害增加</v>
      </c>
      <c r="B889" s="4" t="s">
        <v>215</v>
      </c>
      <c r="C889" s="4" t="s">
        <v>119</v>
      </c>
      <c r="D889" s="4">
        <v>61</v>
      </c>
      <c r="E889" s="4" t="s">
        <v>26</v>
      </c>
      <c r="F889" s="4">
        <f>VLOOKUP(E889,基础属性ID!A:B,2,0)</f>
        <v>15</v>
      </c>
      <c r="G889" s="4">
        <f>VLOOKUP(E889,基础属性ID!$A:$E,5,0)</f>
        <v>10</v>
      </c>
      <c r="H889" s="4">
        <v>1</v>
      </c>
      <c r="I889" s="4">
        <v>2</v>
      </c>
      <c r="J889" s="4" t="str">
        <f t="shared" si="223"/>
        <v>15:10:1:2,</v>
      </c>
    </row>
    <row r="890" spans="1:10">
      <c r="A890" s="4" t="str">
        <f t="shared" si="215"/>
        <v>61级紫项链伤害减免</v>
      </c>
      <c r="B890" s="4" t="s">
        <v>215</v>
      </c>
      <c r="C890" s="4" t="s">
        <v>119</v>
      </c>
      <c r="D890" s="4">
        <v>61</v>
      </c>
      <c r="E890" s="4" t="s">
        <v>27</v>
      </c>
      <c r="F890" s="4">
        <f>VLOOKUP(E890,基础属性ID!A:B,2,0)</f>
        <v>16</v>
      </c>
      <c r="G890" s="4">
        <f>VLOOKUP(E890,基础属性ID!$A:$E,5,0)</f>
        <v>10</v>
      </c>
      <c r="H890" s="4">
        <v>1</v>
      </c>
      <c r="I890" s="4">
        <v>2</v>
      </c>
      <c r="J890" s="4" t="str">
        <f t="shared" si="223"/>
        <v>16:10:1:2,</v>
      </c>
    </row>
    <row r="891" spans="1:10">
      <c r="A891" s="4" t="str">
        <f t="shared" si="215"/>
        <v>61级紫项链装备掉率</v>
      </c>
      <c r="B891" s="4" t="s">
        <v>215</v>
      </c>
      <c r="C891" s="4" t="s">
        <v>119</v>
      </c>
      <c r="D891" s="4">
        <v>61</v>
      </c>
      <c r="E891" s="4" t="s">
        <v>30</v>
      </c>
      <c r="F891" s="4">
        <f>VLOOKUP(E891,基础属性ID!A:B,2,0)</f>
        <v>17</v>
      </c>
      <c r="G891" s="4">
        <f>VLOOKUP(E891,基础属性ID!$A:$E,5,0)</f>
        <v>60</v>
      </c>
      <c r="H891" s="4">
        <v>3</v>
      </c>
      <c r="I891" s="4">
        <v>9</v>
      </c>
      <c r="J891" s="4" t="str">
        <f t="shared" si="223"/>
        <v>17:60:3:9,</v>
      </c>
    </row>
    <row r="892" spans="1:10">
      <c r="A892" s="4" t="str">
        <f t="shared" si="215"/>
        <v>61级紫项链极品掉率</v>
      </c>
      <c r="B892" s="4" t="s">
        <v>215</v>
      </c>
      <c r="C892" s="4" t="s">
        <v>119</v>
      </c>
      <c r="D892" s="4">
        <v>61</v>
      </c>
      <c r="E892" s="4" t="s">
        <v>31</v>
      </c>
      <c r="F892" s="4">
        <f>VLOOKUP(E892,基础属性ID!A:B,2,0)</f>
        <v>18</v>
      </c>
      <c r="G892" s="4">
        <f>VLOOKUP(E892,基础属性ID!$A:$E,5,0)</f>
        <v>60</v>
      </c>
      <c r="H892" s="4">
        <v>3</v>
      </c>
      <c r="I892" s="4">
        <v>9</v>
      </c>
      <c r="J892" s="4" t="str">
        <f t="shared" si="223"/>
        <v>18:60:3:9,</v>
      </c>
    </row>
    <row r="893" spans="1:10">
      <c r="A893" s="4" t="str">
        <f t="shared" si="215"/>
        <v>21级紫手镯生命值</v>
      </c>
      <c r="B893" s="4" t="s">
        <v>218</v>
      </c>
      <c r="C893" s="4" t="s">
        <v>119</v>
      </c>
      <c r="D893" s="4">
        <v>21</v>
      </c>
      <c r="E893" s="4" t="s">
        <v>74</v>
      </c>
      <c r="F893" s="4">
        <f>VLOOKUP(E893,基础属性ID!A:B,2,0)</f>
        <v>1</v>
      </c>
      <c r="G893" s="4">
        <f>VLOOKUP(E893,基础属性ID!$A:$E,5,0)</f>
        <v>100</v>
      </c>
      <c r="H893" s="4">
        <v>12</v>
      </c>
      <c r="I893" s="4">
        <f>H893*3</f>
        <v>36</v>
      </c>
      <c r="J893" s="4" t="str">
        <f t="shared" si="223"/>
        <v>1:100:12:36,</v>
      </c>
    </row>
    <row r="894" spans="1:10">
      <c r="A894" s="4" t="str">
        <f t="shared" si="215"/>
        <v>21级紫手镯法力值</v>
      </c>
      <c r="B894" s="4" t="s">
        <v>218</v>
      </c>
      <c r="C894" s="4" t="s">
        <v>119</v>
      </c>
      <c r="D894" s="4">
        <v>21</v>
      </c>
      <c r="E894" s="4" t="s">
        <v>75</v>
      </c>
      <c r="F894" s="4">
        <f>VLOOKUP(E894,基础属性ID!A:B,2,0)</f>
        <v>2</v>
      </c>
      <c r="G894" s="4">
        <f>VLOOKUP(E894,基础属性ID!$A:$E,5,0)</f>
        <v>100</v>
      </c>
      <c r="H894" s="4">
        <v>8</v>
      </c>
      <c r="I894" s="4">
        <v>16</v>
      </c>
      <c r="J894" s="4" t="str">
        <f t="shared" si="223"/>
        <v>2:100:8:16,</v>
      </c>
    </row>
    <row r="895" spans="1:10">
      <c r="A895" s="4" t="str">
        <f t="shared" si="215"/>
        <v>21级紫手镯物理攻击</v>
      </c>
      <c r="B895" s="4" t="s">
        <v>218</v>
      </c>
      <c r="C895" s="4" t="s">
        <v>119</v>
      </c>
      <c r="D895" s="4">
        <v>21</v>
      </c>
      <c r="E895" s="4" t="s">
        <v>13</v>
      </c>
      <c r="F895" s="4">
        <f>VLOOKUP(E895,基础属性ID!A:B,2,0)</f>
        <v>3</v>
      </c>
      <c r="G895" s="4">
        <f>VLOOKUP(E895,基础属性ID!$A:$E,5,0)</f>
        <v>100</v>
      </c>
      <c r="H895" s="4">
        <v>5</v>
      </c>
      <c r="I895" s="4">
        <f t="shared" ref="I895:I898" si="226">H895*3</f>
        <v>15</v>
      </c>
      <c r="J895" s="4" t="str">
        <f t="shared" si="223"/>
        <v>3:100:5:15,</v>
      </c>
    </row>
    <row r="896" spans="1:10">
      <c r="A896" s="4" t="str">
        <f t="shared" si="215"/>
        <v>21级紫手镯魔法攻击</v>
      </c>
      <c r="B896" s="4" t="s">
        <v>218</v>
      </c>
      <c r="C896" s="4" t="s">
        <v>119</v>
      </c>
      <c r="D896" s="4">
        <v>21</v>
      </c>
      <c r="E896" s="4" t="s">
        <v>14</v>
      </c>
      <c r="F896" s="4">
        <f>VLOOKUP(E896,基础属性ID!A:B,2,0)</f>
        <v>4</v>
      </c>
      <c r="G896" s="4">
        <f>VLOOKUP(E896,基础属性ID!$A:$E,5,0)</f>
        <v>100</v>
      </c>
      <c r="H896" s="4">
        <v>5</v>
      </c>
      <c r="I896" s="4">
        <f t="shared" si="226"/>
        <v>15</v>
      </c>
      <c r="J896" s="4" t="str">
        <f t="shared" si="223"/>
        <v>4:100:5:15,</v>
      </c>
    </row>
    <row r="897" spans="1:10">
      <c r="A897" s="4" t="str">
        <f t="shared" si="215"/>
        <v>21级紫手镯道术攻击</v>
      </c>
      <c r="B897" s="4" t="s">
        <v>218</v>
      </c>
      <c r="C897" s="4" t="s">
        <v>119</v>
      </c>
      <c r="D897" s="4">
        <v>21</v>
      </c>
      <c r="E897" s="4" t="s">
        <v>15</v>
      </c>
      <c r="F897" s="4">
        <f>VLOOKUP(E897,基础属性ID!A:B,2,0)</f>
        <v>5</v>
      </c>
      <c r="G897" s="4">
        <f>VLOOKUP(E897,基础属性ID!$A:$E,5,0)</f>
        <v>100</v>
      </c>
      <c r="H897" s="4">
        <v>5</v>
      </c>
      <c r="I897" s="4">
        <f t="shared" si="226"/>
        <v>15</v>
      </c>
      <c r="J897" s="4" t="str">
        <f t="shared" si="223"/>
        <v>5:100:5:15,</v>
      </c>
    </row>
    <row r="898" spans="1:10">
      <c r="A898" s="4" t="str">
        <f t="shared" si="215"/>
        <v>21级紫手镯防御</v>
      </c>
      <c r="B898" s="4" t="s">
        <v>218</v>
      </c>
      <c r="C898" s="4" t="s">
        <v>119</v>
      </c>
      <c r="D898" s="4">
        <v>21</v>
      </c>
      <c r="E898" s="4" t="s">
        <v>17</v>
      </c>
      <c r="F898" s="4">
        <f>VLOOKUP(E898,基础属性ID!A:B,2,0)</f>
        <v>6</v>
      </c>
      <c r="G898" s="4">
        <f>VLOOKUP(E898,基础属性ID!$A:$E,5,0)</f>
        <v>100</v>
      </c>
      <c r="H898" s="4">
        <v>5</v>
      </c>
      <c r="I898" s="4">
        <f t="shared" si="226"/>
        <v>15</v>
      </c>
      <c r="J898" s="4" t="str">
        <f t="shared" si="223"/>
        <v>6:100:5:15,</v>
      </c>
    </row>
    <row r="899" spans="1:10">
      <c r="A899" s="4" t="str">
        <f t="shared" ref="A899:A962" si="227">D899&amp;"级"&amp;C899&amp;B899&amp;E899</f>
        <v>21级紫手镯攻速</v>
      </c>
      <c r="B899" s="4" t="s">
        <v>218</v>
      </c>
      <c r="C899" s="4" t="s">
        <v>119</v>
      </c>
      <c r="D899" s="4">
        <v>21</v>
      </c>
      <c r="E899" s="4" t="s">
        <v>18</v>
      </c>
      <c r="F899" s="4">
        <f>VLOOKUP(E899,基础属性ID!A:B,2,0)</f>
        <v>7</v>
      </c>
      <c r="G899" s="4">
        <f>VLOOKUP(E899,基础属性ID!$A:$E,5,0)</f>
        <v>20</v>
      </c>
      <c r="H899" s="4">
        <v>1</v>
      </c>
      <c r="I899" s="4">
        <v>2</v>
      </c>
      <c r="J899" s="4" t="str">
        <f t="shared" si="223"/>
        <v>7:20:1:2,</v>
      </c>
    </row>
    <row r="900" spans="1:10">
      <c r="A900" s="4" t="str">
        <f t="shared" si="227"/>
        <v>21级紫手镯固定伤害</v>
      </c>
      <c r="B900" s="4" t="s">
        <v>218</v>
      </c>
      <c r="C900" s="4" t="s">
        <v>119</v>
      </c>
      <c r="D900" s="4">
        <v>21</v>
      </c>
      <c r="E900" s="4" t="s">
        <v>24</v>
      </c>
      <c r="F900" s="4">
        <f>VLOOKUP(E900,基础属性ID!A:B,2,0)</f>
        <v>9</v>
      </c>
      <c r="G900" s="4">
        <f>VLOOKUP(E900,基础属性ID!$A:$E,5,0)</f>
        <v>50</v>
      </c>
      <c r="H900" s="4">
        <v>4</v>
      </c>
      <c r="I900" s="4">
        <f t="shared" ref="I900:I901" si="228">H900*3</f>
        <v>12</v>
      </c>
      <c r="J900" s="4" t="str">
        <f t="shared" si="223"/>
        <v>9:50:4:12,</v>
      </c>
    </row>
    <row r="901" spans="1:10">
      <c r="A901" s="4" t="str">
        <f t="shared" si="227"/>
        <v>21级紫手镯固定减伤</v>
      </c>
      <c r="B901" s="4" t="s">
        <v>218</v>
      </c>
      <c r="C901" s="4" t="s">
        <v>119</v>
      </c>
      <c r="D901" s="4">
        <v>21</v>
      </c>
      <c r="E901" s="4" t="s">
        <v>25</v>
      </c>
      <c r="F901" s="4">
        <f>VLOOKUP(E901,基础属性ID!A:B,2,0)</f>
        <v>10</v>
      </c>
      <c r="G901" s="4">
        <f>VLOOKUP(E901,基础属性ID!$A:$E,5,0)</f>
        <v>50</v>
      </c>
      <c r="H901" s="4">
        <v>4</v>
      </c>
      <c r="I901" s="4">
        <f t="shared" si="228"/>
        <v>12</v>
      </c>
      <c r="J901" s="4" t="str">
        <f t="shared" si="223"/>
        <v>10:50:4:12,</v>
      </c>
    </row>
    <row r="902" spans="1:10">
      <c r="A902" s="4" t="str">
        <f t="shared" si="227"/>
        <v>21级紫手镯生命吸取</v>
      </c>
      <c r="B902" s="4" t="s">
        <v>218</v>
      </c>
      <c r="C902" s="4" t="s">
        <v>119</v>
      </c>
      <c r="D902" s="4">
        <v>21</v>
      </c>
      <c r="E902" s="4" t="s">
        <v>28</v>
      </c>
      <c r="F902" s="4">
        <f>VLOOKUP(E902,基础属性ID!A:B,2,0)</f>
        <v>11</v>
      </c>
      <c r="G902" s="4">
        <f>VLOOKUP(E902,基础属性ID!$A:$E,5,0)</f>
        <v>50</v>
      </c>
      <c r="H902" s="4">
        <v>3</v>
      </c>
      <c r="I902" s="4">
        <f t="shared" ref="I902:I903" si="229">H902*3</f>
        <v>9</v>
      </c>
      <c r="J902" s="4" t="str">
        <f t="shared" si="223"/>
        <v>11:50:3:9,</v>
      </c>
    </row>
    <row r="903" spans="1:10">
      <c r="A903" s="4" t="str">
        <f t="shared" si="227"/>
        <v>21级紫手镯法力吸取</v>
      </c>
      <c r="B903" s="4" t="s">
        <v>218</v>
      </c>
      <c r="C903" s="4" t="s">
        <v>119</v>
      </c>
      <c r="D903" s="4">
        <v>21</v>
      </c>
      <c r="E903" s="4" t="s">
        <v>29</v>
      </c>
      <c r="F903" s="4">
        <f>VLOOKUP(E903,基础属性ID!A:B,2,0)</f>
        <v>12</v>
      </c>
      <c r="G903" s="4">
        <f>VLOOKUP(E903,基础属性ID!$A:$E,5,0)</f>
        <v>50</v>
      </c>
      <c r="H903" s="4">
        <v>3</v>
      </c>
      <c r="I903" s="4">
        <f t="shared" si="229"/>
        <v>9</v>
      </c>
      <c r="J903" s="4" t="str">
        <f t="shared" si="223"/>
        <v>12:50:3:9,</v>
      </c>
    </row>
    <row r="904" spans="1:10">
      <c r="A904" s="4" t="str">
        <f t="shared" si="227"/>
        <v>21级紫手镯暴击几率</v>
      </c>
      <c r="B904" s="4" t="s">
        <v>218</v>
      </c>
      <c r="C904" s="4" t="s">
        <v>119</v>
      </c>
      <c r="D904" s="4">
        <v>21</v>
      </c>
      <c r="E904" s="4" t="s">
        <v>21</v>
      </c>
      <c r="F904" s="4">
        <f>VLOOKUP(E904,基础属性ID!A:B,2,0)</f>
        <v>13</v>
      </c>
      <c r="G904" s="4">
        <f>VLOOKUP(E904,基础属性ID!$A:$E,5,0)</f>
        <v>20</v>
      </c>
      <c r="H904" s="4">
        <v>50</v>
      </c>
      <c r="I904" s="4">
        <v>150</v>
      </c>
      <c r="J904" s="4" t="str">
        <f t="shared" si="223"/>
        <v>13:20:50:150,</v>
      </c>
    </row>
    <row r="905" spans="1:10">
      <c r="A905" s="4" t="str">
        <f t="shared" si="227"/>
        <v>21级紫手镯爆击伤害</v>
      </c>
      <c r="B905" s="4" t="s">
        <v>218</v>
      </c>
      <c r="C905" s="4" t="s">
        <v>119</v>
      </c>
      <c r="D905" s="4">
        <v>21</v>
      </c>
      <c r="E905" s="4" t="s">
        <v>76</v>
      </c>
      <c r="F905" s="4">
        <f>VLOOKUP(E905,基础属性ID!A:B,2,0)</f>
        <v>14</v>
      </c>
      <c r="G905" s="4">
        <f>VLOOKUP(E905,基础属性ID!$A:$E,5,0)</f>
        <v>20</v>
      </c>
      <c r="H905" s="4">
        <v>3</v>
      </c>
      <c r="I905" s="4">
        <v>8</v>
      </c>
      <c r="J905" s="4" t="str">
        <f t="shared" si="223"/>
        <v>14:20:3:8,</v>
      </c>
    </row>
    <row r="906" spans="1:10">
      <c r="A906" s="4" t="str">
        <f t="shared" si="227"/>
        <v>21级紫手镯伤害增加</v>
      </c>
      <c r="B906" s="4" t="s">
        <v>218</v>
      </c>
      <c r="C906" s="4" t="s">
        <v>119</v>
      </c>
      <c r="D906" s="4">
        <v>21</v>
      </c>
      <c r="E906" s="4" t="s">
        <v>26</v>
      </c>
      <c r="F906" s="4">
        <f>VLOOKUP(E906,基础属性ID!A:B,2,0)</f>
        <v>15</v>
      </c>
      <c r="G906" s="4">
        <f>VLOOKUP(E906,基础属性ID!$A:$E,5,0)</f>
        <v>10</v>
      </c>
      <c r="H906" s="4">
        <v>1</v>
      </c>
      <c r="I906" s="4">
        <v>2</v>
      </c>
      <c r="J906" s="4" t="str">
        <f t="shared" si="223"/>
        <v>15:10:1:2,</v>
      </c>
    </row>
    <row r="907" spans="1:10">
      <c r="A907" s="4" t="str">
        <f t="shared" si="227"/>
        <v>21级紫手镯伤害减免</v>
      </c>
      <c r="B907" s="4" t="s">
        <v>218</v>
      </c>
      <c r="C907" s="4" t="s">
        <v>119</v>
      </c>
      <c r="D907" s="4">
        <v>21</v>
      </c>
      <c r="E907" s="4" t="s">
        <v>27</v>
      </c>
      <c r="F907" s="4">
        <f>VLOOKUP(E907,基础属性ID!A:B,2,0)</f>
        <v>16</v>
      </c>
      <c r="G907" s="4">
        <f>VLOOKUP(E907,基础属性ID!$A:$E,5,0)</f>
        <v>10</v>
      </c>
      <c r="H907" s="4">
        <v>1</v>
      </c>
      <c r="I907" s="4">
        <v>2</v>
      </c>
      <c r="J907" s="4" t="str">
        <f t="shared" si="223"/>
        <v>16:10:1:2,</v>
      </c>
    </row>
    <row r="908" spans="1:10">
      <c r="A908" s="4" t="str">
        <f t="shared" si="227"/>
        <v>21级紫手镯装备掉率</v>
      </c>
      <c r="B908" s="4" t="s">
        <v>218</v>
      </c>
      <c r="C908" s="4" t="s">
        <v>119</v>
      </c>
      <c r="D908" s="4">
        <v>21</v>
      </c>
      <c r="E908" s="4" t="s">
        <v>30</v>
      </c>
      <c r="F908" s="4">
        <f>VLOOKUP(E908,基础属性ID!A:B,2,0)</f>
        <v>17</v>
      </c>
      <c r="G908" s="4">
        <f>VLOOKUP(E908,基础属性ID!$A:$E,5,0)</f>
        <v>60</v>
      </c>
      <c r="H908" s="4">
        <v>3</v>
      </c>
      <c r="I908" s="4">
        <v>9</v>
      </c>
      <c r="J908" s="4" t="str">
        <f t="shared" si="223"/>
        <v>17:60:3:9,</v>
      </c>
    </row>
    <row r="909" spans="1:10">
      <c r="A909" s="4" t="str">
        <f t="shared" si="227"/>
        <v>21级紫手镯极品掉率</v>
      </c>
      <c r="B909" s="4" t="s">
        <v>218</v>
      </c>
      <c r="C909" s="4" t="s">
        <v>119</v>
      </c>
      <c r="D909" s="4">
        <v>21</v>
      </c>
      <c r="E909" s="4" t="s">
        <v>31</v>
      </c>
      <c r="F909" s="4">
        <f>VLOOKUP(E909,基础属性ID!A:B,2,0)</f>
        <v>18</v>
      </c>
      <c r="G909" s="4">
        <f>VLOOKUP(E909,基础属性ID!$A:$E,5,0)</f>
        <v>60</v>
      </c>
      <c r="H909" s="4">
        <v>3</v>
      </c>
      <c r="I909" s="4">
        <v>9</v>
      </c>
      <c r="J909" s="4" t="str">
        <f t="shared" si="223"/>
        <v>18:60:3:9,</v>
      </c>
    </row>
    <row r="910" spans="1:10">
      <c r="A910" s="4" t="str">
        <f t="shared" si="227"/>
        <v>41级紫手镯生命值</v>
      </c>
      <c r="B910" s="4" t="s">
        <v>218</v>
      </c>
      <c r="C910" s="4" t="s">
        <v>119</v>
      </c>
      <c r="D910" s="4">
        <v>41</v>
      </c>
      <c r="E910" s="4" t="s">
        <v>74</v>
      </c>
      <c r="F910" s="4">
        <f>VLOOKUP(E910,基础属性ID!A:B,2,0)</f>
        <v>1</v>
      </c>
      <c r="G910" s="4">
        <f>VLOOKUP(E910,基础属性ID!$A:$E,5,0)</f>
        <v>100</v>
      </c>
      <c r="H910" s="4">
        <v>20</v>
      </c>
      <c r="I910" s="4">
        <f>H910*3</f>
        <v>60</v>
      </c>
      <c r="J910" s="4" t="str">
        <f t="shared" si="223"/>
        <v>1:100:20:60,</v>
      </c>
    </row>
    <row r="911" spans="1:10">
      <c r="A911" s="4" t="str">
        <f t="shared" si="227"/>
        <v>41级紫手镯法力值</v>
      </c>
      <c r="B911" s="4" t="s">
        <v>218</v>
      </c>
      <c r="C911" s="4" t="s">
        <v>119</v>
      </c>
      <c r="D911" s="4">
        <v>41</v>
      </c>
      <c r="E911" s="4" t="s">
        <v>75</v>
      </c>
      <c r="F911" s="4">
        <f>VLOOKUP(E911,基础属性ID!A:B,2,0)</f>
        <v>2</v>
      </c>
      <c r="G911" s="4">
        <f>VLOOKUP(E911,基础属性ID!$A:$E,5,0)</f>
        <v>100</v>
      </c>
      <c r="H911" s="4">
        <v>10</v>
      </c>
      <c r="I911" s="4">
        <v>20</v>
      </c>
      <c r="J911" s="4" t="str">
        <f t="shared" si="223"/>
        <v>2:100:10:20,</v>
      </c>
    </row>
    <row r="912" spans="1:10">
      <c r="A912" s="4" t="str">
        <f t="shared" si="227"/>
        <v>41级紫手镯物理攻击</v>
      </c>
      <c r="B912" s="4" t="s">
        <v>218</v>
      </c>
      <c r="C912" s="4" t="s">
        <v>119</v>
      </c>
      <c r="D912" s="4">
        <v>41</v>
      </c>
      <c r="E912" s="4" t="s">
        <v>13</v>
      </c>
      <c r="F912" s="4">
        <f>VLOOKUP(E912,基础属性ID!A:B,2,0)</f>
        <v>3</v>
      </c>
      <c r="G912" s="4">
        <f>VLOOKUP(E912,基础属性ID!$A:$E,5,0)</f>
        <v>100</v>
      </c>
      <c r="H912" s="4">
        <v>7</v>
      </c>
      <c r="I912" s="4">
        <f t="shared" ref="I912:I915" si="230">H912*3</f>
        <v>21</v>
      </c>
      <c r="J912" s="4" t="str">
        <f t="shared" si="223"/>
        <v>3:100:7:21,</v>
      </c>
    </row>
    <row r="913" spans="1:10">
      <c r="A913" s="4" t="str">
        <f t="shared" si="227"/>
        <v>41级紫手镯魔法攻击</v>
      </c>
      <c r="B913" s="4" t="s">
        <v>218</v>
      </c>
      <c r="C913" s="4" t="s">
        <v>119</v>
      </c>
      <c r="D913" s="4">
        <v>41</v>
      </c>
      <c r="E913" s="4" t="s">
        <v>14</v>
      </c>
      <c r="F913" s="4">
        <f>VLOOKUP(E913,基础属性ID!A:B,2,0)</f>
        <v>4</v>
      </c>
      <c r="G913" s="4">
        <f>VLOOKUP(E913,基础属性ID!$A:$E,5,0)</f>
        <v>100</v>
      </c>
      <c r="H913" s="4">
        <v>7</v>
      </c>
      <c r="I913" s="4">
        <f t="shared" si="230"/>
        <v>21</v>
      </c>
      <c r="J913" s="4" t="str">
        <f t="shared" si="223"/>
        <v>4:100:7:21,</v>
      </c>
    </row>
    <row r="914" spans="1:10">
      <c r="A914" s="4" t="str">
        <f t="shared" si="227"/>
        <v>41级紫手镯道术攻击</v>
      </c>
      <c r="B914" s="4" t="s">
        <v>218</v>
      </c>
      <c r="C914" s="4" t="s">
        <v>119</v>
      </c>
      <c r="D914" s="4">
        <v>41</v>
      </c>
      <c r="E914" s="4" t="s">
        <v>15</v>
      </c>
      <c r="F914" s="4">
        <f>VLOOKUP(E914,基础属性ID!A:B,2,0)</f>
        <v>5</v>
      </c>
      <c r="G914" s="4">
        <f>VLOOKUP(E914,基础属性ID!$A:$E,5,0)</f>
        <v>100</v>
      </c>
      <c r="H914" s="4">
        <v>7</v>
      </c>
      <c r="I914" s="4">
        <f t="shared" si="230"/>
        <v>21</v>
      </c>
      <c r="J914" s="4" t="str">
        <f t="shared" si="223"/>
        <v>5:100:7:21,</v>
      </c>
    </row>
    <row r="915" spans="1:10">
      <c r="A915" s="4" t="str">
        <f t="shared" si="227"/>
        <v>41级紫手镯防御</v>
      </c>
      <c r="B915" s="4" t="s">
        <v>218</v>
      </c>
      <c r="C915" s="4" t="s">
        <v>119</v>
      </c>
      <c r="D915" s="4">
        <v>41</v>
      </c>
      <c r="E915" s="4" t="s">
        <v>17</v>
      </c>
      <c r="F915" s="4">
        <f>VLOOKUP(E915,基础属性ID!A:B,2,0)</f>
        <v>6</v>
      </c>
      <c r="G915" s="4">
        <f>VLOOKUP(E915,基础属性ID!$A:$E,5,0)</f>
        <v>100</v>
      </c>
      <c r="H915" s="4">
        <v>7</v>
      </c>
      <c r="I915" s="4">
        <f t="shared" si="230"/>
        <v>21</v>
      </c>
      <c r="J915" s="4" t="str">
        <f t="shared" si="223"/>
        <v>6:100:7:21,</v>
      </c>
    </row>
    <row r="916" spans="1:10">
      <c r="A916" s="4" t="str">
        <f t="shared" si="227"/>
        <v>41级紫手镯攻速</v>
      </c>
      <c r="B916" s="4" t="s">
        <v>218</v>
      </c>
      <c r="C916" s="4" t="s">
        <v>119</v>
      </c>
      <c r="D916" s="4">
        <v>41</v>
      </c>
      <c r="E916" s="4" t="s">
        <v>18</v>
      </c>
      <c r="F916" s="4">
        <f>VLOOKUP(E916,基础属性ID!A:B,2,0)</f>
        <v>7</v>
      </c>
      <c r="G916" s="4">
        <f>VLOOKUP(E916,基础属性ID!$A:$E,5,0)</f>
        <v>20</v>
      </c>
      <c r="H916" s="4">
        <v>1</v>
      </c>
      <c r="I916" s="4">
        <v>2</v>
      </c>
      <c r="J916" s="4" t="str">
        <f t="shared" si="223"/>
        <v>7:20:1:2,</v>
      </c>
    </row>
    <row r="917" spans="1:10">
      <c r="A917" s="4" t="str">
        <f t="shared" si="227"/>
        <v>41级紫手镯固定伤害</v>
      </c>
      <c r="B917" s="4" t="s">
        <v>218</v>
      </c>
      <c r="C917" s="4" t="s">
        <v>119</v>
      </c>
      <c r="D917" s="4">
        <v>41</v>
      </c>
      <c r="E917" s="4" t="s">
        <v>24</v>
      </c>
      <c r="F917" s="4">
        <f>VLOOKUP(E917,基础属性ID!A:B,2,0)</f>
        <v>9</v>
      </c>
      <c r="G917" s="4">
        <f>VLOOKUP(E917,基础属性ID!$A:$E,5,0)</f>
        <v>50</v>
      </c>
      <c r="H917" s="4">
        <v>5</v>
      </c>
      <c r="I917" s="4">
        <f t="shared" ref="I917:I918" si="231">H917*3</f>
        <v>15</v>
      </c>
      <c r="J917" s="4" t="str">
        <f t="shared" si="223"/>
        <v>9:50:5:15,</v>
      </c>
    </row>
    <row r="918" spans="1:10">
      <c r="A918" s="4" t="str">
        <f t="shared" si="227"/>
        <v>41级紫手镯固定减伤</v>
      </c>
      <c r="B918" s="4" t="s">
        <v>218</v>
      </c>
      <c r="C918" s="4" t="s">
        <v>119</v>
      </c>
      <c r="D918" s="4">
        <v>41</v>
      </c>
      <c r="E918" s="4" t="s">
        <v>25</v>
      </c>
      <c r="F918" s="4">
        <f>VLOOKUP(E918,基础属性ID!A:B,2,0)</f>
        <v>10</v>
      </c>
      <c r="G918" s="4">
        <f>VLOOKUP(E918,基础属性ID!$A:$E,5,0)</f>
        <v>50</v>
      </c>
      <c r="H918" s="4">
        <v>5</v>
      </c>
      <c r="I918" s="4">
        <f t="shared" si="231"/>
        <v>15</v>
      </c>
      <c r="J918" s="4" t="str">
        <f t="shared" si="223"/>
        <v>10:50:5:15,</v>
      </c>
    </row>
    <row r="919" spans="1:10">
      <c r="A919" s="4" t="str">
        <f t="shared" si="227"/>
        <v>41级紫手镯生命吸取</v>
      </c>
      <c r="B919" s="4" t="s">
        <v>218</v>
      </c>
      <c r="C919" s="4" t="s">
        <v>119</v>
      </c>
      <c r="D919" s="4">
        <v>41</v>
      </c>
      <c r="E919" s="4" t="s">
        <v>28</v>
      </c>
      <c r="F919" s="4">
        <f>VLOOKUP(E919,基础属性ID!A:B,2,0)</f>
        <v>11</v>
      </c>
      <c r="G919" s="4">
        <f>VLOOKUP(E919,基础属性ID!$A:$E,5,0)</f>
        <v>50</v>
      </c>
      <c r="H919" s="4">
        <v>4</v>
      </c>
      <c r="I919" s="4">
        <f t="shared" ref="I919:I920" si="232">H919*3</f>
        <v>12</v>
      </c>
      <c r="J919" s="4" t="str">
        <f t="shared" si="223"/>
        <v>11:50:4:12,</v>
      </c>
    </row>
    <row r="920" spans="1:10">
      <c r="A920" s="4" t="str">
        <f t="shared" si="227"/>
        <v>41级紫手镯法力吸取</v>
      </c>
      <c r="B920" s="4" t="s">
        <v>218</v>
      </c>
      <c r="C920" s="4" t="s">
        <v>119</v>
      </c>
      <c r="D920" s="4">
        <v>41</v>
      </c>
      <c r="E920" s="4" t="s">
        <v>29</v>
      </c>
      <c r="F920" s="4">
        <f>VLOOKUP(E920,基础属性ID!A:B,2,0)</f>
        <v>12</v>
      </c>
      <c r="G920" s="4">
        <f>VLOOKUP(E920,基础属性ID!$A:$E,5,0)</f>
        <v>50</v>
      </c>
      <c r="H920" s="4">
        <v>4</v>
      </c>
      <c r="I920" s="4">
        <f t="shared" si="232"/>
        <v>12</v>
      </c>
      <c r="J920" s="4" t="str">
        <f t="shared" si="223"/>
        <v>12:50:4:12,</v>
      </c>
    </row>
    <row r="921" spans="1:10">
      <c r="A921" s="4" t="str">
        <f t="shared" si="227"/>
        <v>41级紫手镯暴击几率</v>
      </c>
      <c r="B921" s="4" t="s">
        <v>218</v>
      </c>
      <c r="C921" s="4" t="s">
        <v>119</v>
      </c>
      <c r="D921" s="4">
        <v>41</v>
      </c>
      <c r="E921" s="4" t="s">
        <v>21</v>
      </c>
      <c r="F921" s="4">
        <f>VLOOKUP(E921,基础属性ID!A:B,2,0)</f>
        <v>13</v>
      </c>
      <c r="G921" s="4">
        <f>VLOOKUP(E921,基础属性ID!$A:$E,5,0)</f>
        <v>20</v>
      </c>
      <c r="H921" s="4">
        <v>50</v>
      </c>
      <c r="I921" s="4">
        <v>150</v>
      </c>
      <c r="J921" s="4" t="str">
        <f t="shared" si="223"/>
        <v>13:20:50:150,</v>
      </c>
    </row>
    <row r="922" spans="1:10">
      <c r="A922" s="4" t="str">
        <f t="shared" si="227"/>
        <v>41级紫手镯爆击伤害</v>
      </c>
      <c r="B922" s="4" t="s">
        <v>218</v>
      </c>
      <c r="C922" s="4" t="s">
        <v>119</v>
      </c>
      <c r="D922" s="4">
        <v>41</v>
      </c>
      <c r="E922" s="4" t="s">
        <v>76</v>
      </c>
      <c r="F922" s="4">
        <f>VLOOKUP(E922,基础属性ID!A:B,2,0)</f>
        <v>14</v>
      </c>
      <c r="G922" s="4">
        <f>VLOOKUP(E922,基础属性ID!$A:$E,5,0)</f>
        <v>20</v>
      </c>
      <c r="H922" s="4">
        <v>3</v>
      </c>
      <c r="I922" s="4">
        <v>8</v>
      </c>
      <c r="J922" s="4" t="str">
        <f t="shared" si="223"/>
        <v>14:20:3:8,</v>
      </c>
    </row>
    <row r="923" spans="1:10">
      <c r="A923" s="4" t="str">
        <f t="shared" si="227"/>
        <v>41级紫手镯伤害增加</v>
      </c>
      <c r="B923" s="4" t="s">
        <v>218</v>
      </c>
      <c r="C923" s="4" t="s">
        <v>119</v>
      </c>
      <c r="D923" s="4">
        <v>41</v>
      </c>
      <c r="E923" s="4" t="s">
        <v>26</v>
      </c>
      <c r="F923" s="4">
        <f>VLOOKUP(E923,基础属性ID!A:B,2,0)</f>
        <v>15</v>
      </c>
      <c r="G923" s="4">
        <f>VLOOKUP(E923,基础属性ID!$A:$E,5,0)</f>
        <v>10</v>
      </c>
      <c r="H923" s="4">
        <v>1</v>
      </c>
      <c r="I923" s="4">
        <v>2</v>
      </c>
      <c r="J923" s="4" t="str">
        <f t="shared" si="223"/>
        <v>15:10:1:2,</v>
      </c>
    </row>
    <row r="924" spans="1:10">
      <c r="A924" s="4" t="str">
        <f t="shared" si="227"/>
        <v>41级紫手镯伤害减免</v>
      </c>
      <c r="B924" s="4" t="s">
        <v>218</v>
      </c>
      <c r="C924" s="4" t="s">
        <v>119</v>
      </c>
      <c r="D924" s="4">
        <v>41</v>
      </c>
      <c r="E924" s="4" t="s">
        <v>27</v>
      </c>
      <c r="F924" s="4">
        <f>VLOOKUP(E924,基础属性ID!A:B,2,0)</f>
        <v>16</v>
      </c>
      <c r="G924" s="4">
        <f>VLOOKUP(E924,基础属性ID!$A:$E,5,0)</f>
        <v>10</v>
      </c>
      <c r="H924" s="4">
        <v>1</v>
      </c>
      <c r="I924" s="4">
        <v>2</v>
      </c>
      <c r="J924" s="4" t="str">
        <f t="shared" si="223"/>
        <v>16:10:1:2,</v>
      </c>
    </row>
    <row r="925" spans="1:10">
      <c r="A925" s="4" t="str">
        <f t="shared" si="227"/>
        <v>41级紫手镯装备掉率</v>
      </c>
      <c r="B925" s="4" t="s">
        <v>218</v>
      </c>
      <c r="C925" s="4" t="s">
        <v>119</v>
      </c>
      <c r="D925" s="4">
        <v>41</v>
      </c>
      <c r="E925" s="4" t="s">
        <v>30</v>
      </c>
      <c r="F925" s="4">
        <f>VLOOKUP(E925,基础属性ID!A:B,2,0)</f>
        <v>17</v>
      </c>
      <c r="G925" s="4">
        <f>VLOOKUP(E925,基础属性ID!$A:$E,5,0)</f>
        <v>60</v>
      </c>
      <c r="H925" s="4">
        <v>3</v>
      </c>
      <c r="I925" s="4">
        <v>9</v>
      </c>
      <c r="J925" s="4" t="str">
        <f t="shared" si="223"/>
        <v>17:60:3:9,</v>
      </c>
    </row>
    <row r="926" spans="1:10">
      <c r="A926" s="4" t="str">
        <f t="shared" si="227"/>
        <v>41级紫手镯极品掉率</v>
      </c>
      <c r="B926" s="4" t="s">
        <v>218</v>
      </c>
      <c r="C926" s="4" t="s">
        <v>119</v>
      </c>
      <c r="D926" s="4">
        <v>41</v>
      </c>
      <c r="E926" s="4" t="s">
        <v>31</v>
      </c>
      <c r="F926" s="4">
        <f>VLOOKUP(E926,基础属性ID!A:B,2,0)</f>
        <v>18</v>
      </c>
      <c r="G926" s="4">
        <f>VLOOKUP(E926,基础属性ID!$A:$E,5,0)</f>
        <v>60</v>
      </c>
      <c r="H926" s="4">
        <v>3</v>
      </c>
      <c r="I926" s="4">
        <v>9</v>
      </c>
      <c r="J926" s="4" t="str">
        <f t="shared" si="223"/>
        <v>18:60:3:9,</v>
      </c>
    </row>
    <row r="927" spans="1:10">
      <c r="A927" s="4" t="str">
        <f t="shared" si="227"/>
        <v>61级紫手镯生命值</v>
      </c>
      <c r="B927" s="4" t="s">
        <v>218</v>
      </c>
      <c r="C927" s="4" t="s">
        <v>119</v>
      </c>
      <c r="D927" s="4">
        <v>61</v>
      </c>
      <c r="E927" s="4" t="s">
        <v>74</v>
      </c>
      <c r="F927" s="4">
        <f>VLOOKUP(E927,基础属性ID!A:B,2,0)</f>
        <v>1</v>
      </c>
      <c r="G927" s="4">
        <f>VLOOKUP(E927,基础属性ID!$A:$E,5,0)</f>
        <v>100</v>
      </c>
      <c r="H927" s="4">
        <v>30</v>
      </c>
      <c r="I927" s="4">
        <f>H927*3</f>
        <v>90</v>
      </c>
      <c r="J927" s="4" t="str">
        <f t="shared" si="223"/>
        <v>1:100:30:90,</v>
      </c>
    </row>
    <row r="928" spans="1:10">
      <c r="A928" s="4" t="str">
        <f t="shared" si="227"/>
        <v>61级紫手镯法力值</v>
      </c>
      <c r="B928" s="4" t="s">
        <v>218</v>
      </c>
      <c r="C928" s="4" t="s">
        <v>119</v>
      </c>
      <c r="D928" s="4">
        <v>61</v>
      </c>
      <c r="E928" s="4" t="s">
        <v>75</v>
      </c>
      <c r="F928" s="4">
        <f>VLOOKUP(E928,基础属性ID!A:B,2,0)</f>
        <v>2</v>
      </c>
      <c r="G928" s="4">
        <f>VLOOKUP(E928,基础属性ID!$A:$E,5,0)</f>
        <v>100</v>
      </c>
      <c r="H928" s="4">
        <v>12</v>
      </c>
      <c r="I928" s="4">
        <v>25</v>
      </c>
      <c r="J928" s="4" t="str">
        <f t="shared" si="223"/>
        <v>2:100:12:25,</v>
      </c>
    </row>
    <row r="929" spans="1:10">
      <c r="A929" s="4" t="str">
        <f t="shared" si="227"/>
        <v>61级紫手镯物理攻击</v>
      </c>
      <c r="B929" s="4" t="s">
        <v>218</v>
      </c>
      <c r="C929" s="4" t="s">
        <v>119</v>
      </c>
      <c r="D929" s="4">
        <v>61</v>
      </c>
      <c r="E929" s="4" t="s">
        <v>13</v>
      </c>
      <c r="F929" s="4">
        <f>VLOOKUP(E929,基础属性ID!A:B,2,0)</f>
        <v>3</v>
      </c>
      <c r="G929" s="4">
        <f>VLOOKUP(E929,基础属性ID!$A:$E,5,0)</f>
        <v>100</v>
      </c>
      <c r="H929" s="4">
        <v>10</v>
      </c>
      <c r="I929" s="4">
        <f t="shared" ref="I929:I932" si="233">H929*3</f>
        <v>30</v>
      </c>
      <c r="J929" s="4" t="str">
        <f t="shared" si="223"/>
        <v>3:100:10:30,</v>
      </c>
    </row>
    <row r="930" spans="1:10">
      <c r="A930" s="4" t="str">
        <f t="shared" si="227"/>
        <v>61级紫手镯魔法攻击</v>
      </c>
      <c r="B930" s="4" t="s">
        <v>218</v>
      </c>
      <c r="C930" s="4" t="s">
        <v>119</v>
      </c>
      <c r="D930" s="4">
        <v>61</v>
      </c>
      <c r="E930" s="4" t="s">
        <v>14</v>
      </c>
      <c r="F930" s="4">
        <f>VLOOKUP(E930,基础属性ID!A:B,2,0)</f>
        <v>4</v>
      </c>
      <c r="G930" s="4">
        <f>VLOOKUP(E930,基础属性ID!$A:$E,5,0)</f>
        <v>100</v>
      </c>
      <c r="H930" s="4">
        <v>10</v>
      </c>
      <c r="I930" s="4">
        <f t="shared" si="233"/>
        <v>30</v>
      </c>
      <c r="J930" s="4" t="str">
        <f t="shared" si="223"/>
        <v>4:100:10:30,</v>
      </c>
    </row>
    <row r="931" spans="1:10">
      <c r="A931" s="4" t="str">
        <f t="shared" si="227"/>
        <v>61级紫手镯道术攻击</v>
      </c>
      <c r="B931" s="4" t="s">
        <v>218</v>
      </c>
      <c r="C931" s="4" t="s">
        <v>119</v>
      </c>
      <c r="D931" s="4">
        <v>61</v>
      </c>
      <c r="E931" s="4" t="s">
        <v>15</v>
      </c>
      <c r="F931" s="4">
        <f>VLOOKUP(E931,基础属性ID!A:B,2,0)</f>
        <v>5</v>
      </c>
      <c r="G931" s="4">
        <f>VLOOKUP(E931,基础属性ID!$A:$E,5,0)</f>
        <v>100</v>
      </c>
      <c r="H931" s="4">
        <v>10</v>
      </c>
      <c r="I931" s="4">
        <f t="shared" si="233"/>
        <v>30</v>
      </c>
      <c r="J931" s="4" t="str">
        <f t="shared" si="223"/>
        <v>5:100:10:30,</v>
      </c>
    </row>
    <row r="932" spans="1:10">
      <c r="A932" s="4" t="str">
        <f t="shared" si="227"/>
        <v>61级紫手镯防御</v>
      </c>
      <c r="B932" s="4" t="s">
        <v>218</v>
      </c>
      <c r="C932" s="4" t="s">
        <v>119</v>
      </c>
      <c r="D932" s="4">
        <v>61</v>
      </c>
      <c r="E932" s="4" t="s">
        <v>17</v>
      </c>
      <c r="F932" s="4">
        <f>VLOOKUP(E932,基础属性ID!A:B,2,0)</f>
        <v>6</v>
      </c>
      <c r="G932" s="4">
        <f>VLOOKUP(E932,基础属性ID!$A:$E,5,0)</f>
        <v>100</v>
      </c>
      <c r="H932" s="4">
        <v>10</v>
      </c>
      <c r="I932" s="4">
        <f t="shared" si="233"/>
        <v>30</v>
      </c>
      <c r="J932" s="4" t="str">
        <f t="shared" si="223"/>
        <v>6:100:10:30,</v>
      </c>
    </row>
    <row r="933" spans="1:10">
      <c r="A933" s="4" t="str">
        <f t="shared" si="227"/>
        <v>61级紫手镯攻速</v>
      </c>
      <c r="B933" s="4" t="s">
        <v>218</v>
      </c>
      <c r="C933" s="4" t="s">
        <v>119</v>
      </c>
      <c r="D933" s="4">
        <v>61</v>
      </c>
      <c r="E933" s="4" t="s">
        <v>18</v>
      </c>
      <c r="F933" s="4">
        <f>VLOOKUP(E933,基础属性ID!A:B,2,0)</f>
        <v>7</v>
      </c>
      <c r="G933" s="4">
        <f>VLOOKUP(E933,基础属性ID!$A:$E,5,0)</f>
        <v>20</v>
      </c>
      <c r="H933" s="4">
        <v>1</v>
      </c>
      <c r="I933" s="4">
        <v>2</v>
      </c>
      <c r="J933" s="4" t="str">
        <f t="shared" si="223"/>
        <v>7:20:1:2,</v>
      </c>
    </row>
    <row r="934" spans="1:10">
      <c r="A934" s="4" t="str">
        <f t="shared" si="227"/>
        <v>61级紫手镯固定伤害</v>
      </c>
      <c r="B934" s="4" t="s">
        <v>218</v>
      </c>
      <c r="C934" s="4" t="s">
        <v>119</v>
      </c>
      <c r="D934" s="4">
        <v>61</v>
      </c>
      <c r="E934" s="4" t="s">
        <v>24</v>
      </c>
      <c r="F934" s="4">
        <f>VLOOKUP(E934,基础属性ID!A:B,2,0)</f>
        <v>9</v>
      </c>
      <c r="G934" s="4">
        <f>VLOOKUP(E934,基础属性ID!$A:$E,5,0)</f>
        <v>50</v>
      </c>
      <c r="H934" s="4">
        <v>6</v>
      </c>
      <c r="I934" s="4">
        <f t="shared" ref="I934:I935" si="234">H934*3</f>
        <v>18</v>
      </c>
      <c r="J934" s="4" t="str">
        <f t="shared" si="223"/>
        <v>9:50:6:18,</v>
      </c>
    </row>
    <row r="935" spans="1:10">
      <c r="A935" s="4" t="str">
        <f t="shared" si="227"/>
        <v>61级紫手镯固定减伤</v>
      </c>
      <c r="B935" s="4" t="s">
        <v>218</v>
      </c>
      <c r="C935" s="4" t="s">
        <v>119</v>
      </c>
      <c r="D935" s="4">
        <v>61</v>
      </c>
      <c r="E935" s="4" t="s">
        <v>25</v>
      </c>
      <c r="F935" s="4">
        <f>VLOOKUP(E935,基础属性ID!A:B,2,0)</f>
        <v>10</v>
      </c>
      <c r="G935" s="4">
        <f>VLOOKUP(E935,基础属性ID!$A:$E,5,0)</f>
        <v>50</v>
      </c>
      <c r="H935" s="4">
        <v>6</v>
      </c>
      <c r="I935" s="4">
        <f t="shared" si="234"/>
        <v>18</v>
      </c>
      <c r="J935" s="4" t="str">
        <f t="shared" si="223"/>
        <v>10:50:6:18,</v>
      </c>
    </row>
    <row r="936" spans="1:10">
      <c r="A936" s="4" t="str">
        <f t="shared" si="227"/>
        <v>61级紫手镯生命吸取</v>
      </c>
      <c r="B936" s="4" t="s">
        <v>218</v>
      </c>
      <c r="C936" s="4" t="s">
        <v>119</v>
      </c>
      <c r="D936" s="4">
        <v>61</v>
      </c>
      <c r="E936" s="4" t="s">
        <v>28</v>
      </c>
      <c r="F936" s="4">
        <f>VLOOKUP(E936,基础属性ID!A:B,2,0)</f>
        <v>11</v>
      </c>
      <c r="G936" s="4">
        <f>VLOOKUP(E936,基础属性ID!$A:$E,5,0)</f>
        <v>50</v>
      </c>
      <c r="H936" s="4">
        <v>5</v>
      </c>
      <c r="I936" s="4">
        <f t="shared" ref="I936:I937" si="235">H936*3</f>
        <v>15</v>
      </c>
      <c r="J936" s="4" t="str">
        <f t="shared" si="223"/>
        <v>11:50:5:15,</v>
      </c>
    </row>
    <row r="937" spans="1:10">
      <c r="A937" s="4" t="str">
        <f t="shared" si="227"/>
        <v>61级紫手镯法力吸取</v>
      </c>
      <c r="B937" s="4" t="s">
        <v>218</v>
      </c>
      <c r="C937" s="4" t="s">
        <v>119</v>
      </c>
      <c r="D937" s="4">
        <v>61</v>
      </c>
      <c r="E937" s="4" t="s">
        <v>29</v>
      </c>
      <c r="F937" s="4">
        <f>VLOOKUP(E937,基础属性ID!A:B,2,0)</f>
        <v>12</v>
      </c>
      <c r="G937" s="4">
        <f>VLOOKUP(E937,基础属性ID!$A:$E,5,0)</f>
        <v>50</v>
      </c>
      <c r="H937" s="4">
        <v>5</v>
      </c>
      <c r="I937" s="4">
        <f t="shared" si="235"/>
        <v>15</v>
      </c>
      <c r="J937" s="4" t="str">
        <f t="shared" si="223"/>
        <v>12:50:5:15,</v>
      </c>
    </row>
    <row r="938" spans="1:10">
      <c r="A938" s="4" t="str">
        <f t="shared" si="227"/>
        <v>61级紫手镯暴击几率</v>
      </c>
      <c r="B938" s="4" t="s">
        <v>218</v>
      </c>
      <c r="C938" s="4" t="s">
        <v>119</v>
      </c>
      <c r="D938" s="4">
        <v>61</v>
      </c>
      <c r="E938" s="4" t="s">
        <v>21</v>
      </c>
      <c r="F938" s="4">
        <f>VLOOKUP(E938,基础属性ID!A:B,2,0)</f>
        <v>13</v>
      </c>
      <c r="G938" s="4">
        <f>VLOOKUP(E938,基础属性ID!$A:$E,5,0)</f>
        <v>20</v>
      </c>
      <c r="H938" s="4">
        <v>50</v>
      </c>
      <c r="I938" s="4">
        <v>150</v>
      </c>
      <c r="J938" s="4" t="str">
        <f t="shared" ref="J938:J998" si="236">F938&amp;":"&amp;G938&amp;":"&amp;H938&amp;":"&amp;I938&amp;","</f>
        <v>13:20:50:150,</v>
      </c>
    </row>
    <row r="939" spans="1:10">
      <c r="A939" s="4" t="str">
        <f t="shared" si="227"/>
        <v>61级紫手镯爆击伤害</v>
      </c>
      <c r="B939" s="4" t="s">
        <v>218</v>
      </c>
      <c r="C939" s="4" t="s">
        <v>119</v>
      </c>
      <c r="D939" s="4">
        <v>61</v>
      </c>
      <c r="E939" s="4" t="s">
        <v>76</v>
      </c>
      <c r="F939" s="4">
        <f>VLOOKUP(E939,基础属性ID!A:B,2,0)</f>
        <v>14</v>
      </c>
      <c r="G939" s="4">
        <f>VLOOKUP(E939,基础属性ID!$A:$E,5,0)</f>
        <v>20</v>
      </c>
      <c r="H939" s="4">
        <v>3</v>
      </c>
      <c r="I939" s="4">
        <v>8</v>
      </c>
      <c r="J939" s="4" t="str">
        <f t="shared" si="236"/>
        <v>14:20:3:8,</v>
      </c>
    </row>
    <row r="940" spans="1:10">
      <c r="A940" s="4" t="str">
        <f t="shared" si="227"/>
        <v>61级紫手镯伤害增加</v>
      </c>
      <c r="B940" s="4" t="s">
        <v>218</v>
      </c>
      <c r="C940" s="4" t="s">
        <v>119</v>
      </c>
      <c r="D940" s="4">
        <v>61</v>
      </c>
      <c r="E940" s="4" t="s">
        <v>26</v>
      </c>
      <c r="F940" s="4">
        <f>VLOOKUP(E940,基础属性ID!A:B,2,0)</f>
        <v>15</v>
      </c>
      <c r="G940" s="4">
        <f>VLOOKUP(E940,基础属性ID!$A:$E,5,0)</f>
        <v>10</v>
      </c>
      <c r="H940" s="4">
        <v>1</v>
      </c>
      <c r="I940" s="4">
        <v>2</v>
      </c>
      <c r="J940" s="4" t="str">
        <f t="shared" si="236"/>
        <v>15:10:1:2,</v>
      </c>
    </row>
    <row r="941" spans="1:10">
      <c r="A941" s="4" t="str">
        <f t="shared" si="227"/>
        <v>61级紫手镯伤害减免</v>
      </c>
      <c r="B941" s="4" t="s">
        <v>218</v>
      </c>
      <c r="C941" s="4" t="s">
        <v>119</v>
      </c>
      <c r="D941" s="4">
        <v>61</v>
      </c>
      <c r="E941" s="4" t="s">
        <v>27</v>
      </c>
      <c r="F941" s="4">
        <f>VLOOKUP(E941,基础属性ID!A:B,2,0)</f>
        <v>16</v>
      </c>
      <c r="G941" s="4">
        <f>VLOOKUP(E941,基础属性ID!$A:$E,5,0)</f>
        <v>10</v>
      </c>
      <c r="H941" s="4">
        <v>1</v>
      </c>
      <c r="I941" s="4">
        <v>2</v>
      </c>
      <c r="J941" s="4" t="str">
        <f t="shared" si="236"/>
        <v>16:10:1:2,</v>
      </c>
    </row>
    <row r="942" spans="1:10">
      <c r="A942" s="4" t="str">
        <f t="shared" si="227"/>
        <v>61级紫手镯装备掉率</v>
      </c>
      <c r="B942" s="4" t="s">
        <v>218</v>
      </c>
      <c r="C942" s="4" t="s">
        <v>119</v>
      </c>
      <c r="D942" s="4">
        <v>61</v>
      </c>
      <c r="E942" s="4" t="s">
        <v>30</v>
      </c>
      <c r="F942" s="4">
        <f>VLOOKUP(E942,基础属性ID!A:B,2,0)</f>
        <v>17</v>
      </c>
      <c r="G942" s="4">
        <f>VLOOKUP(E942,基础属性ID!$A:$E,5,0)</f>
        <v>60</v>
      </c>
      <c r="H942" s="4">
        <v>3</v>
      </c>
      <c r="I942" s="4">
        <v>9</v>
      </c>
      <c r="J942" s="4" t="str">
        <f t="shared" si="236"/>
        <v>17:60:3:9,</v>
      </c>
    </row>
    <row r="943" spans="1:10">
      <c r="A943" s="4" t="str">
        <f t="shared" si="227"/>
        <v>61级紫手镯极品掉率</v>
      </c>
      <c r="B943" s="4" t="s">
        <v>218</v>
      </c>
      <c r="C943" s="4" t="s">
        <v>119</v>
      </c>
      <c r="D943" s="4">
        <v>61</v>
      </c>
      <c r="E943" s="4" t="s">
        <v>31</v>
      </c>
      <c r="F943" s="4">
        <f>VLOOKUP(E943,基础属性ID!A:B,2,0)</f>
        <v>18</v>
      </c>
      <c r="G943" s="4">
        <f>VLOOKUP(E943,基础属性ID!$A:$E,5,0)</f>
        <v>60</v>
      </c>
      <c r="H943" s="4">
        <v>3</v>
      </c>
      <c r="I943" s="4">
        <v>9</v>
      </c>
      <c r="J943" s="4" t="str">
        <f t="shared" si="236"/>
        <v>18:60:3:9,</v>
      </c>
    </row>
    <row r="944" spans="1:10">
      <c r="A944" s="4" t="str">
        <f t="shared" si="227"/>
        <v>21级紫戒指生命值</v>
      </c>
      <c r="B944" s="4" t="s">
        <v>221</v>
      </c>
      <c r="C944" s="4" t="s">
        <v>119</v>
      </c>
      <c r="D944" s="4">
        <v>21</v>
      </c>
      <c r="E944" s="4" t="s">
        <v>74</v>
      </c>
      <c r="F944" s="4">
        <f>VLOOKUP(E944,基础属性ID!A:B,2,0)</f>
        <v>1</v>
      </c>
      <c r="G944" s="4">
        <f>VLOOKUP(E944,基础属性ID!$A:$E,5,0)</f>
        <v>100</v>
      </c>
      <c r="H944" s="4">
        <v>12</v>
      </c>
      <c r="I944" s="4">
        <f>H944*3</f>
        <v>36</v>
      </c>
      <c r="J944" s="4" t="str">
        <f t="shared" si="236"/>
        <v>1:100:12:36,</v>
      </c>
    </row>
    <row r="945" spans="1:10">
      <c r="A945" s="4" t="str">
        <f t="shared" si="227"/>
        <v>21级紫戒指法力值</v>
      </c>
      <c r="B945" s="4" t="s">
        <v>221</v>
      </c>
      <c r="C945" s="4" t="s">
        <v>119</v>
      </c>
      <c r="D945" s="4">
        <v>21</v>
      </c>
      <c r="E945" s="4" t="s">
        <v>75</v>
      </c>
      <c r="F945" s="4">
        <f>VLOOKUP(E945,基础属性ID!A:B,2,0)</f>
        <v>2</v>
      </c>
      <c r="G945" s="4">
        <f>VLOOKUP(E945,基础属性ID!$A:$E,5,0)</f>
        <v>100</v>
      </c>
      <c r="H945" s="4">
        <v>8</v>
      </c>
      <c r="I945" s="4">
        <v>16</v>
      </c>
      <c r="J945" s="4" t="str">
        <f t="shared" si="236"/>
        <v>2:100:8:16,</v>
      </c>
    </row>
    <row r="946" spans="1:10">
      <c r="A946" s="4" t="str">
        <f t="shared" si="227"/>
        <v>21级紫戒指物理攻击</v>
      </c>
      <c r="B946" s="4" t="s">
        <v>221</v>
      </c>
      <c r="C946" s="4" t="s">
        <v>119</v>
      </c>
      <c r="D946" s="4">
        <v>21</v>
      </c>
      <c r="E946" s="4" t="s">
        <v>13</v>
      </c>
      <c r="F946" s="4">
        <f>VLOOKUP(E946,基础属性ID!A:B,2,0)</f>
        <v>3</v>
      </c>
      <c r="G946" s="4">
        <f>VLOOKUP(E946,基础属性ID!$A:$E,5,0)</f>
        <v>100</v>
      </c>
      <c r="H946" s="4">
        <v>5</v>
      </c>
      <c r="I946" s="4">
        <f t="shared" ref="I946:I949" si="237">H946*3</f>
        <v>15</v>
      </c>
      <c r="J946" s="4" t="str">
        <f t="shared" si="236"/>
        <v>3:100:5:15,</v>
      </c>
    </row>
    <row r="947" spans="1:10">
      <c r="A947" s="4" t="str">
        <f t="shared" si="227"/>
        <v>21级紫戒指魔法攻击</v>
      </c>
      <c r="B947" s="4" t="s">
        <v>221</v>
      </c>
      <c r="C947" s="4" t="s">
        <v>119</v>
      </c>
      <c r="D947" s="4">
        <v>21</v>
      </c>
      <c r="E947" s="4" t="s">
        <v>14</v>
      </c>
      <c r="F947" s="4">
        <f>VLOOKUP(E947,基础属性ID!A:B,2,0)</f>
        <v>4</v>
      </c>
      <c r="G947" s="4">
        <f>VLOOKUP(E947,基础属性ID!$A:$E,5,0)</f>
        <v>100</v>
      </c>
      <c r="H947" s="4">
        <v>5</v>
      </c>
      <c r="I947" s="4">
        <f t="shared" si="237"/>
        <v>15</v>
      </c>
      <c r="J947" s="4" t="str">
        <f t="shared" si="236"/>
        <v>4:100:5:15,</v>
      </c>
    </row>
    <row r="948" spans="1:10">
      <c r="A948" s="4" t="str">
        <f t="shared" si="227"/>
        <v>21级紫戒指道术攻击</v>
      </c>
      <c r="B948" s="4" t="s">
        <v>221</v>
      </c>
      <c r="C948" s="4" t="s">
        <v>119</v>
      </c>
      <c r="D948" s="4">
        <v>21</v>
      </c>
      <c r="E948" s="4" t="s">
        <v>15</v>
      </c>
      <c r="F948" s="4">
        <f>VLOOKUP(E948,基础属性ID!A:B,2,0)</f>
        <v>5</v>
      </c>
      <c r="G948" s="4">
        <f>VLOOKUP(E948,基础属性ID!$A:$E,5,0)</f>
        <v>100</v>
      </c>
      <c r="H948" s="4">
        <v>5</v>
      </c>
      <c r="I948" s="4">
        <f t="shared" si="237"/>
        <v>15</v>
      </c>
      <c r="J948" s="4" t="str">
        <f t="shared" si="236"/>
        <v>5:100:5:15,</v>
      </c>
    </row>
    <row r="949" spans="1:10">
      <c r="A949" s="4" t="str">
        <f t="shared" si="227"/>
        <v>21级紫戒指防御</v>
      </c>
      <c r="B949" s="4" t="s">
        <v>221</v>
      </c>
      <c r="C949" s="4" t="s">
        <v>119</v>
      </c>
      <c r="D949" s="4">
        <v>21</v>
      </c>
      <c r="E949" s="4" t="s">
        <v>17</v>
      </c>
      <c r="F949" s="4">
        <f>VLOOKUP(E949,基础属性ID!A:B,2,0)</f>
        <v>6</v>
      </c>
      <c r="G949" s="4">
        <f>VLOOKUP(E949,基础属性ID!$A:$E,5,0)</f>
        <v>100</v>
      </c>
      <c r="H949" s="4">
        <v>5</v>
      </c>
      <c r="I949" s="4">
        <f t="shared" si="237"/>
        <v>15</v>
      </c>
      <c r="J949" s="4" t="str">
        <f t="shared" si="236"/>
        <v>6:100:5:15,</v>
      </c>
    </row>
    <row r="950" spans="1:10">
      <c r="A950" s="4" t="str">
        <f t="shared" si="227"/>
        <v>21级紫戒指攻速</v>
      </c>
      <c r="B950" s="4" t="s">
        <v>221</v>
      </c>
      <c r="C950" s="4" t="s">
        <v>119</v>
      </c>
      <c r="D950" s="4">
        <v>21</v>
      </c>
      <c r="E950" s="4" t="s">
        <v>18</v>
      </c>
      <c r="F950" s="4">
        <f>VLOOKUP(E950,基础属性ID!A:B,2,0)</f>
        <v>7</v>
      </c>
      <c r="G950" s="4">
        <f>VLOOKUP(E950,基础属性ID!$A:$E,5,0)</f>
        <v>20</v>
      </c>
      <c r="H950" s="4">
        <v>1</v>
      </c>
      <c r="I950" s="4">
        <v>2</v>
      </c>
      <c r="J950" s="4" t="str">
        <f t="shared" si="236"/>
        <v>7:20:1:2,</v>
      </c>
    </row>
    <row r="951" spans="1:10">
      <c r="A951" s="4" t="str">
        <f t="shared" si="227"/>
        <v>21级紫戒指固定伤害</v>
      </c>
      <c r="B951" s="4" t="s">
        <v>221</v>
      </c>
      <c r="C951" s="4" t="s">
        <v>119</v>
      </c>
      <c r="D951" s="4">
        <v>21</v>
      </c>
      <c r="E951" s="4" t="s">
        <v>24</v>
      </c>
      <c r="F951" s="4">
        <f>VLOOKUP(E951,基础属性ID!A:B,2,0)</f>
        <v>9</v>
      </c>
      <c r="G951" s="4">
        <f>VLOOKUP(E951,基础属性ID!$A:$E,5,0)</f>
        <v>50</v>
      </c>
      <c r="H951" s="4">
        <v>4</v>
      </c>
      <c r="I951" s="4">
        <f t="shared" ref="I951:I952" si="238">H951*3</f>
        <v>12</v>
      </c>
      <c r="J951" s="4" t="str">
        <f t="shared" si="236"/>
        <v>9:50:4:12,</v>
      </c>
    </row>
    <row r="952" spans="1:10">
      <c r="A952" s="4" t="str">
        <f t="shared" si="227"/>
        <v>21级紫戒指固定减伤</v>
      </c>
      <c r="B952" s="4" t="s">
        <v>221</v>
      </c>
      <c r="C952" s="4" t="s">
        <v>119</v>
      </c>
      <c r="D952" s="4">
        <v>21</v>
      </c>
      <c r="E952" s="4" t="s">
        <v>25</v>
      </c>
      <c r="F952" s="4">
        <f>VLOOKUP(E952,基础属性ID!A:B,2,0)</f>
        <v>10</v>
      </c>
      <c r="G952" s="4">
        <f>VLOOKUP(E952,基础属性ID!$A:$E,5,0)</f>
        <v>50</v>
      </c>
      <c r="H952" s="4">
        <v>4</v>
      </c>
      <c r="I952" s="4">
        <f t="shared" si="238"/>
        <v>12</v>
      </c>
      <c r="J952" s="4" t="str">
        <f t="shared" si="236"/>
        <v>10:50:4:12,</v>
      </c>
    </row>
    <row r="953" spans="1:10">
      <c r="A953" s="4" t="str">
        <f t="shared" si="227"/>
        <v>21级紫戒指生命吸取</v>
      </c>
      <c r="B953" s="4" t="s">
        <v>221</v>
      </c>
      <c r="C953" s="4" t="s">
        <v>119</v>
      </c>
      <c r="D953" s="4">
        <v>21</v>
      </c>
      <c r="E953" s="4" t="s">
        <v>28</v>
      </c>
      <c r="F953" s="4">
        <f>VLOOKUP(E953,基础属性ID!A:B,2,0)</f>
        <v>11</v>
      </c>
      <c r="G953" s="4">
        <f>VLOOKUP(E953,基础属性ID!$A:$E,5,0)</f>
        <v>50</v>
      </c>
      <c r="H953" s="4">
        <v>3</v>
      </c>
      <c r="I953" s="4">
        <f t="shared" ref="I953:I954" si="239">H953*3</f>
        <v>9</v>
      </c>
      <c r="J953" s="4" t="str">
        <f t="shared" si="236"/>
        <v>11:50:3:9,</v>
      </c>
    </row>
    <row r="954" spans="1:10">
      <c r="A954" s="4" t="str">
        <f t="shared" si="227"/>
        <v>21级紫戒指法力吸取</v>
      </c>
      <c r="B954" s="4" t="s">
        <v>221</v>
      </c>
      <c r="C954" s="4" t="s">
        <v>119</v>
      </c>
      <c r="D954" s="4">
        <v>21</v>
      </c>
      <c r="E954" s="4" t="s">
        <v>29</v>
      </c>
      <c r="F954" s="4">
        <f>VLOOKUP(E954,基础属性ID!A:B,2,0)</f>
        <v>12</v>
      </c>
      <c r="G954" s="4">
        <f>VLOOKUP(E954,基础属性ID!$A:$E,5,0)</f>
        <v>50</v>
      </c>
      <c r="H954" s="4">
        <v>3</v>
      </c>
      <c r="I954" s="4">
        <f t="shared" si="239"/>
        <v>9</v>
      </c>
      <c r="J954" s="4" t="str">
        <f t="shared" si="236"/>
        <v>12:50:3:9,</v>
      </c>
    </row>
    <row r="955" spans="1:10">
      <c r="A955" s="4" t="str">
        <f t="shared" si="227"/>
        <v>21级紫戒指暴击几率</v>
      </c>
      <c r="B955" s="4" t="s">
        <v>221</v>
      </c>
      <c r="C955" s="4" t="s">
        <v>119</v>
      </c>
      <c r="D955" s="4">
        <v>21</v>
      </c>
      <c r="E955" s="4" t="s">
        <v>21</v>
      </c>
      <c r="F955" s="4">
        <f>VLOOKUP(E955,基础属性ID!A:B,2,0)</f>
        <v>13</v>
      </c>
      <c r="G955" s="4">
        <f>VLOOKUP(E955,基础属性ID!$A:$E,5,0)</f>
        <v>20</v>
      </c>
      <c r="H955" s="4">
        <v>50</v>
      </c>
      <c r="I955" s="4">
        <v>150</v>
      </c>
      <c r="J955" s="4" t="str">
        <f t="shared" si="236"/>
        <v>13:20:50:150,</v>
      </c>
    </row>
    <row r="956" spans="1:10">
      <c r="A956" s="4" t="str">
        <f t="shared" si="227"/>
        <v>21级紫戒指爆击伤害</v>
      </c>
      <c r="B956" s="4" t="s">
        <v>221</v>
      </c>
      <c r="C956" s="4" t="s">
        <v>119</v>
      </c>
      <c r="D956" s="4">
        <v>21</v>
      </c>
      <c r="E956" s="4" t="s">
        <v>76</v>
      </c>
      <c r="F956" s="4">
        <f>VLOOKUP(E956,基础属性ID!A:B,2,0)</f>
        <v>14</v>
      </c>
      <c r="G956" s="4">
        <f>VLOOKUP(E956,基础属性ID!$A:$E,5,0)</f>
        <v>20</v>
      </c>
      <c r="H956" s="4">
        <v>3</v>
      </c>
      <c r="I956" s="4">
        <v>8</v>
      </c>
      <c r="J956" s="4" t="str">
        <f t="shared" si="236"/>
        <v>14:20:3:8,</v>
      </c>
    </row>
    <row r="957" spans="1:10">
      <c r="A957" s="4" t="str">
        <f t="shared" si="227"/>
        <v>21级紫戒指伤害增加</v>
      </c>
      <c r="B957" s="4" t="s">
        <v>221</v>
      </c>
      <c r="C957" s="4" t="s">
        <v>119</v>
      </c>
      <c r="D957" s="4">
        <v>21</v>
      </c>
      <c r="E957" s="4" t="s">
        <v>26</v>
      </c>
      <c r="F957" s="4">
        <f>VLOOKUP(E957,基础属性ID!A:B,2,0)</f>
        <v>15</v>
      </c>
      <c r="G957" s="4">
        <f>VLOOKUP(E957,基础属性ID!$A:$E,5,0)</f>
        <v>10</v>
      </c>
      <c r="H957" s="4">
        <v>1</v>
      </c>
      <c r="I957" s="4">
        <v>2</v>
      </c>
      <c r="J957" s="4" t="str">
        <f t="shared" si="236"/>
        <v>15:10:1:2,</v>
      </c>
    </row>
    <row r="958" spans="1:10">
      <c r="A958" s="4" t="str">
        <f t="shared" si="227"/>
        <v>21级紫戒指伤害减免</v>
      </c>
      <c r="B958" s="4" t="s">
        <v>221</v>
      </c>
      <c r="C958" s="4" t="s">
        <v>119</v>
      </c>
      <c r="D958" s="4">
        <v>21</v>
      </c>
      <c r="E958" s="4" t="s">
        <v>27</v>
      </c>
      <c r="F958" s="4">
        <f>VLOOKUP(E958,基础属性ID!A:B,2,0)</f>
        <v>16</v>
      </c>
      <c r="G958" s="4">
        <f>VLOOKUP(E958,基础属性ID!$A:$E,5,0)</f>
        <v>10</v>
      </c>
      <c r="H958" s="4">
        <v>1</v>
      </c>
      <c r="I958" s="4">
        <v>2</v>
      </c>
      <c r="J958" s="4" t="str">
        <f t="shared" si="236"/>
        <v>16:10:1:2,</v>
      </c>
    </row>
    <row r="959" spans="1:10">
      <c r="A959" s="4" t="str">
        <f t="shared" si="227"/>
        <v>21级紫戒指装备掉率</v>
      </c>
      <c r="B959" s="4" t="s">
        <v>221</v>
      </c>
      <c r="C959" s="4" t="s">
        <v>119</v>
      </c>
      <c r="D959" s="4">
        <v>21</v>
      </c>
      <c r="E959" s="4" t="s">
        <v>30</v>
      </c>
      <c r="F959" s="4">
        <f>VLOOKUP(E959,基础属性ID!A:B,2,0)</f>
        <v>17</v>
      </c>
      <c r="G959" s="4">
        <f>VLOOKUP(E959,基础属性ID!$A:$E,5,0)</f>
        <v>60</v>
      </c>
      <c r="H959" s="4">
        <v>3</v>
      </c>
      <c r="I959" s="4">
        <v>9</v>
      </c>
      <c r="J959" s="4" t="str">
        <f t="shared" si="236"/>
        <v>17:60:3:9,</v>
      </c>
    </row>
    <row r="960" spans="1:10">
      <c r="A960" s="4" t="str">
        <f t="shared" si="227"/>
        <v>21级紫戒指极品掉率</v>
      </c>
      <c r="B960" s="4" t="s">
        <v>221</v>
      </c>
      <c r="C960" s="4" t="s">
        <v>119</v>
      </c>
      <c r="D960" s="4">
        <v>21</v>
      </c>
      <c r="E960" s="4" t="s">
        <v>31</v>
      </c>
      <c r="F960" s="4">
        <f>VLOOKUP(E960,基础属性ID!A:B,2,0)</f>
        <v>18</v>
      </c>
      <c r="G960" s="4">
        <f>VLOOKUP(E960,基础属性ID!$A:$E,5,0)</f>
        <v>60</v>
      </c>
      <c r="H960" s="4">
        <v>3</v>
      </c>
      <c r="I960" s="4">
        <v>9</v>
      </c>
      <c r="J960" s="4" t="str">
        <f t="shared" si="236"/>
        <v>18:60:3:9,</v>
      </c>
    </row>
    <row r="961" spans="1:10">
      <c r="A961" s="4" t="str">
        <f t="shared" si="227"/>
        <v>41级紫戒指生命值</v>
      </c>
      <c r="B961" s="4" t="s">
        <v>221</v>
      </c>
      <c r="C961" s="4" t="s">
        <v>119</v>
      </c>
      <c r="D961" s="4">
        <v>41</v>
      </c>
      <c r="E961" s="4" t="s">
        <v>74</v>
      </c>
      <c r="F961" s="4">
        <f>VLOOKUP(E961,基础属性ID!A:B,2,0)</f>
        <v>1</v>
      </c>
      <c r="G961" s="4">
        <f>VLOOKUP(E961,基础属性ID!$A:$E,5,0)</f>
        <v>100</v>
      </c>
      <c r="H961" s="4">
        <v>20</v>
      </c>
      <c r="I961" s="4">
        <f>H961*3</f>
        <v>60</v>
      </c>
      <c r="J961" s="4" t="str">
        <f t="shared" si="236"/>
        <v>1:100:20:60,</v>
      </c>
    </row>
    <row r="962" spans="1:10">
      <c r="A962" s="4" t="str">
        <f t="shared" si="227"/>
        <v>41级紫戒指法力值</v>
      </c>
      <c r="B962" s="4" t="s">
        <v>221</v>
      </c>
      <c r="C962" s="4" t="s">
        <v>119</v>
      </c>
      <c r="D962" s="4">
        <v>41</v>
      </c>
      <c r="E962" s="4" t="s">
        <v>75</v>
      </c>
      <c r="F962" s="4">
        <f>VLOOKUP(E962,基础属性ID!A:B,2,0)</f>
        <v>2</v>
      </c>
      <c r="G962" s="4">
        <f>VLOOKUP(E962,基础属性ID!$A:$E,5,0)</f>
        <v>100</v>
      </c>
      <c r="H962" s="4">
        <v>10</v>
      </c>
      <c r="I962" s="4">
        <v>20</v>
      </c>
      <c r="J962" s="4" t="str">
        <f t="shared" si="236"/>
        <v>2:100:10:20,</v>
      </c>
    </row>
    <row r="963" spans="1:10">
      <c r="A963" s="4" t="str">
        <f t="shared" ref="A963:A1026" si="240">D963&amp;"级"&amp;C963&amp;B963&amp;E963</f>
        <v>41级紫戒指物理攻击</v>
      </c>
      <c r="B963" s="4" t="s">
        <v>221</v>
      </c>
      <c r="C963" s="4" t="s">
        <v>119</v>
      </c>
      <c r="D963" s="4">
        <v>41</v>
      </c>
      <c r="E963" s="4" t="s">
        <v>13</v>
      </c>
      <c r="F963" s="4">
        <f>VLOOKUP(E963,基础属性ID!A:B,2,0)</f>
        <v>3</v>
      </c>
      <c r="G963" s="4">
        <f>VLOOKUP(E963,基础属性ID!$A:$E,5,0)</f>
        <v>100</v>
      </c>
      <c r="H963" s="4">
        <v>7</v>
      </c>
      <c r="I963" s="4">
        <f t="shared" ref="I963:I966" si="241">H963*3</f>
        <v>21</v>
      </c>
      <c r="J963" s="4" t="str">
        <f t="shared" si="236"/>
        <v>3:100:7:21,</v>
      </c>
    </row>
    <row r="964" spans="1:10">
      <c r="A964" s="4" t="str">
        <f t="shared" si="240"/>
        <v>41级紫戒指魔法攻击</v>
      </c>
      <c r="B964" s="4" t="s">
        <v>221</v>
      </c>
      <c r="C964" s="4" t="s">
        <v>119</v>
      </c>
      <c r="D964" s="4">
        <v>41</v>
      </c>
      <c r="E964" s="4" t="s">
        <v>14</v>
      </c>
      <c r="F964" s="4">
        <f>VLOOKUP(E964,基础属性ID!A:B,2,0)</f>
        <v>4</v>
      </c>
      <c r="G964" s="4">
        <f>VLOOKUP(E964,基础属性ID!$A:$E,5,0)</f>
        <v>100</v>
      </c>
      <c r="H964" s="4">
        <v>7</v>
      </c>
      <c r="I964" s="4">
        <f t="shared" si="241"/>
        <v>21</v>
      </c>
      <c r="J964" s="4" t="str">
        <f t="shared" si="236"/>
        <v>4:100:7:21,</v>
      </c>
    </row>
    <row r="965" spans="1:10">
      <c r="A965" s="4" t="str">
        <f t="shared" si="240"/>
        <v>41级紫戒指道术攻击</v>
      </c>
      <c r="B965" s="4" t="s">
        <v>221</v>
      </c>
      <c r="C965" s="4" t="s">
        <v>119</v>
      </c>
      <c r="D965" s="4">
        <v>41</v>
      </c>
      <c r="E965" s="4" t="s">
        <v>15</v>
      </c>
      <c r="F965" s="4">
        <f>VLOOKUP(E965,基础属性ID!A:B,2,0)</f>
        <v>5</v>
      </c>
      <c r="G965" s="4">
        <f>VLOOKUP(E965,基础属性ID!$A:$E,5,0)</f>
        <v>100</v>
      </c>
      <c r="H965" s="4">
        <v>7</v>
      </c>
      <c r="I965" s="4">
        <f t="shared" si="241"/>
        <v>21</v>
      </c>
      <c r="J965" s="4" t="str">
        <f t="shared" si="236"/>
        <v>5:100:7:21,</v>
      </c>
    </row>
    <row r="966" spans="1:10">
      <c r="A966" s="4" t="str">
        <f t="shared" si="240"/>
        <v>41级紫戒指防御</v>
      </c>
      <c r="B966" s="4" t="s">
        <v>221</v>
      </c>
      <c r="C966" s="4" t="s">
        <v>119</v>
      </c>
      <c r="D966" s="4">
        <v>41</v>
      </c>
      <c r="E966" s="4" t="s">
        <v>17</v>
      </c>
      <c r="F966" s="4">
        <f>VLOOKUP(E966,基础属性ID!A:B,2,0)</f>
        <v>6</v>
      </c>
      <c r="G966" s="4">
        <f>VLOOKUP(E966,基础属性ID!$A:$E,5,0)</f>
        <v>100</v>
      </c>
      <c r="H966" s="4">
        <v>7</v>
      </c>
      <c r="I966" s="4">
        <f t="shared" si="241"/>
        <v>21</v>
      </c>
      <c r="J966" s="4" t="str">
        <f t="shared" si="236"/>
        <v>6:100:7:21,</v>
      </c>
    </row>
    <row r="967" spans="1:10">
      <c r="A967" s="4" t="str">
        <f t="shared" si="240"/>
        <v>41级紫戒指攻速</v>
      </c>
      <c r="B967" s="4" t="s">
        <v>221</v>
      </c>
      <c r="C967" s="4" t="s">
        <v>119</v>
      </c>
      <c r="D967" s="4">
        <v>41</v>
      </c>
      <c r="E967" s="4" t="s">
        <v>18</v>
      </c>
      <c r="F967" s="4">
        <f>VLOOKUP(E967,基础属性ID!A:B,2,0)</f>
        <v>7</v>
      </c>
      <c r="G967" s="4">
        <f>VLOOKUP(E967,基础属性ID!$A:$E,5,0)</f>
        <v>20</v>
      </c>
      <c r="H967" s="4">
        <v>1</v>
      </c>
      <c r="I967" s="4">
        <v>2</v>
      </c>
      <c r="J967" s="4" t="str">
        <f t="shared" si="236"/>
        <v>7:20:1:2,</v>
      </c>
    </row>
    <row r="968" spans="1:10">
      <c r="A968" s="4" t="str">
        <f t="shared" si="240"/>
        <v>41级紫戒指固定伤害</v>
      </c>
      <c r="B968" s="4" t="s">
        <v>221</v>
      </c>
      <c r="C968" s="4" t="s">
        <v>119</v>
      </c>
      <c r="D968" s="4">
        <v>41</v>
      </c>
      <c r="E968" s="4" t="s">
        <v>24</v>
      </c>
      <c r="F968" s="4">
        <f>VLOOKUP(E968,基础属性ID!A:B,2,0)</f>
        <v>9</v>
      </c>
      <c r="G968" s="4">
        <f>VLOOKUP(E968,基础属性ID!$A:$E,5,0)</f>
        <v>50</v>
      </c>
      <c r="H968" s="4">
        <v>5</v>
      </c>
      <c r="I968" s="4">
        <f t="shared" ref="I968:I969" si="242">H968*3</f>
        <v>15</v>
      </c>
      <c r="J968" s="4" t="str">
        <f t="shared" si="236"/>
        <v>9:50:5:15,</v>
      </c>
    </row>
    <row r="969" spans="1:10">
      <c r="A969" s="4" t="str">
        <f t="shared" si="240"/>
        <v>41级紫戒指固定减伤</v>
      </c>
      <c r="B969" s="4" t="s">
        <v>221</v>
      </c>
      <c r="C969" s="4" t="s">
        <v>119</v>
      </c>
      <c r="D969" s="4">
        <v>41</v>
      </c>
      <c r="E969" s="4" t="s">
        <v>25</v>
      </c>
      <c r="F969" s="4">
        <f>VLOOKUP(E969,基础属性ID!A:B,2,0)</f>
        <v>10</v>
      </c>
      <c r="G969" s="4">
        <f>VLOOKUP(E969,基础属性ID!$A:$E,5,0)</f>
        <v>50</v>
      </c>
      <c r="H969" s="4">
        <v>5</v>
      </c>
      <c r="I969" s="4">
        <f t="shared" si="242"/>
        <v>15</v>
      </c>
      <c r="J969" s="4" t="str">
        <f t="shared" si="236"/>
        <v>10:50:5:15,</v>
      </c>
    </row>
    <row r="970" spans="1:10">
      <c r="A970" s="4" t="str">
        <f t="shared" si="240"/>
        <v>41级紫戒指生命吸取</v>
      </c>
      <c r="B970" s="4" t="s">
        <v>221</v>
      </c>
      <c r="C970" s="4" t="s">
        <v>119</v>
      </c>
      <c r="D970" s="4">
        <v>41</v>
      </c>
      <c r="E970" s="4" t="s">
        <v>28</v>
      </c>
      <c r="F970" s="4">
        <f>VLOOKUP(E970,基础属性ID!A:B,2,0)</f>
        <v>11</v>
      </c>
      <c r="G970" s="4">
        <f>VLOOKUP(E970,基础属性ID!$A:$E,5,0)</f>
        <v>50</v>
      </c>
      <c r="H970" s="4">
        <v>4</v>
      </c>
      <c r="I970" s="4">
        <f t="shared" ref="I970:I971" si="243">H970*3</f>
        <v>12</v>
      </c>
      <c r="J970" s="4" t="str">
        <f t="shared" si="236"/>
        <v>11:50:4:12,</v>
      </c>
    </row>
    <row r="971" spans="1:10">
      <c r="A971" s="4" t="str">
        <f t="shared" si="240"/>
        <v>41级紫戒指法力吸取</v>
      </c>
      <c r="B971" s="4" t="s">
        <v>221</v>
      </c>
      <c r="C971" s="4" t="s">
        <v>119</v>
      </c>
      <c r="D971" s="4">
        <v>41</v>
      </c>
      <c r="E971" s="4" t="s">
        <v>29</v>
      </c>
      <c r="F971" s="4">
        <f>VLOOKUP(E971,基础属性ID!A:B,2,0)</f>
        <v>12</v>
      </c>
      <c r="G971" s="4">
        <f>VLOOKUP(E971,基础属性ID!$A:$E,5,0)</f>
        <v>50</v>
      </c>
      <c r="H971" s="4">
        <v>4</v>
      </c>
      <c r="I971" s="4">
        <f t="shared" si="243"/>
        <v>12</v>
      </c>
      <c r="J971" s="4" t="str">
        <f t="shared" si="236"/>
        <v>12:50:4:12,</v>
      </c>
    </row>
    <row r="972" spans="1:10">
      <c r="A972" s="4" t="str">
        <f t="shared" si="240"/>
        <v>41级紫戒指暴击几率</v>
      </c>
      <c r="B972" s="4" t="s">
        <v>221</v>
      </c>
      <c r="C972" s="4" t="s">
        <v>119</v>
      </c>
      <c r="D972" s="4">
        <v>41</v>
      </c>
      <c r="E972" s="4" t="s">
        <v>21</v>
      </c>
      <c r="F972" s="4">
        <f>VLOOKUP(E972,基础属性ID!A:B,2,0)</f>
        <v>13</v>
      </c>
      <c r="G972" s="4">
        <f>VLOOKUP(E972,基础属性ID!$A:$E,5,0)</f>
        <v>20</v>
      </c>
      <c r="H972" s="4">
        <v>50</v>
      </c>
      <c r="I972" s="4">
        <v>150</v>
      </c>
      <c r="J972" s="4" t="str">
        <f t="shared" si="236"/>
        <v>13:20:50:150,</v>
      </c>
    </row>
    <row r="973" spans="1:10">
      <c r="A973" s="4" t="str">
        <f t="shared" si="240"/>
        <v>41级紫戒指爆击伤害</v>
      </c>
      <c r="B973" s="4" t="s">
        <v>221</v>
      </c>
      <c r="C973" s="4" t="s">
        <v>119</v>
      </c>
      <c r="D973" s="4">
        <v>41</v>
      </c>
      <c r="E973" s="4" t="s">
        <v>76</v>
      </c>
      <c r="F973" s="4">
        <f>VLOOKUP(E973,基础属性ID!A:B,2,0)</f>
        <v>14</v>
      </c>
      <c r="G973" s="4">
        <f>VLOOKUP(E973,基础属性ID!$A:$E,5,0)</f>
        <v>20</v>
      </c>
      <c r="H973" s="4">
        <v>3</v>
      </c>
      <c r="I973" s="4">
        <v>8</v>
      </c>
      <c r="J973" s="4" t="str">
        <f t="shared" si="236"/>
        <v>14:20:3:8,</v>
      </c>
    </row>
    <row r="974" spans="1:10">
      <c r="A974" s="4" t="str">
        <f t="shared" si="240"/>
        <v>41级紫戒指伤害增加</v>
      </c>
      <c r="B974" s="4" t="s">
        <v>221</v>
      </c>
      <c r="C974" s="4" t="s">
        <v>119</v>
      </c>
      <c r="D974" s="4">
        <v>41</v>
      </c>
      <c r="E974" s="4" t="s">
        <v>26</v>
      </c>
      <c r="F974" s="4">
        <f>VLOOKUP(E974,基础属性ID!A:B,2,0)</f>
        <v>15</v>
      </c>
      <c r="G974" s="4">
        <f>VLOOKUP(E974,基础属性ID!$A:$E,5,0)</f>
        <v>10</v>
      </c>
      <c r="H974" s="4">
        <v>1</v>
      </c>
      <c r="I974" s="4">
        <v>2</v>
      </c>
      <c r="J974" s="4" t="str">
        <f t="shared" si="236"/>
        <v>15:10:1:2,</v>
      </c>
    </row>
    <row r="975" spans="1:10">
      <c r="A975" s="4" t="str">
        <f t="shared" si="240"/>
        <v>41级紫戒指伤害减免</v>
      </c>
      <c r="B975" s="4" t="s">
        <v>221</v>
      </c>
      <c r="C975" s="4" t="s">
        <v>119</v>
      </c>
      <c r="D975" s="4">
        <v>41</v>
      </c>
      <c r="E975" s="4" t="s">
        <v>27</v>
      </c>
      <c r="F975" s="4">
        <f>VLOOKUP(E975,基础属性ID!A:B,2,0)</f>
        <v>16</v>
      </c>
      <c r="G975" s="4">
        <f>VLOOKUP(E975,基础属性ID!$A:$E,5,0)</f>
        <v>10</v>
      </c>
      <c r="H975" s="4">
        <v>1</v>
      </c>
      <c r="I975" s="4">
        <v>2</v>
      </c>
      <c r="J975" s="4" t="str">
        <f t="shared" si="236"/>
        <v>16:10:1:2,</v>
      </c>
    </row>
    <row r="976" spans="1:10">
      <c r="A976" s="4" t="str">
        <f t="shared" si="240"/>
        <v>41级紫戒指装备掉率</v>
      </c>
      <c r="B976" s="4" t="s">
        <v>221</v>
      </c>
      <c r="C976" s="4" t="s">
        <v>119</v>
      </c>
      <c r="D976" s="4">
        <v>41</v>
      </c>
      <c r="E976" s="4" t="s">
        <v>30</v>
      </c>
      <c r="F976" s="4">
        <f>VLOOKUP(E976,基础属性ID!A:B,2,0)</f>
        <v>17</v>
      </c>
      <c r="G976" s="4">
        <f>VLOOKUP(E976,基础属性ID!$A:$E,5,0)</f>
        <v>60</v>
      </c>
      <c r="H976" s="4">
        <v>3</v>
      </c>
      <c r="I976" s="4">
        <v>9</v>
      </c>
      <c r="J976" s="4" t="str">
        <f t="shared" si="236"/>
        <v>17:60:3:9,</v>
      </c>
    </row>
    <row r="977" spans="1:10">
      <c r="A977" s="4" t="str">
        <f t="shared" si="240"/>
        <v>41级紫戒指极品掉率</v>
      </c>
      <c r="B977" s="4" t="s">
        <v>221</v>
      </c>
      <c r="C977" s="4" t="s">
        <v>119</v>
      </c>
      <c r="D977" s="4">
        <v>41</v>
      </c>
      <c r="E977" s="4" t="s">
        <v>31</v>
      </c>
      <c r="F977" s="4">
        <f>VLOOKUP(E977,基础属性ID!A:B,2,0)</f>
        <v>18</v>
      </c>
      <c r="G977" s="4">
        <f>VLOOKUP(E977,基础属性ID!$A:$E,5,0)</f>
        <v>60</v>
      </c>
      <c r="H977" s="4">
        <v>3</v>
      </c>
      <c r="I977" s="4">
        <v>9</v>
      </c>
      <c r="J977" s="4" t="str">
        <f t="shared" si="236"/>
        <v>18:60:3:9,</v>
      </c>
    </row>
    <row r="978" spans="1:10">
      <c r="A978" s="4" t="str">
        <f t="shared" si="240"/>
        <v>61级紫戒指生命值</v>
      </c>
      <c r="B978" s="4" t="s">
        <v>221</v>
      </c>
      <c r="C978" s="4" t="s">
        <v>119</v>
      </c>
      <c r="D978" s="4">
        <v>61</v>
      </c>
      <c r="E978" s="4" t="s">
        <v>74</v>
      </c>
      <c r="F978" s="4">
        <f>VLOOKUP(E978,基础属性ID!A:B,2,0)</f>
        <v>1</v>
      </c>
      <c r="G978" s="4">
        <f>VLOOKUP(E978,基础属性ID!$A:$E,5,0)</f>
        <v>100</v>
      </c>
      <c r="H978" s="4">
        <v>30</v>
      </c>
      <c r="I978" s="4">
        <f>H978*3</f>
        <v>90</v>
      </c>
      <c r="J978" s="4" t="str">
        <f t="shared" si="236"/>
        <v>1:100:30:90,</v>
      </c>
    </row>
    <row r="979" spans="1:10">
      <c r="A979" s="4" t="str">
        <f t="shared" si="240"/>
        <v>61级紫戒指法力值</v>
      </c>
      <c r="B979" s="4" t="s">
        <v>221</v>
      </c>
      <c r="C979" s="4" t="s">
        <v>119</v>
      </c>
      <c r="D979" s="4">
        <v>61</v>
      </c>
      <c r="E979" s="4" t="s">
        <v>75</v>
      </c>
      <c r="F979" s="4">
        <f>VLOOKUP(E979,基础属性ID!A:B,2,0)</f>
        <v>2</v>
      </c>
      <c r="G979" s="4">
        <f>VLOOKUP(E979,基础属性ID!$A:$E,5,0)</f>
        <v>100</v>
      </c>
      <c r="H979" s="4">
        <v>12</v>
      </c>
      <c r="I979" s="4">
        <v>25</v>
      </c>
      <c r="J979" s="4" t="str">
        <f t="shared" si="236"/>
        <v>2:100:12:25,</v>
      </c>
    </row>
    <row r="980" spans="1:10">
      <c r="A980" s="4" t="str">
        <f t="shared" si="240"/>
        <v>61级紫戒指物理攻击</v>
      </c>
      <c r="B980" s="4" t="s">
        <v>221</v>
      </c>
      <c r="C980" s="4" t="s">
        <v>119</v>
      </c>
      <c r="D980" s="4">
        <v>61</v>
      </c>
      <c r="E980" s="4" t="s">
        <v>13</v>
      </c>
      <c r="F980" s="4">
        <f>VLOOKUP(E980,基础属性ID!A:B,2,0)</f>
        <v>3</v>
      </c>
      <c r="G980" s="4">
        <f>VLOOKUP(E980,基础属性ID!$A:$E,5,0)</f>
        <v>100</v>
      </c>
      <c r="H980" s="4">
        <v>10</v>
      </c>
      <c r="I980" s="4">
        <f t="shared" ref="I980:I983" si="244">H980*3</f>
        <v>30</v>
      </c>
      <c r="J980" s="4" t="str">
        <f t="shared" si="236"/>
        <v>3:100:10:30,</v>
      </c>
    </row>
    <row r="981" spans="1:10">
      <c r="A981" s="4" t="str">
        <f t="shared" si="240"/>
        <v>61级紫戒指魔法攻击</v>
      </c>
      <c r="B981" s="4" t="s">
        <v>221</v>
      </c>
      <c r="C981" s="4" t="s">
        <v>119</v>
      </c>
      <c r="D981" s="4">
        <v>61</v>
      </c>
      <c r="E981" s="4" t="s">
        <v>14</v>
      </c>
      <c r="F981" s="4">
        <f>VLOOKUP(E981,基础属性ID!A:B,2,0)</f>
        <v>4</v>
      </c>
      <c r="G981" s="4">
        <f>VLOOKUP(E981,基础属性ID!$A:$E,5,0)</f>
        <v>100</v>
      </c>
      <c r="H981" s="4">
        <v>10</v>
      </c>
      <c r="I981" s="4">
        <f t="shared" si="244"/>
        <v>30</v>
      </c>
      <c r="J981" s="4" t="str">
        <f t="shared" si="236"/>
        <v>4:100:10:30,</v>
      </c>
    </row>
    <row r="982" spans="1:10">
      <c r="A982" s="4" t="str">
        <f t="shared" si="240"/>
        <v>61级紫戒指道术攻击</v>
      </c>
      <c r="B982" s="4" t="s">
        <v>221</v>
      </c>
      <c r="C982" s="4" t="s">
        <v>119</v>
      </c>
      <c r="D982" s="4">
        <v>61</v>
      </c>
      <c r="E982" s="4" t="s">
        <v>15</v>
      </c>
      <c r="F982" s="4">
        <f>VLOOKUP(E982,基础属性ID!A:B,2,0)</f>
        <v>5</v>
      </c>
      <c r="G982" s="4">
        <f>VLOOKUP(E982,基础属性ID!$A:$E,5,0)</f>
        <v>100</v>
      </c>
      <c r="H982" s="4">
        <v>10</v>
      </c>
      <c r="I982" s="4">
        <f t="shared" si="244"/>
        <v>30</v>
      </c>
      <c r="J982" s="4" t="str">
        <f t="shared" si="236"/>
        <v>5:100:10:30,</v>
      </c>
    </row>
    <row r="983" spans="1:10">
      <c r="A983" s="4" t="str">
        <f t="shared" si="240"/>
        <v>61级紫戒指防御</v>
      </c>
      <c r="B983" s="4" t="s">
        <v>221</v>
      </c>
      <c r="C983" s="4" t="s">
        <v>119</v>
      </c>
      <c r="D983" s="4">
        <v>61</v>
      </c>
      <c r="E983" s="4" t="s">
        <v>17</v>
      </c>
      <c r="F983" s="4">
        <f>VLOOKUP(E983,基础属性ID!A:B,2,0)</f>
        <v>6</v>
      </c>
      <c r="G983" s="4">
        <f>VLOOKUP(E983,基础属性ID!$A:$E,5,0)</f>
        <v>100</v>
      </c>
      <c r="H983" s="4">
        <v>10</v>
      </c>
      <c r="I983" s="4">
        <f t="shared" si="244"/>
        <v>30</v>
      </c>
      <c r="J983" s="4" t="str">
        <f t="shared" si="236"/>
        <v>6:100:10:30,</v>
      </c>
    </row>
    <row r="984" spans="1:10">
      <c r="A984" s="4" t="str">
        <f t="shared" si="240"/>
        <v>61级紫戒指攻速</v>
      </c>
      <c r="B984" s="4" t="s">
        <v>221</v>
      </c>
      <c r="C984" s="4" t="s">
        <v>119</v>
      </c>
      <c r="D984" s="4">
        <v>61</v>
      </c>
      <c r="E984" s="4" t="s">
        <v>18</v>
      </c>
      <c r="F984" s="4">
        <f>VLOOKUP(E984,基础属性ID!A:B,2,0)</f>
        <v>7</v>
      </c>
      <c r="G984" s="4">
        <f>VLOOKUP(E984,基础属性ID!$A:$E,5,0)</f>
        <v>20</v>
      </c>
      <c r="H984" s="4">
        <v>1</v>
      </c>
      <c r="I984" s="4">
        <v>2</v>
      </c>
      <c r="J984" s="4" t="str">
        <f t="shared" si="236"/>
        <v>7:20:1:2,</v>
      </c>
    </row>
    <row r="985" spans="1:10">
      <c r="A985" s="4" t="str">
        <f t="shared" si="240"/>
        <v>61级紫戒指固定伤害</v>
      </c>
      <c r="B985" s="4" t="s">
        <v>221</v>
      </c>
      <c r="C985" s="4" t="s">
        <v>119</v>
      </c>
      <c r="D985" s="4">
        <v>61</v>
      </c>
      <c r="E985" s="4" t="s">
        <v>24</v>
      </c>
      <c r="F985" s="4">
        <f>VLOOKUP(E985,基础属性ID!A:B,2,0)</f>
        <v>9</v>
      </c>
      <c r="G985" s="4">
        <f>VLOOKUP(E985,基础属性ID!$A:$E,5,0)</f>
        <v>50</v>
      </c>
      <c r="H985" s="4">
        <v>6</v>
      </c>
      <c r="I985" s="4">
        <f t="shared" ref="I985:I986" si="245">H985*3</f>
        <v>18</v>
      </c>
      <c r="J985" s="4" t="str">
        <f t="shared" si="236"/>
        <v>9:50:6:18,</v>
      </c>
    </row>
    <row r="986" spans="1:10">
      <c r="A986" s="4" t="str">
        <f t="shared" si="240"/>
        <v>61级紫戒指固定减伤</v>
      </c>
      <c r="B986" s="4" t="s">
        <v>221</v>
      </c>
      <c r="C986" s="4" t="s">
        <v>119</v>
      </c>
      <c r="D986" s="4">
        <v>61</v>
      </c>
      <c r="E986" s="4" t="s">
        <v>25</v>
      </c>
      <c r="F986" s="4">
        <f>VLOOKUP(E986,基础属性ID!A:B,2,0)</f>
        <v>10</v>
      </c>
      <c r="G986" s="4">
        <f>VLOOKUP(E986,基础属性ID!$A:$E,5,0)</f>
        <v>50</v>
      </c>
      <c r="H986" s="4">
        <v>6</v>
      </c>
      <c r="I986" s="4">
        <f t="shared" si="245"/>
        <v>18</v>
      </c>
      <c r="J986" s="4" t="str">
        <f t="shared" si="236"/>
        <v>10:50:6:18,</v>
      </c>
    </row>
    <row r="987" spans="1:10">
      <c r="A987" s="4" t="str">
        <f t="shared" si="240"/>
        <v>61级紫戒指生命吸取</v>
      </c>
      <c r="B987" s="4" t="s">
        <v>221</v>
      </c>
      <c r="C987" s="4" t="s">
        <v>119</v>
      </c>
      <c r="D987" s="4">
        <v>61</v>
      </c>
      <c r="E987" s="4" t="s">
        <v>28</v>
      </c>
      <c r="F987" s="4">
        <f>VLOOKUP(E987,基础属性ID!A:B,2,0)</f>
        <v>11</v>
      </c>
      <c r="G987" s="4">
        <f>VLOOKUP(E987,基础属性ID!$A:$E,5,0)</f>
        <v>50</v>
      </c>
      <c r="H987" s="4">
        <v>5</v>
      </c>
      <c r="I987" s="4">
        <f t="shared" ref="I987:I988" si="246">H987*3</f>
        <v>15</v>
      </c>
      <c r="J987" s="4" t="str">
        <f t="shared" si="236"/>
        <v>11:50:5:15,</v>
      </c>
    </row>
    <row r="988" spans="1:10">
      <c r="A988" s="4" t="str">
        <f t="shared" si="240"/>
        <v>61级紫戒指法力吸取</v>
      </c>
      <c r="B988" s="4" t="s">
        <v>221</v>
      </c>
      <c r="C988" s="4" t="s">
        <v>119</v>
      </c>
      <c r="D988" s="4">
        <v>61</v>
      </c>
      <c r="E988" s="4" t="s">
        <v>29</v>
      </c>
      <c r="F988" s="4">
        <f>VLOOKUP(E988,基础属性ID!A:B,2,0)</f>
        <v>12</v>
      </c>
      <c r="G988" s="4">
        <f>VLOOKUP(E988,基础属性ID!$A:$E,5,0)</f>
        <v>50</v>
      </c>
      <c r="H988" s="4">
        <v>5</v>
      </c>
      <c r="I988" s="4">
        <f t="shared" si="246"/>
        <v>15</v>
      </c>
      <c r="J988" s="4" t="str">
        <f t="shared" si="236"/>
        <v>12:50:5:15,</v>
      </c>
    </row>
    <row r="989" spans="1:10">
      <c r="A989" s="4" t="str">
        <f t="shared" si="240"/>
        <v>61级紫戒指暴击几率</v>
      </c>
      <c r="B989" s="4" t="s">
        <v>221</v>
      </c>
      <c r="C989" s="4" t="s">
        <v>119</v>
      </c>
      <c r="D989" s="4">
        <v>61</v>
      </c>
      <c r="E989" s="4" t="s">
        <v>21</v>
      </c>
      <c r="F989" s="4">
        <f>VLOOKUP(E989,基础属性ID!A:B,2,0)</f>
        <v>13</v>
      </c>
      <c r="G989" s="4">
        <f>VLOOKUP(E989,基础属性ID!$A:$E,5,0)</f>
        <v>20</v>
      </c>
      <c r="H989" s="4">
        <v>50</v>
      </c>
      <c r="I989" s="4">
        <v>150</v>
      </c>
      <c r="J989" s="4" t="str">
        <f t="shared" si="236"/>
        <v>13:20:50:150,</v>
      </c>
    </row>
    <row r="990" spans="1:10">
      <c r="A990" s="4" t="str">
        <f t="shared" si="240"/>
        <v>61级紫戒指爆击伤害</v>
      </c>
      <c r="B990" s="4" t="s">
        <v>221</v>
      </c>
      <c r="C990" s="4" t="s">
        <v>119</v>
      </c>
      <c r="D990" s="4">
        <v>61</v>
      </c>
      <c r="E990" s="4" t="s">
        <v>76</v>
      </c>
      <c r="F990" s="4">
        <f>VLOOKUP(E990,基础属性ID!A:B,2,0)</f>
        <v>14</v>
      </c>
      <c r="G990" s="4">
        <f>VLOOKUP(E990,基础属性ID!$A:$E,5,0)</f>
        <v>20</v>
      </c>
      <c r="H990" s="4">
        <v>3</v>
      </c>
      <c r="I990" s="4">
        <v>8</v>
      </c>
      <c r="J990" s="4" t="str">
        <f t="shared" si="236"/>
        <v>14:20:3:8,</v>
      </c>
    </row>
    <row r="991" spans="1:10">
      <c r="A991" s="4" t="str">
        <f t="shared" si="240"/>
        <v>61级紫戒指伤害增加</v>
      </c>
      <c r="B991" s="4" t="s">
        <v>221</v>
      </c>
      <c r="C991" s="4" t="s">
        <v>119</v>
      </c>
      <c r="D991" s="4">
        <v>61</v>
      </c>
      <c r="E991" s="4" t="s">
        <v>26</v>
      </c>
      <c r="F991" s="4">
        <f>VLOOKUP(E991,基础属性ID!A:B,2,0)</f>
        <v>15</v>
      </c>
      <c r="G991" s="4">
        <f>VLOOKUP(E991,基础属性ID!$A:$E,5,0)</f>
        <v>10</v>
      </c>
      <c r="H991" s="4">
        <v>1</v>
      </c>
      <c r="I991" s="4">
        <v>2</v>
      </c>
      <c r="J991" s="4" t="str">
        <f t="shared" si="236"/>
        <v>15:10:1:2,</v>
      </c>
    </row>
    <row r="992" spans="1:10">
      <c r="A992" s="4" t="str">
        <f t="shared" si="240"/>
        <v>61级紫戒指伤害减免</v>
      </c>
      <c r="B992" s="4" t="s">
        <v>221</v>
      </c>
      <c r="C992" s="4" t="s">
        <v>119</v>
      </c>
      <c r="D992" s="4">
        <v>61</v>
      </c>
      <c r="E992" s="4" t="s">
        <v>27</v>
      </c>
      <c r="F992" s="4">
        <f>VLOOKUP(E992,基础属性ID!A:B,2,0)</f>
        <v>16</v>
      </c>
      <c r="G992" s="4">
        <f>VLOOKUP(E992,基础属性ID!$A:$E,5,0)</f>
        <v>10</v>
      </c>
      <c r="H992" s="4">
        <v>1</v>
      </c>
      <c r="I992" s="4">
        <v>2</v>
      </c>
      <c r="J992" s="4" t="str">
        <f t="shared" si="236"/>
        <v>16:10:1:2,</v>
      </c>
    </row>
    <row r="993" spans="1:10">
      <c r="A993" s="4" t="str">
        <f t="shared" si="240"/>
        <v>61级紫戒指装备掉率</v>
      </c>
      <c r="B993" s="4" t="s">
        <v>221</v>
      </c>
      <c r="C993" s="4" t="s">
        <v>119</v>
      </c>
      <c r="D993" s="4">
        <v>61</v>
      </c>
      <c r="E993" s="4" t="s">
        <v>30</v>
      </c>
      <c r="F993" s="4">
        <f>VLOOKUP(E993,基础属性ID!A:B,2,0)</f>
        <v>17</v>
      </c>
      <c r="G993" s="4">
        <f>VLOOKUP(E993,基础属性ID!$A:$E,5,0)</f>
        <v>60</v>
      </c>
      <c r="H993" s="4">
        <v>3</v>
      </c>
      <c r="I993" s="4">
        <v>9</v>
      </c>
      <c r="J993" s="4" t="str">
        <f t="shared" si="236"/>
        <v>17:60:3:9,</v>
      </c>
    </row>
    <row r="994" spans="1:10">
      <c r="A994" s="4" t="str">
        <f t="shared" si="240"/>
        <v>61级紫戒指极品掉率</v>
      </c>
      <c r="B994" s="4" t="s">
        <v>221</v>
      </c>
      <c r="C994" s="4" t="s">
        <v>119</v>
      </c>
      <c r="D994" s="4">
        <v>61</v>
      </c>
      <c r="E994" s="4" t="s">
        <v>31</v>
      </c>
      <c r="F994" s="4">
        <f>VLOOKUP(E994,基础属性ID!A:B,2,0)</f>
        <v>18</v>
      </c>
      <c r="G994" s="4">
        <f>VLOOKUP(E994,基础属性ID!$A:$E,5,0)</f>
        <v>60</v>
      </c>
      <c r="H994" s="4">
        <v>3</v>
      </c>
      <c r="I994" s="4">
        <v>9</v>
      </c>
      <c r="J994" s="4" t="str">
        <f t="shared" si="236"/>
        <v>18:60:3:9,</v>
      </c>
    </row>
    <row r="995" spans="1:10">
      <c r="A995" s="4" t="str">
        <f t="shared" si="240"/>
        <v>1级橙武器生命值</v>
      </c>
      <c r="B995" s="4" t="s">
        <v>198</v>
      </c>
      <c r="C995" s="4" t="s">
        <v>120</v>
      </c>
      <c r="D995" s="4">
        <v>1</v>
      </c>
      <c r="E995" s="4" t="s">
        <v>74</v>
      </c>
      <c r="F995" s="4">
        <f>VLOOKUP(E995,基础属性ID!A:B,2,0)</f>
        <v>1</v>
      </c>
      <c r="G995" s="4">
        <f>VLOOKUP(E995,基础属性ID!$A:$E,5,0)</f>
        <v>100</v>
      </c>
      <c r="H995" s="4">
        <v>10</v>
      </c>
      <c r="I995" s="4">
        <f>H995*3</f>
        <v>30</v>
      </c>
      <c r="J995" s="4" t="str">
        <f t="shared" si="236"/>
        <v>1:100:10:30,</v>
      </c>
    </row>
    <row r="996" spans="1:10">
      <c r="A996" s="4" t="str">
        <f t="shared" si="240"/>
        <v>1级橙武器法力值</v>
      </c>
      <c r="B996" s="4" t="s">
        <v>198</v>
      </c>
      <c r="C996" s="4" t="s">
        <v>120</v>
      </c>
      <c r="D996" s="4">
        <v>1</v>
      </c>
      <c r="E996" s="4" t="s">
        <v>75</v>
      </c>
      <c r="F996" s="4">
        <f>VLOOKUP(E996,基础属性ID!A:B,2,0)</f>
        <v>2</v>
      </c>
      <c r="G996" s="4">
        <f>VLOOKUP(E996,基础属性ID!$A:$E,5,0)</f>
        <v>100</v>
      </c>
      <c r="H996" s="4">
        <v>10</v>
      </c>
      <c r="I996" s="4">
        <v>20</v>
      </c>
      <c r="J996" s="4" t="str">
        <f t="shared" si="236"/>
        <v>2:100:10:20,</v>
      </c>
    </row>
    <row r="997" spans="1:10">
      <c r="A997" s="4" t="str">
        <f t="shared" si="240"/>
        <v>1级橙武器物理攻击</v>
      </c>
      <c r="B997" s="4" t="s">
        <v>198</v>
      </c>
      <c r="C997" s="4" t="s">
        <v>120</v>
      </c>
      <c r="D997" s="4">
        <v>1</v>
      </c>
      <c r="E997" s="4" t="s">
        <v>13</v>
      </c>
      <c r="F997" s="4">
        <f>VLOOKUP(E997,基础属性ID!A:B,2,0)</f>
        <v>3</v>
      </c>
      <c r="G997" s="4">
        <f>VLOOKUP(E997,基础属性ID!$A:$E,5,0)</f>
        <v>100</v>
      </c>
      <c r="H997" s="4">
        <v>4</v>
      </c>
      <c r="I997" s="4">
        <f t="shared" ref="I997:I1002" si="247">H997*3</f>
        <v>12</v>
      </c>
      <c r="J997" s="4" t="str">
        <f t="shared" si="236"/>
        <v>3:100:4:12,</v>
      </c>
    </row>
    <row r="998" spans="1:10">
      <c r="A998" s="4" t="str">
        <f t="shared" si="240"/>
        <v>1级橙武器魔法攻击</v>
      </c>
      <c r="B998" s="4" t="s">
        <v>198</v>
      </c>
      <c r="C998" s="4" t="s">
        <v>120</v>
      </c>
      <c r="D998" s="4">
        <v>1</v>
      </c>
      <c r="E998" s="4" t="s">
        <v>14</v>
      </c>
      <c r="F998" s="4">
        <f>VLOOKUP(E998,基础属性ID!A:B,2,0)</f>
        <v>4</v>
      </c>
      <c r="G998" s="4">
        <f>VLOOKUP(E998,基础属性ID!$A:$E,5,0)</f>
        <v>100</v>
      </c>
      <c r="H998" s="4">
        <v>4</v>
      </c>
      <c r="I998" s="4">
        <f t="shared" si="247"/>
        <v>12</v>
      </c>
      <c r="J998" s="4" t="str">
        <f t="shared" si="236"/>
        <v>4:100:4:12,</v>
      </c>
    </row>
    <row r="999" spans="1:10">
      <c r="A999" s="4" t="str">
        <f t="shared" si="240"/>
        <v>1级橙武器道术攻击</v>
      </c>
      <c r="B999" s="4" t="s">
        <v>198</v>
      </c>
      <c r="C999" s="4" t="s">
        <v>120</v>
      </c>
      <c r="D999" s="4">
        <v>1</v>
      </c>
      <c r="E999" s="4" t="s">
        <v>15</v>
      </c>
      <c r="F999" s="4">
        <f>VLOOKUP(E999,基础属性ID!A:B,2,0)</f>
        <v>5</v>
      </c>
      <c r="G999" s="4">
        <f>VLOOKUP(E999,基础属性ID!$A:$E,5,0)</f>
        <v>100</v>
      </c>
      <c r="H999" s="4">
        <v>4</v>
      </c>
      <c r="I999" s="4">
        <f t="shared" si="247"/>
        <v>12</v>
      </c>
      <c r="J999" s="4" t="str">
        <f t="shared" ref="J999:J1062" si="248">F999&amp;":"&amp;G999&amp;":"&amp;H999&amp;":"&amp;I999&amp;","</f>
        <v>5:100:4:12,</v>
      </c>
    </row>
    <row r="1000" spans="1:10">
      <c r="A1000" s="4" t="str">
        <f t="shared" si="240"/>
        <v>1级橙武器防御</v>
      </c>
      <c r="B1000" s="4" t="s">
        <v>198</v>
      </c>
      <c r="C1000" s="4" t="s">
        <v>120</v>
      </c>
      <c r="D1000" s="4">
        <v>1</v>
      </c>
      <c r="E1000" s="4" t="s">
        <v>17</v>
      </c>
      <c r="F1000" s="4">
        <f>VLOOKUP(E1000,基础属性ID!A:B,2,0)</f>
        <v>6</v>
      </c>
      <c r="G1000" s="4">
        <f>VLOOKUP(E1000,基础属性ID!$A:$E,5,0)</f>
        <v>100</v>
      </c>
      <c r="H1000" s="4">
        <v>4</v>
      </c>
      <c r="I1000" s="4">
        <f t="shared" si="247"/>
        <v>12</v>
      </c>
      <c r="J1000" s="4" t="str">
        <f t="shared" si="248"/>
        <v>6:100:4:12,</v>
      </c>
    </row>
    <row r="1001" spans="1:10">
      <c r="A1001" s="4" t="str">
        <f t="shared" si="240"/>
        <v>1级橙武器固定伤害</v>
      </c>
      <c r="B1001" s="4" t="s">
        <v>198</v>
      </c>
      <c r="C1001" s="4" t="s">
        <v>120</v>
      </c>
      <c r="D1001" s="4">
        <v>1</v>
      </c>
      <c r="E1001" s="4" t="s">
        <v>24</v>
      </c>
      <c r="F1001" s="4">
        <f>VLOOKUP(E1001,基础属性ID!A:B,2,0)</f>
        <v>9</v>
      </c>
      <c r="G1001" s="4">
        <f>VLOOKUP(E1001,基础属性ID!$A:$E,5,0)</f>
        <v>50</v>
      </c>
      <c r="H1001" s="4">
        <v>4</v>
      </c>
      <c r="I1001" s="4">
        <f t="shared" si="247"/>
        <v>12</v>
      </c>
      <c r="J1001" s="4" t="str">
        <f t="shared" si="248"/>
        <v>9:50:4:12,</v>
      </c>
    </row>
    <row r="1002" spans="1:10">
      <c r="A1002" s="4" t="str">
        <f t="shared" si="240"/>
        <v>1级橙武器固定减伤</v>
      </c>
      <c r="B1002" s="4" t="s">
        <v>198</v>
      </c>
      <c r="C1002" s="4" t="s">
        <v>120</v>
      </c>
      <c r="D1002" s="4">
        <v>1</v>
      </c>
      <c r="E1002" s="4" t="s">
        <v>25</v>
      </c>
      <c r="F1002" s="4">
        <f>VLOOKUP(E1002,基础属性ID!A:B,2,0)</f>
        <v>10</v>
      </c>
      <c r="G1002" s="4">
        <f>VLOOKUP(E1002,基础属性ID!$A:$E,5,0)</f>
        <v>50</v>
      </c>
      <c r="H1002" s="4">
        <v>4</v>
      </c>
      <c r="I1002" s="4">
        <f t="shared" si="247"/>
        <v>12</v>
      </c>
      <c r="J1002" s="4" t="str">
        <f t="shared" si="248"/>
        <v>10:50:4:12,</v>
      </c>
    </row>
    <row r="1003" spans="1:10">
      <c r="A1003" s="4" t="str">
        <f t="shared" si="240"/>
        <v>1级橙武器生命吸取</v>
      </c>
      <c r="B1003" s="4" t="s">
        <v>198</v>
      </c>
      <c r="C1003" s="4" t="s">
        <v>120</v>
      </c>
      <c r="D1003" s="4">
        <v>1</v>
      </c>
      <c r="E1003" s="4" t="s">
        <v>28</v>
      </c>
      <c r="F1003" s="4">
        <f>VLOOKUP(E1003,基础属性ID!A:B,2,0)</f>
        <v>11</v>
      </c>
      <c r="G1003" s="4">
        <f>VLOOKUP(E1003,基础属性ID!$A:$E,5,0)</f>
        <v>50</v>
      </c>
      <c r="H1003" s="4">
        <v>3</v>
      </c>
      <c r="I1003" s="4">
        <f t="shared" ref="I1003:I1004" si="249">H1003*3</f>
        <v>9</v>
      </c>
      <c r="J1003" s="4" t="str">
        <f t="shared" si="248"/>
        <v>11:50:3:9,</v>
      </c>
    </row>
    <row r="1004" spans="1:10">
      <c r="A1004" s="4" t="str">
        <f t="shared" si="240"/>
        <v>1级橙武器法力吸取</v>
      </c>
      <c r="B1004" s="4" t="s">
        <v>198</v>
      </c>
      <c r="C1004" s="4" t="s">
        <v>120</v>
      </c>
      <c r="D1004" s="4">
        <v>1</v>
      </c>
      <c r="E1004" s="4" t="s">
        <v>29</v>
      </c>
      <c r="F1004" s="4">
        <f>VLOOKUP(E1004,基础属性ID!A:B,2,0)</f>
        <v>12</v>
      </c>
      <c r="G1004" s="4">
        <f>VLOOKUP(E1004,基础属性ID!$A:$E,5,0)</f>
        <v>50</v>
      </c>
      <c r="H1004" s="4">
        <v>3</v>
      </c>
      <c r="I1004" s="4">
        <f t="shared" si="249"/>
        <v>9</v>
      </c>
      <c r="J1004" s="4" t="str">
        <f t="shared" si="248"/>
        <v>12:50:3:9,</v>
      </c>
    </row>
    <row r="1005" spans="1:10">
      <c r="A1005" s="4" t="str">
        <f t="shared" si="240"/>
        <v>1级橙武器暴击几率</v>
      </c>
      <c r="B1005" s="4" t="s">
        <v>198</v>
      </c>
      <c r="C1005" s="4" t="s">
        <v>120</v>
      </c>
      <c r="D1005" s="4">
        <v>1</v>
      </c>
      <c r="E1005" s="4" t="s">
        <v>21</v>
      </c>
      <c r="F1005" s="4">
        <f>VLOOKUP(E1005,基础属性ID!A:B,2,0)</f>
        <v>13</v>
      </c>
      <c r="G1005" s="4">
        <f>VLOOKUP(E1005,基础属性ID!$A:$E,5,0)</f>
        <v>20</v>
      </c>
      <c r="H1005" s="4">
        <v>150</v>
      </c>
      <c r="I1005" s="4">
        <v>300</v>
      </c>
      <c r="J1005" s="4" t="str">
        <f t="shared" si="248"/>
        <v>13:20:150:300,</v>
      </c>
    </row>
    <row r="1006" spans="1:10">
      <c r="A1006" s="4" t="str">
        <f t="shared" si="240"/>
        <v>1级橙武器爆击伤害</v>
      </c>
      <c r="B1006" s="4" t="s">
        <v>198</v>
      </c>
      <c r="C1006" s="4" t="s">
        <v>120</v>
      </c>
      <c r="D1006" s="4">
        <v>1</v>
      </c>
      <c r="E1006" s="4" t="s">
        <v>76</v>
      </c>
      <c r="F1006" s="4">
        <f>VLOOKUP(E1006,基础属性ID!A:B,2,0)</f>
        <v>14</v>
      </c>
      <c r="G1006" s="4">
        <f>VLOOKUP(E1006,基础属性ID!$A:$E,5,0)</f>
        <v>20</v>
      </c>
      <c r="H1006" s="4">
        <v>5</v>
      </c>
      <c r="I1006" s="4">
        <v>10</v>
      </c>
      <c r="J1006" s="4" t="str">
        <f t="shared" si="248"/>
        <v>14:20:5:10,</v>
      </c>
    </row>
    <row r="1007" spans="1:10">
      <c r="A1007" s="4" t="str">
        <f t="shared" si="240"/>
        <v>1级橙武器装备掉率</v>
      </c>
      <c r="B1007" s="4" t="s">
        <v>198</v>
      </c>
      <c r="C1007" s="4" t="s">
        <v>120</v>
      </c>
      <c r="D1007" s="4">
        <v>1</v>
      </c>
      <c r="E1007" s="4" t="s">
        <v>30</v>
      </c>
      <c r="F1007" s="4">
        <f>VLOOKUP(E1007,基础属性ID!A:B,2,0)</f>
        <v>17</v>
      </c>
      <c r="G1007" s="4">
        <f>VLOOKUP(E1007,基础属性ID!$A:$E,5,0)</f>
        <v>60</v>
      </c>
      <c r="H1007" s="4">
        <v>4</v>
      </c>
      <c r="I1007" s="4">
        <v>12</v>
      </c>
      <c r="J1007" s="4" t="str">
        <f t="shared" si="248"/>
        <v>17:60:4:12,</v>
      </c>
    </row>
    <row r="1008" spans="1:10">
      <c r="A1008" s="4" t="str">
        <f t="shared" si="240"/>
        <v>1级橙武器极品掉率</v>
      </c>
      <c r="B1008" s="4" t="s">
        <v>198</v>
      </c>
      <c r="C1008" s="4" t="s">
        <v>120</v>
      </c>
      <c r="D1008" s="4">
        <v>1</v>
      </c>
      <c r="E1008" s="4" t="s">
        <v>31</v>
      </c>
      <c r="F1008" s="4">
        <f>VLOOKUP(E1008,基础属性ID!A:B,2,0)</f>
        <v>18</v>
      </c>
      <c r="G1008" s="4">
        <f>VLOOKUP(E1008,基础属性ID!$A:$E,5,0)</f>
        <v>60</v>
      </c>
      <c r="H1008" s="4">
        <v>4</v>
      </c>
      <c r="I1008" s="4">
        <v>12</v>
      </c>
      <c r="J1008" s="4" t="str">
        <f t="shared" si="248"/>
        <v>18:60:4:12,</v>
      </c>
    </row>
    <row r="1009" spans="1:10">
      <c r="A1009" s="4" t="str">
        <f t="shared" si="240"/>
        <v>1级橙护甲生命值</v>
      </c>
      <c r="B1009" s="4" t="s">
        <v>203</v>
      </c>
      <c r="C1009" s="4" t="s">
        <v>120</v>
      </c>
      <c r="D1009" s="4">
        <v>1</v>
      </c>
      <c r="E1009" s="4" t="s">
        <v>74</v>
      </c>
      <c r="F1009" s="4">
        <f>VLOOKUP(E1009,基础属性ID!A:B,2,0)</f>
        <v>1</v>
      </c>
      <c r="G1009" s="4">
        <f>VLOOKUP(E1009,基础属性ID!$A:$E,5,0)</f>
        <v>100</v>
      </c>
      <c r="H1009" s="4">
        <v>10</v>
      </c>
      <c r="I1009" s="4">
        <f>H1009*3</f>
        <v>30</v>
      </c>
      <c r="J1009" s="4" t="str">
        <f t="shared" si="248"/>
        <v>1:100:10:30,</v>
      </c>
    </row>
    <row r="1010" spans="1:10">
      <c r="A1010" s="4" t="str">
        <f t="shared" si="240"/>
        <v>1级橙护甲法力值</v>
      </c>
      <c r="B1010" s="4" t="s">
        <v>203</v>
      </c>
      <c r="C1010" s="4" t="s">
        <v>120</v>
      </c>
      <c r="D1010" s="4">
        <v>1</v>
      </c>
      <c r="E1010" s="4" t="s">
        <v>75</v>
      </c>
      <c r="F1010" s="4">
        <f>VLOOKUP(E1010,基础属性ID!A:B,2,0)</f>
        <v>2</v>
      </c>
      <c r="G1010" s="4">
        <f>VLOOKUP(E1010,基础属性ID!$A:$E,5,0)</f>
        <v>100</v>
      </c>
      <c r="H1010" s="4">
        <v>10</v>
      </c>
      <c r="I1010" s="4">
        <v>20</v>
      </c>
      <c r="J1010" s="4" t="str">
        <f t="shared" si="248"/>
        <v>2:100:10:20,</v>
      </c>
    </row>
    <row r="1011" spans="1:10">
      <c r="A1011" s="4" t="str">
        <f t="shared" si="240"/>
        <v>1级橙护甲物理攻击</v>
      </c>
      <c r="B1011" s="4" t="s">
        <v>203</v>
      </c>
      <c r="C1011" s="4" t="s">
        <v>120</v>
      </c>
      <c r="D1011" s="4">
        <v>1</v>
      </c>
      <c r="E1011" s="4" t="s">
        <v>13</v>
      </c>
      <c r="F1011" s="4">
        <f>VLOOKUP(E1011,基础属性ID!A:B,2,0)</f>
        <v>3</v>
      </c>
      <c r="G1011" s="4">
        <f>VLOOKUP(E1011,基础属性ID!$A:$E,5,0)</f>
        <v>100</v>
      </c>
      <c r="H1011" s="4">
        <v>4</v>
      </c>
      <c r="I1011" s="4">
        <f t="shared" ref="I1011:I1016" si="250">H1011*3</f>
        <v>12</v>
      </c>
      <c r="J1011" s="4" t="str">
        <f t="shared" si="248"/>
        <v>3:100:4:12,</v>
      </c>
    </row>
    <row r="1012" spans="1:10">
      <c r="A1012" s="4" t="str">
        <f t="shared" si="240"/>
        <v>1级橙护甲魔法攻击</v>
      </c>
      <c r="B1012" s="4" t="s">
        <v>203</v>
      </c>
      <c r="C1012" s="4" t="s">
        <v>120</v>
      </c>
      <c r="D1012" s="4">
        <v>1</v>
      </c>
      <c r="E1012" s="4" t="s">
        <v>14</v>
      </c>
      <c r="F1012" s="4">
        <f>VLOOKUP(E1012,基础属性ID!A:B,2,0)</f>
        <v>4</v>
      </c>
      <c r="G1012" s="4">
        <f>VLOOKUP(E1012,基础属性ID!$A:$E,5,0)</f>
        <v>100</v>
      </c>
      <c r="H1012" s="4">
        <v>4</v>
      </c>
      <c r="I1012" s="4">
        <f t="shared" si="250"/>
        <v>12</v>
      </c>
      <c r="J1012" s="4" t="str">
        <f t="shared" si="248"/>
        <v>4:100:4:12,</v>
      </c>
    </row>
    <row r="1013" spans="1:10">
      <c r="A1013" s="4" t="str">
        <f t="shared" si="240"/>
        <v>1级橙护甲道术攻击</v>
      </c>
      <c r="B1013" s="4" t="s">
        <v>203</v>
      </c>
      <c r="C1013" s="4" t="s">
        <v>120</v>
      </c>
      <c r="D1013" s="4">
        <v>1</v>
      </c>
      <c r="E1013" s="4" t="s">
        <v>15</v>
      </c>
      <c r="F1013" s="4">
        <f>VLOOKUP(E1013,基础属性ID!A:B,2,0)</f>
        <v>5</v>
      </c>
      <c r="G1013" s="4">
        <f>VLOOKUP(E1013,基础属性ID!$A:$E,5,0)</f>
        <v>100</v>
      </c>
      <c r="H1013" s="4">
        <v>4</v>
      </c>
      <c r="I1013" s="4">
        <f t="shared" si="250"/>
        <v>12</v>
      </c>
      <c r="J1013" s="4" t="str">
        <f t="shared" si="248"/>
        <v>5:100:4:12,</v>
      </c>
    </row>
    <row r="1014" spans="1:10">
      <c r="A1014" s="4" t="str">
        <f t="shared" si="240"/>
        <v>1级橙护甲防御</v>
      </c>
      <c r="B1014" s="4" t="s">
        <v>203</v>
      </c>
      <c r="C1014" s="4" t="s">
        <v>120</v>
      </c>
      <c r="D1014" s="4">
        <v>1</v>
      </c>
      <c r="E1014" s="4" t="s">
        <v>17</v>
      </c>
      <c r="F1014" s="4">
        <f>VLOOKUP(E1014,基础属性ID!A:B,2,0)</f>
        <v>6</v>
      </c>
      <c r="G1014" s="4">
        <f>VLOOKUP(E1014,基础属性ID!$A:$E,5,0)</f>
        <v>100</v>
      </c>
      <c r="H1014" s="4">
        <v>4</v>
      </c>
      <c r="I1014" s="4">
        <f t="shared" si="250"/>
        <v>12</v>
      </c>
      <c r="J1014" s="4" t="str">
        <f t="shared" si="248"/>
        <v>6:100:4:12,</v>
      </c>
    </row>
    <row r="1015" spans="1:10">
      <c r="A1015" s="4" t="str">
        <f t="shared" si="240"/>
        <v>1级橙护甲固定伤害</v>
      </c>
      <c r="B1015" s="4" t="s">
        <v>203</v>
      </c>
      <c r="C1015" s="4" t="s">
        <v>120</v>
      </c>
      <c r="D1015" s="4">
        <v>1</v>
      </c>
      <c r="E1015" s="4" t="s">
        <v>24</v>
      </c>
      <c r="F1015" s="4">
        <f>VLOOKUP(E1015,基础属性ID!A:B,2,0)</f>
        <v>9</v>
      </c>
      <c r="G1015" s="4">
        <f>VLOOKUP(E1015,基础属性ID!$A:$E,5,0)</f>
        <v>50</v>
      </c>
      <c r="H1015" s="4">
        <v>4</v>
      </c>
      <c r="I1015" s="4">
        <f t="shared" si="250"/>
        <v>12</v>
      </c>
      <c r="J1015" s="4" t="str">
        <f t="shared" si="248"/>
        <v>9:50:4:12,</v>
      </c>
    </row>
    <row r="1016" spans="1:10">
      <c r="A1016" s="4" t="str">
        <f t="shared" si="240"/>
        <v>1级橙护甲固定减伤</v>
      </c>
      <c r="B1016" s="4" t="s">
        <v>203</v>
      </c>
      <c r="C1016" s="4" t="s">
        <v>120</v>
      </c>
      <c r="D1016" s="4">
        <v>1</v>
      </c>
      <c r="E1016" s="4" t="s">
        <v>25</v>
      </c>
      <c r="F1016" s="4">
        <f>VLOOKUP(E1016,基础属性ID!A:B,2,0)</f>
        <v>10</v>
      </c>
      <c r="G1016" s="4">
        <f>VLOOKUP(E1016,基础属性ID!$A:$E,5,0)</f>
        <v>50</v>
      </c>
      <c r="H1016" s="4">
        <v>4</v>
      </c>
      <c r="I1016" s="4">
        <f t="shared" si="250"/>
        <v>12</v>
      </c>
      <c r="J1016" s="4" t="str">
        <f t="shared" si="248"/>
        <v>10:50:4:12,</v>
      </c>
    </row>
    <row r="1017" spans="1:10">
      <c r="A1017" s="4" t="str">
        <f t="shared" si="240"/>
        <v>1级橙护甲生命吸取</v>
      </c>
      <c r="B1017" s="4" t="s">
        <v>203</v>
      </c>
      <c r="C1017" s="4" t="s">
        <v>120</v>
      </c>
      <c r="D1017" s="4">
        <v>1</v>
      </c>
      <c r="E1017" s="4" t="s">
        <v>28</v>
      </c>
      <c r="F1017" s="4">
        <f>VLOOKUP(E1017,基础属性ID!A:B,2,0)</f>
        <v>11</v>
      </c>
      <c r="G1017" s="4">
        <f>VLOOKUP(E1017,基础属性ID!$A:$E,5,0)</f>
        <v>50</v>
      </c>
      <c r="H1017" s="4">
        <v>3</v>
      </c>
      <c r="I1017" s="4">
        <f t="shared" ref="I1017:I1018" si="251">H1017*3</f>
        <v>9</v>
      </c>
      <c r="J1017" s="4" t="str">
        <f t="shared" si="248"/>
        <v>11:50:3:9,</v>
      </c>
    </row>
    <row r="1018" spans="1:10">
      <c r="A1018" s="4" t="str">
        <f t="shared" si="240"/>
        <v>1级橙护甲法力吸取</v>
      </c>
      <c r="B1018" s="4" t="s">
        <v>203</v>
      </c>
      <c r="C1018" s="4" t="s">
        <v>120</v>
      </c>
      <c r="D1018" s="4">
        <v>1</v>
      </c>
      <c r="E1018" s="4" t="s">
        <v>29</v>
      </c>
      <c r="F1018" s="4">
        <f>VLOOKUP(E1018,基础属性ID!A:B,2,0)</f>
        <v>12</v>
      </c>
      <c r="G1018" s="4">
        <f>VLOOKUP(E1018,基础属性ID!$A:$E,5,0)</f>
        <v>50</v>
      </c>
      <c r="H1018" s="4">
        <v>3</v>
      </c>
      <c r="I1018" s="4">
        <f t="shared" si="251"/>
        <v>9</v>
      </c>
      <c r="J1018" s="4" t="str">
        <f t="shared" si="248"/>
        <v>12:50:3:9,</v>
      </c>
    </row>
    <row r="1019" spans="1:10">
      <c r="A1019" s="4" t="str">
        <f t="shared" si="240"/>
        <v>1级橙护甲暴击几率</v>
      </c>
      <c r="B1019" s="4" t="s">
        <v>203</v>
      </c>
      <c r="C1019" s="4" t="s">
        <v>120</v>
      </c>
      <c r="D1019" s="4">
        <v>1</v>
      </c>
      <c r="E1019" s="4" t="s">
        <v>21</v>
      </c>
      <c r="F1019" s="4">
        <f>VLOOKUP(E1019,基础属性ID!A:B,2,0)</f>
        <v>13</v>
      </c>
      <c r="G1019" s="4">
        <f>VLOOKUP(E1019,基础属性ID!$A:$E,5,0)</f>
        <v>20</v>
      </c>
      <c r="H1019" s="4">
        <v>150</v>
      </c>
      <c r="I1019" s="4">
        <v>300</v>
      </c>
      <c r="J1019" s="4" t="str">
        <f t="shared" si="248"/>
        <v>13:20:150:300,</v>
      </c>
    </row>
    <row r="1020" spans="1:10">
      <c r="A1020" s="4" t="str">
        <f t="shared" si="240"/>
        <v>1级橙护甲爆击伤害</v>
      </c>
      <c r="B1020" s="4" t="s">
        <v>203</v>
      </c>
      <c r="C1020" s="4" t="s">
        <v>120</v>
      </c>
      <c r="D1020" s="4">
        <v>1</v>
      </c>
      <c r="E1020" s="4" t="s">
        <v>76</v>
      </c>
      <c r="F1020" s="4">
        <f>VLOOKUP(E1020,基础属性ID!A:B,2,0)</f>
        <v>14</v>
      </c>
      <c r="G1020" s="4">
        <f>VLOOKUP(E1020,基础属性ID!$A:$E,5,0)</f>
        <v>20</v>
      </c>
      <c r="H1020" s="4">
        <v>5</v>
      </c>
      <c r="I1020" s="4">
        <v>10</v>
      </c>
      <c r="J1020" s="4" t="str">
        <f t="shared" si="248"/>
        <v>14:20:5:10,</v>
      </c>
    </row>
    <row r="1021" spans="1:10">
      <c r="A1021" s="4" t="str">
        <f t="shared" si="240"/>
        <v>1级橙护甲装备掉率</v>
      </c>
      <c r="B1021" s="4" t="s">
        <v>203</v>
      </c>
      <c r="C1021" s="4" t="s">
        <v>120</v>
      </c>
      <c r="D1021" s="4">
        <v>1</v>
      </c>
      <c r="E1021" s="4" t="s">
        <v>30</v>
      </c>
      <c r="F1021" s="4">
        <f>VLOOKUP(E1021,基础属性ID!A:B,2,0)</f>
        <v>17</v>
      </c>
      <c r="G1021" s="4">
        <f>VLOOKUP(E1021,基础属性ID!$A:$E,5,0)</f>
        <v>60</v>
      </c>
      <c r="H1021" s="4">
        <v>4</v>
      </c>
      <c r="I1021" s="4">
        <v>12</v>
      </c>
      <c r="J1021" s="4" t="str">
        <f t="shared" si="248"/>
        <v>17:60:4:12,</v>
      </c>
    </row>
    <row r="1022" spans="1:10">
      <c r="A1022" s="4" t="str">
        <f t="shared" si="240"/>
        <v>1级橙护甲极品掉率</v>
      </c>
      <c r="B1022" s="4" t="s">
        <v>203</v>
      </c>
      <c r="C1022" s="4" t="s">
        <v>120</v>
      </c>
      <c r="D1022" s="4">
        <v>1</v>
      </c>
      <c r="E1022" s="4" t="s">
        <v>31</v>
      </c>
      <c r="F1022" s="4">
        <f>VLOOKUP(E1022,基础属性ID!A:B,2,0)</f>
        <v>18</v>
      </c>
      <c r="G1022" s="4">
        <f>VLOOKUP(E1022,基础属性ID!$A:$E,5,0)</f>
        <v>60</v>
      </c>
      <c r="H1022" s="4">
        <v>4</v>
      </c>
      <c r="I1022" s="4">
        <v>12</v>
      </c>
      <c r="J1022" s="4" t="str">
        <f t="shared" si="248"/>
        <v>18:60:4:12,</v>
      </c>
    </row>
    <row r="1023" spans="1:10">
      <c r="A1023" s="4" t="str">
        <f t="shared" si="240"/>
        <v>1级橙项链生命值</v>
      </c>
      <c r="B1023" s="4" t="s">
        <v>215</v>
      </c>
      <c r="C1023" s="4" t="s">
        <v>120</v>
      </c>
      <c r="D1023" s="4">
        <v>1</v>
      </c>
      <c r="E1023" s="4" t="s">
        <v>74</v>
      </c>
      <c r="F1023" s="4">
        <f>VLOOKUP(E1023,基础属性ID!A:B,2,0)</f>
        <v>1</v>
      </c>
      <c r="G1023" s="4">
        <f>VLOOKUP(E1023,基础属性ID!$A:$E,5,0)</f>
        <v>100</v>
      </c>
      <c r="H1023" s="4">
        <v>10</v>
      </c>
      <c r="I1023" s="4">
        <f>H1023*3</f>
        <v>30</v>
      </c>
      <c r="J1023" s="4" t="str">
        <f t="shared" si="248"/>
        <v>1:100:10:30,</v>
      </c>
    </row>
    <row r="1024" spans="1:10">
      <c r="A1024" s="4" t="str">
        <f t="shared" si="240"/>
        <v>1级橙项链法力值</v>
      </c>
      <c r="B1024" s="4" t="s">
        <v>215</v>
      </c>
      <c r="C1024" s="4" t="s">
        <v>120</v>
      </c>
      <c r="D1024" s="4">
        <v>1</v>
      </c>
      <c r="E1024" s="4" t="s">
        <v>75</v>
      </c>
      <c r="F1024" s="4">
        <f>VLOOKUP(E1024,基础属性ID!A:B,2,0)</f>
        <v>2</v>
      </c>
      <c r="G1024" s="4">
        <f>VLOOKUP(E1024,基础属性ID!$A:$E,5,0)</f>
        <v>100</v>
      </c>
      <c r="H1024" s="4">
        <v>10</v>
      </c>
      <c r="I1024" s="4">
        <v>20</v>
      </c>
      <c r="J1024" s="4" t="str">
        <f t="shared" si="248"/>
        <v>2:100:10:20,</v>
      </c>
    </row>
    <row r="1025" spans="1:10">
      <c r="A1025" s="4" t="str">
        <f t="shared" si="240"/>
        <v>1级橙项链物理攻击</v>
      </c>
      <c r="B1025" s="4" t="s">
        <v>215</v>
      </c>
      <c r="C1025" s="4" t="s">
        <v>120</v>
      </c>
      <c r="D1025" s="4">
        <v>1</v>
      </c>
      <c r="E1025" s="4" t="s">
        <v>13</v>
      </c>
      <c r="F1025" s="4">
        <f>VLOOKUP(E1025,基础属性ID!A:B,2,0)</f>
        <v>3</v>
      </c>
      <c r="G1025" s="4">
        <f>VLOOKUP(E1025,基础属性ID!$A:$E,5,0)</f>
        <v>100</v>
      </c>
      <c r="H1025" s="4">
        <v>4</v>
      </c>
      <c r="I1025" s="4">
        <f t="shared" ref="I1025:I1030" si="252">H1025*3</f>
        <v>12</v>
      </c>
      <c r="J1025" s="4" t="str">
        <f t="shared" si="248"/>
        <v>3:100:4:12,</v>
      </c>
    </row>
    <row r="1026" spans="1:10">
      <c r="A1026" s="4" t="str">
        <f t="shared" si="240"/>
        <v>1级橙项链魔法攻击</v>
      </c>
      <c r="B1026" s="4" t="s">
        <v>215</v>
      </c>
      <c r="C1026" s="4" t="s">
        <v>120</v>
      </c>
      <c r="D1026" s="4">
        <v>1</v>
      </c>
      <c r="E1026" s="4" t="s">
        <v>14</v>
      </c>
      <c r="F1026" s="4">
        <f>VLOOKUP(E1026,基础属性ID!A:B,2,0)</f>
        <v>4</v>
      </c>
      <c r="G1026" s="4">
        <f>VLOOKUP(E1026,基础属性ID!$A:$E,5,0)</f>
        <v>100</v>
      </c>
      <c r="H1026" s="4">
        <v>4</v>
      </c>
      <c r="I1026" s="4">
        <f t="shared" si="252"/>
        <v>12</v>
      </c>
      <c r="J1026" s="4" t="str">
        <f t="shared" si="248"/>
        <v>4:100:4:12,</v>
      </c>
    </row>
    <row r="1027" spans="1:10">
      <c r="A1027" s="4" t="str">
        <f t="shared" ref="A1027:A1090" si="253">D1027&amp;"级"&amp;C1027&amp;B1027&amp;E1027</f>
        <v>1级橙项链道术攻击</v>
      </c>
      <c r="B1027" s="4" t="s">
        <v>215</v>
      </c>
      <c r="C1027" s="4" t="s">
        <v>120</v>
      </c>
      <c r="D1027" s="4">
        <v>1</v>
      </c>
      <c r="E1027" s="4" t="s">
        <v>15</v>
      </c>
      <c r="F1027" s="4">
        <f>VLOOKUP(E1027,基础属性ID!A:B,2,0)</f>
        <v>5</v>
      </c>
      <c r="G1027" s="4">
        <f>VLOOKUP(E1027,基础属性ID!$A:$E,5,0)</f>
        <v>100</v>
      </c>
      <c r="H1027" s="4">
        <v>4</v>
      </c>
      <c r="I1027" s="4">
        <f t="shared" si="252"/>
        <v>12</v>
      </c>
      <c r="J1027" s="4" t="str">
        <f t="shared" si="248"/>
        <v>5:100:4:12,</v>
      </c>
    </row>
    <row r="1028" spans="1:10">
      <c r="A1028" s="4" t="str">
        <f t="shared" si="253"/>
        <v>1级橙项链防御</v>
      </c>
      <c r="B1028" s="4" t="s">
        <v>215</v>
      </c>
      <c r="C1028" s="4" t="s">
        <v>120</v>
      </c>
      <c r="D1028" s="4">
        <v>1</v>
      </c>
      <c r="E1028" s="4" t="s">
        <v>17</v>
      </c>
      <c r="F1028" s="4">
        <f>VLOOKUP(E1028,基础属性ID!A:B,2,0)</f>
        <v>6</v>
      </c>
      <c r="G1028" s="4">
        <f>VLOOKUP(E1028,基础属性ID!$A:$E,5,0)</f>
        <v>100</v>
      </c>
      <c r="H1028" s="4">
        <v>4</v>
      </c>
      <c r="I1028" s="4">
        <f t="shared" si="252"/>
        <v>12</v>
      </c>
      <c r="J1028" s="4" t="str">
        <f t="shared" si="248"/>
        <v>6:100:4:12,</v>
      </c>
    </row>
    <row r="1029" spans="1:10">
      <c r="A1029" s="4" t="str">
        <f t="shared" si="253"/>
        <v>1级橙项链固定伤害</v>
      </c>
      <c r="B1029" s="4" t="s">
        <v>215</v>
      </c>
      <c r="C1029" s="4" t="s">
        <v>120</v>
      </c>
      <c r="D1029" s="4">
        <v>1</v>
      </c>
      <c r="E1029" s="4" t="s">
        <v>24</v>
      </c>
      <c r="F1029" s="4">
        <f>VLOOKUP(E1029,基础属性ID!A:B,2,0)</f>
        <v>9</v>
      </c>
      <c r="G1029" s="4">
        <f>VLOOKUP(E1029,基础属性ID!$A:$E,5,0)</f>
        <v>50</v>
      </c>
      <c r="H1029" s="4">
        <v>4</v>
      </c>
      <c r="I1029" s="4">
        <f t="shared" si="252"/>
        <v>12</v>
      </c>
      <c r="J1029" s="4" t="str">
        <f t="shared" si="248"/>
        <v>9:50:4:12,</v>
      </c>
    </row>
    <row r="1030" spans="1:10">
      <c r="A1030" s="4" t="str">
        <f t="shared" si="253"/>
        <v>1级橙项链固定减伤</v>
      </c>
      <c r="B1030" s="4" t="s">
        <v>215</v>
      </c>
      <c r="C1030" s="4" t="s">
        <v>120</v>
      </c>
      <c r="D1030" s="4">
        <v>1</v>
      </c>
      <c r="E1030" s="4" t="s">
        <v>25</v>
      </c>
      <c r="F1030" s="4">
        <f>VLOOKUP(E1030,基础属性ID!A:B,2,0)</f>
        <v>10</v>
      </c>
      <c r="G1030" s="4">
        <f>VLOOKUP(E1030,基础属性ID!$A:$E,5,0)</f>
        <v>50</v>
      </c>
      <c r="H1030" s="4">
        <v>4</v>
      </c>
      <c r="I1030" s="4">
        <f t="shared" si="252"/>
        <v>12</v>
      </c>
      <c r="J1030" s="4" t="str">
        <f t="shared" si="248"/>
        <v>10:50:4:12,</v>
      </c>
    </row>
    <row r="1031" spans="1:10">
      <c r="A1031" s="4" t="str">
        <f t="shared" si="253"/>
        <v>1级橙项链生命吸取</v>
      </c>
      <c r="B1031" s="4" t="s">
        <v>215</v>
      </c>
      <c r="C1031" s="4" t="s">
        <v>120</v>
      </c>
      <c r="D1031" s="4">
        <v>1</v>
      </c>
      <c r="E1031" s="4" t="s">
        <v>28</v>
      </c>
      <c r="F1031" s="4">
        <f>VLOOKUP(E1031,基础属性ID!A:B,2,0)</f>
        <v>11</v>
      </c>
      <c r="G1031" s="4">
        <f>VLOOKUP(E1031,基础属性ID!$A:$E,5,0)</f>
        <v>50</v>
      </c>
      <c r="H1031" s="4">
        <v>3</v>
      </c>
      <c r="I1031" s="4">
        <f t="shared" ref="I1031:I1032" si="254">H1031*3</f>
        <v>9</v>
      </c>
      <c r="J1031" s="4" t="str">
        <f t="shared" si="248"/>
        <v>11:50:3:9,</v>
      </c>
    </row>
    <row r="1032" spans="1:10">
      <c r="A1032" s="4" t="str">
        <f t="shared" si="253"/>
        <v>1级橙项链法力吸取</v>
      </c>
      <c r="B1032" s="4" t="s">
        <v>215</v>
      </c>
      <c r="C1032" s="4" t="s">
        <v>120</v>
      </c>
      <c r="D1032" s="4">
        <v>1</v>
      </c>
      <c r="E1032" s="4" t="s">
        <v>29</v>
      </c>
      <c r="F1032" s="4">
        <f>VLOOKUP(E1032,基础属性ID!A:B,2,0)</f>
        <v>12</v>
      </c>
      <c r="G1032" s="4">
        <f>VLOOKUP(E1032,基础属性ID!$A:$E,5,0)</f>
        <v>50</v>
      </c>
      <c r="H1032" s="4">
        <v>3</v>
      </c>
      <c r="I1032" s="4">
        <f t="shared" si="254"/>
        <v>9</v>
      </c>
      <c r="J1032" s="4" t="str">
        <f t="shared" si="248"/>
        <v>12:50:3:9,</v>
      </c>
    </row>
    <row r="1033" spans="1:10">
      <c r="A1033" s="4" t="str">
        <f t="shared" si="253"/>
        <v>1级橙项链暴击几率</v>
      </c>
      <c r="B1033" s="4" t="s">
        <v>215</v>
      </c>
      <c r="C1033" s="4" t="s">
        <v>120</v>
      </c>
      <c r="D1033" s="4">
        <v>1</v>
      </c>
      <c r="E1033" s="4" t="s">
        <v>21</v>
      </c>
      <c r="F1033" s="4">
        <f>VLOOKUP(E1033,基础属性ID!A:B,2,0)</f>
        <v>13</v>
      </c>
      <c r="G1033" s="4">
        <f>VLOOKUP(E1033,基础属性ID!$A:$E,5,0)</f>
        <v>20</v>
      </c>
      <c r="H1033" s="4">
        <v>150</v>
      </c>
      <c r="I1033" s="4">
        <v>300</v>
      </c>
      <c r="J1033" s="4" t="str">
        <f t="shared" si="248"/>
        <v>13:20:150:300,</v>
      </c>
    </row>
    <row r="1034" spans="1:10">
      <c r="A1034" s="4" t="str">
        <f t="shared" si="253"/>
        <v>1级橙项链爆击伤害</v>
      </c>
      <c r="B1034" s="4" t="s">
        <v>215</v>
      </c>
      <c r="C1034" s="4" t="s">
        <v>120</v>
      </c>
      <c r="D1034" s="4">
        <v>1</v>
      </c>
      <c r="E1034" s="4" t="s">
        <v>76</v>
      </c>
      <c r="F1034" s="4">
        <f>VLOOKUP(E1034,基础属性ID!A:B,2,0)</f>
        <v>14</v>
      </c>
      <c r="G1034" s="4">
        <f>VLOOKUP(E1034,基础属性ID!$A:$E,5,0)</f>
        <v>20</v>
      </c>
      <c r="H1034" s="4">
        <v>5</v>
      </c>
      <c r="I1034" s="4">
        <v>10</v>
      </c>
      <c r="J1034" s="4" t="str">
        <f t="shared" si="248"/>
        <v>14:20:5:10,</v>
      </c>
    </row>
    <row r="1035" spans="1:10">
      <c r="A1035" s="4" t="str">
        <f t="shared" si="253"/>
        <v>1级橙项链装备掉率</v>
      </c>
      <c r="B1035" s="4" t="s">
        <v>215</v>
      </c>
      <c r="C1035" s="4" t="s">
        <v>120</v>
      </c>
      <c r="D1035" s="4">
        <v>1</v>
      </c>
      <c r="E1035" s="4" t="s">
        <v>30</v>
      </c>
      <c r="F1035" s="4">
        <f>VLOOKUP(E1035,基础属性ID!A:B,2,0)</f>
        <v>17</v>
      </c>
      <c r="G1035" s="4">
        <f>VLOOKUP(E1035,基础属性ID!$A:$E,5,0)</f>
        <v>60</v>
      </c>
      <c r="H1035" s="4">
        <v>4</v>
      </c>
      <c r="I1035" s="4">
        <v>12</v>
      </c>
      <c r="J1035" s="4" t="str">
        <f t="shared" si="248"/>
        <v>17:60:4:12,</v>
      </c>
    </row>
    <row r="1036" spans="1:10">
      <c r="A1036" s="4" t="str">
        <f t="shared" si="253"/>
        <v>1级橙项链极品掉率</v>
      </c>
      <c r="B1036" s="4" t="s">
        <v>215</v>
      </c>
      <c r="C1036" s="4" t="s">
        <v>120</v>
      </c>
      <c r="D1036" s="4">
        <v>1</v>
      </c>
      <c r="E1036" s="4" t="s">
        <v>31</v>
      </c>
      <c r="F1036" s="4">
        <f>VLOOKUP(E1036,基础属性ID!A:B,2,0)</f>
        <v>18</v>
      </c>
      <c r="G1036" s="4">
        <f>VLOOKUP(E1036,基础属性ID!$A:$E,5,0)</f>
        <v>60</v>
      </c>
      <c r="H1036" s="4">
        <v>4</v>
      </c>
      <c r="I1036" s="4">
        <v>12</v>
      </c>
      <c r="J1036" s="4" t="str">
        <f t="shared" si="248"/>
        <v>18:60:4:12,</v>
      </c>
    </row>
    <row r="1037" spans="1:10">
      <c r="A1037" s="4" t="str">
        <f t="shared" si="253"/>
        <v>1级橙手镯生命值</v>
      </c>
      <c r="B1037" s="4" t="s">
        <v>218</v>
      </c>
      <c r="C1037" s="4" t="s">
        <v>120</v>
      </c>
      <c r="D1037" s="4">
        <v>1</v>
      </c>
      <c r="E1037" s="4" t="s">
        <v>74</v>
      </c>
      <c r="F1037" s="4">
        <f>VLOOKUP(E1037,基础属性ID!A:B,2,0)</f>
        <v>1</v>
      </c>
      <c r="G1037" s="4">
        <f>VLOOKUP(E1037,基础属性ID!$A:$E,5,0)</f>
        <v>100</v>
      </c>
      <c r="H1037" s="4">
        <v>10</v>
      </c>
      <c r="I1037" s="4">
        <f>H1037*3</f>
        <v>30</v>
      </c>
      <c r="J1037" s="4" t="str">
        <f t="shared" si="248"/>
        <v>1:100:10:30,</v>
      </c>
    </row>
    <row r="1038" spans="1:10">
      <c r="A1038" s="4" t="str">
        <f t="shared" si="253"/>
        <v>1级橙手镯法力值</v>
      </c>
      <c r="B1038" s="4" t="s">
        <v>218</v>
      </c>
      <c r="C1038" s="4" t="s">
        <v>120</v>
      </c>
      <c r="D1038" s="4">
        <v>1</v>
      </c>
      <c r="E1038" s="4" t="s">
        <v>75</v>
      </c>
      <c r="F1038" s="4">
        <f>VLOOKUP(E1038,基础属性ID!A:B,2,0)</f>
        <v>2</v>
      </c>
      <c r="G1038" s="4">
        <f>VLOOKUP(E1038,基础属性ID!$A:$E,5,0)</f>
        <v>100</v>
      </c>
      <c r="H1038" s="4">
        <v>10</v>
      </c>
      <c r="I1038" s="4">
        <v>20</v>
      </c>
      <c r="J1038" s="4" t="str">
        <f t="shared" si="248"/>
        <v>2:100:10:20,</v>
      </c>
    </row>
    <row r="1039" spans="1:10">
      <c r="A1039" s="4" t="str">
        <f t="shared" si="253"/>
        <v>1级橙手镯物理攻击</v>
      </c>
      <c r="B1039" s="4" t="s">
        <v>218</v>
      </c>
      <c r="C1039" s="4" t="s">
        <v>120</v>
      </c>
      <c r="D1039" s="4">
        <v>1</v>
      </c>
      <c r="E1039" s="4" t="s">
        <v>13</v>
      </c>
      <c r="F1039" s="4">
        <f>VLOOKUP(E1039,基础属性ID!A:B,2,0)</f>
        <v>3</v>
      </c>
      <c r="G1039" s="4">
        <f>VLOOKUP(E1039,基础属性ID!$A:$E,5,0)</f>
        <v>100</v>
      </c>
      <c r="H1039" s="4">
        <v>4</v>
      </c>
      <c r="I1039" s="4">
        <f t="shared" ref="I1039:I1044" si="255">H1039*3</f>
        <v>12</v>
      </c>
      <c r="J1039" s="4" t="str">
        <f t="shared" si="248"/>
        <v>3:100:4:12,</v>
      </c>
    </row>
    <row r="1040" spans="1:10">
      <c r="A1040" s="4" t="str">
        <f t="shared" si="253"/>
        <v>1级橙手镯魔法攻击</v>
      </c>
      <c r="B1040" s="4" t="s">
        <v>218</v>
      </c>
      <c r="C1040" s="4" t="s">
        <v>120</v>
      </c>
      <c r="D1040" s="4">
        <v>1</v>
      </c>
      <c r="E1040" s="4" t="s">
        <v>14</v>
      </c>
      <c r="F1040" s="4">
        <f>VLOOKUP(E1040,基础属性ID!A:B,2,0)</f>
        <v>4</v>
      </c>
      <c r="G1040" s="4">
        <f>VLOOKUP(E1040,基础属性ID!$A:$E,5,0)</f>
        <v>100</v>
      </c>
      <c r="H1040" s="4">
        <v>4</v>
      </c>
      <c r="I1040" s="4">
        <f t="shared" si="255"/>
        <v>12</v>
      </c>
      <c r="J1040" s="4" t="str">
        <f t="shared" si="248"/>
        <v>4:100:4:12,</v>
      </c>
    </row>
    <row r="1041" spans="1:10">
      <c r="A1041" s="4" t="str">
        <f t="shared" si="253"/>
        <v>1级橙手镯道术攻击</v>
      </c>
      <c r="B1041" s="4" t="s">
        <v>218</v>
      </c>
      <c r="C1041" s="4" t="s">
        <v>120</v>
      </c>
      <c r="D1041" s="4">
        <v>1</v>
      </c>
      <c r="E1041" s="4" t="s">
        <v>15</v>
      </c>
      <c r="F1041" s="4">
        <f>VLOOKUP(E1041,基础属性ID!A:B,2,0)</f>
        <v>5</v>
      </c>
      <c r="G1041" s="4">
        <f>VLOOKUP(E1041,基础属性ID!$A:$E,5,0)</f>
        <v>100</v>
      </c>
      <c r="H1041" s="4">
        <v>4</v>
      </c>
      <c r="I1041" s="4">
        <f t="shared" si="255"/>
        <v>12</v>
      </c>
      <c r="J1041" s="4" t="str">
        <f t="shared" si="248"/>
        <v>5:100:4:12,</v>
      </c>
    </row>
    <row r="1042" spans="1:10">
      <c r="A1042" s="4" t="str">
        <f t="shared" si="253"/>
        <v>1级橙手镯防御</v>
      </c>
      <c r="B1042" s="4" t="s">
        <v>218</v>
      </c>
      <c r="C1042" s="4" t="s">
        <v>120</v>
      </c>
      <c r="D1042" s="4">
        <v>1</v>
      </c>
      <c r="E1042" s="4" t="s">
        <v>17</v>
      </c>
      <c r="F1042" s="4">
        <f>VLOOKUP(E1042,基础属性ID!A:B,2,0)</f>
        <v>6</v>
      </c>
      <c r="G1042" s="4">
        <f>VLOOKUP(E1042,基础属性ID!$A:$E,5,0)</f>
        <v>100</v>
      </c>
      <c r="H1042" s="4">
        <v>4</v>
      </c>
      <c r="I1042" s="4">
        <f t="shared" si="255"/>
        <v>12</v>
      </c>
      <c r="J1042" s="4" t="str">
        <f t="shared" si="248"/>
        <v>6:100:4:12,</v>
      </c>
    </row>
    <row r="1043" spans="1:10">
      <c r="A1043" s="4" t="str">
        <f t="shared" si="253"/>
        <v>1级橙手镯固定伤害</v>
      </c>
      <c r="B1043" s="4" t="s">
        <v>218</v>
      </c>
      <c r="C1043" s="4" t="s">
        <v>120</v>
      </c>
      <c r="D1043" s="4">
        <v>1</v>
      </c>
      <c r="E1043" s="4" t="s">
        <v>24</v>
      </c>
      <c r="F1043" s="4">
        <f>VLOOKUP(E1043,基础属性ID!A:B,2,0)</f>
        <v>9</v>
      </c>
      <c r="G1043" s="4">
        <f>VLOOKUP(E1043,基础属性ID!$A:$E,5,0)</f>
        <v>50</v>
      </c>
      <c r="H1043" s="4">
        <v>4</v>
      </c>
      <c r="I1043" s="4">
        <f t="shared" si="255"/>
        <v>12</v>
      </c>
      <c r="J1043" s="4" t="str">
        <f t="shared" si="248"/>
        <v>9:50:4:12,</v>
      </c>
    </row>
    <row r="1044" spans="1:10">
      <c r="A1044" s="4" t="str">
        <f t="shared" si="253"/>
        <v>1级橙手镯固定减伤</v>
      </c>
      <c r="B1044" s="4" t="s">
        <v>218</v>
      </c>
      <c r="C1044" s="4" t="s">
        <v>120</v>
      </c>
      <c r="D1044" s="4">
        <v>1</v>
      </c>
      <c r="E1044" s="4" t="s">
        <v>25</v>
      </c>
      <c r="F1044" s="4">
        <f>VLOOKUP(E1044,基础属性ID!A:B,2,0)</f>
        <v>10</v>
      </c>
      <c r="G1044" s="4">
        <f>VLOOKUP(E1044,基础属性ID!$A:$E,5,0)</f>
        <v>50</v>
      </c>
      <c r="H1044" s="4">
        <v>4</v>
      </c>
      <c r="I1044" s="4">
        <f t="shared" si="255"/>
        <v>12</v>
      </c>
      <c r="J1044" s="4" t="str">
        <f t="shared" si="248"/>
        <v>10:50:4:12,</v>
      </c>
    </row>
    <row r="1045" spans="1:10">
      <c r="A1045" s="4" t="str">
        <f t="shared" si="253"/>
        <v>1级橙手镯生命吸取</v>
      </c>
      <c r="B1045" s="4" t="s">
        <v>218</v>
      </c>
      <c r="C1045" s="4" t="s">
        <v>120</v>
      </c>
      <c r="D1045" s="4">
        <v>1</v>
      </c>
      <c r="E1045" s="4" t="s">
        <v>28</v>
      </c>
      <c r="F1045" s="4">
        <f>VLOOKUP(E1045,基础属性ID!A:B,2,0)</f>
        <v>11</v>
      </c>
      <c r="G1045" s="4">
        <f>VLOOKUP(E1045,基础属性ID!$A:$E,5,0)</f>
        <v>50</v>
      </c>
      <c r="H1045" s="4">
        <v>3</v>
      </c>
      <c r="I1045" s="4">
        <f t="shared" ref="I1045:I1046" si="256">H1045*3</f>
        <v>9</v>
      </c>
      <c r="J1045" s="4" t="str">
        <f t="shared" si="248"/>
        <v>11:50:3:9,</v>
      </c>
    </row>
    <row r="1046" spans="1:10">
      <c r="A1046" s="4" t="str">
        <f t="shared" si="253"/>
        <v>1级橙手镯法力吸取</v>
      </c>
      <c r="B1046" s="4" t="s">
        <v>218</v>
      </c>
      <c r="C1046" s="4" t="s">
        <v>120</v>
      </c>
      <c r="D1046" s="4">
        <v>1</v>
      </c>
      <c r="E1046" s="4" t="s">
        <v>29</v>
      </c>
      <c r="F1046" s="4">
        <f>VLOOKUP(E1046,基础属性ID!A:B,2,0)</f>
        <v>12</v>
      </c>
      <c r="G1046" s="4">
        <f>VLOOKUP(E1046,基础属性ID!$A:$E,5,0)</f>
        <v>50</v>
      </c>
      <c r="H1046" s="4">
        <v>3</v>
      </c>
      <c r="I1046" s="4">
        <f t="shared" si="256"/>
        <v>9</v>
      </c>
      <c r="J1046" s="4" t="str">
        <f t="shared" si="248"/>
        <v>12:50:3:9,</v>
      </c>
    </row>
    <row r="1047" spans="1:10">
      <c r="A1047" s="4" t="str">
        <f t="shared" si="253"/>
        <v>1级橙手镯暴击几率</v>
      </c>
      <c r="B1047" s="4" t="s">
        <v>218</v>
      </c>
      <c r="C1047" s="4" t="s">
        <v>120</v>
      </c>
      <c r="D1047" s="4">
        <v>1</v>
      </c>
      <c r="E1047" s="4" t="s">
        <v>21</v>
      </c>
      <c r="F1047" s="4">
        <f>VLOOKUP(E1047,基础属性ID!A:B,2,0)</f>
        <v>13</v>
      </c>
      <c r="G1047" s="4">
        <f>VLOOKUP(E1047,基础属性ID!$A:$E,5,0)</f>
        <v>20</v>
      </c>
      <c r="H1047" s="4">
        <v>150</v>
      </c>
      <c r="I1047" s="4">
        <v>300</v>
      </c>
      <c r="J1047" s="4" t="str">
        <f t="shared" si="248"/>
        <v>13:20:150:300,</v>
      </c>
    </row>
    <row r="1048" spans="1:10">
      <c r="A1048" s="4" t="str">
        <f t="shared" si="253"/>
        <v>1级橙手镯爆击伤害</v>
      </c>
      <c r="B1048" s="4" t="s">
        <v>218</v>
      </c>
      <c r="C1048" s="4" t="s">
        <v>120</v>
      </c>
      <c r="D1048" s="4">
        <v>1</v>
      </c>
      <c r="E1048" s="4" t="s">
        <v>76</v>
      </c>
      <c r="F1048" s="4">
        <f>VLOOKUP(E1048,基础属性ID!A:B,2,0)</f>
        <v>14</v>
      </c>
      <c r="G1048" s="4">
        <f>VLOOKUP(E1048,基础属性ID!$A:$E,5,0)</f>
        <v>20</v>
      </c>
      <c r="H1048" s="4">
        <v>5</v>
      </c>
      <c r="I1048" s="4">
        <v>10</v>
      </c>
      <c r="J1048" s="4" t="str">
        <f t="shared" si="248"/>
        <v>14:20:5:10,</v>
      </c>
    </row>
    <row r="1049" spans="1:10">
      <c r="A1049" s="4" t="str">
        <f t="shared" si="253"/>
        <v>1级橙手镯装备掉率</v>
      </c>
      <c r="B1049" s="4" t="s">
        <v>218</v>
      </c>
      <c r="C1049" s="4" t="s">
        <v>120</v>
      </c>
      <c r="D1049" s="4">
        <v>1</v>
      </c>
      <c r="E1049" s="4" t="s">
        <v>30</v>
      </c>
      <c r="F1049" s="4">
        <f>VLOOKUP(E1049,基础属性ID!A:B,2,0)</f>
        <v>17</v>
      </c>
      <c r="G1049" s="4">
        <f>VLOOKUP(E1049,基础属性ID!$A:$E,5,0)</f>
        <v>60</v>
      </c>
      <c r="H1049" s="4">
        <v>4</v>
      </c>
      <c r="I1049" s="4">
        <v>12</v>
      </c>
      <c r="J1049" s="4" t="str">
        <f t="shared" si="248"/>
        <v>17:60:4:12,</v>
      </c>
    </row>
    <row r="1050" spans="1:10">
      <c r="A1050" s="4" t="str">
        <f t="shared" si="253"/>
        <v>1级橙手镯极品掉率</v>
      </c>
      <c r="B1050" s="4" t="s">
        <v>218</v>
      </c>
      <c r="C1050" s="4" t="s">
        <v>120</v>
      </c>
      <c r="D1050" s="4">
        <v>1</v>
      </c>
      <c r="E1050" s="4" t="s">
        <v>31</v>
      </c>
      <c r="F1050" s="4">
        <f>VLOOKUP(E1050,基础属性ID!A:B,2,0)</f>
        <v>18</v>
      </c>
      <c r="G1050" s="4">
        <f>VLOOKUP(E1050,基础属性ID!$A:$E,5,0)</f>
        <v>60</v>
      </c>
      <c r="H1050" s="4">
        <v>4</v>
      </c>
      <c r="I1050" s="4">
        <v>12</v>
      </c>
      <c r="J1050" s="4" t="str">
        <f t="shared" si="248"/>
        <v>18:60:4:12,</v>
      </c>
    </row>
    <row r="1051" spans="1:10">
      <c r="A1051" s="4" t="str">
        <f t="shared" si="253"/>
        <v>1级橙戒指生命值</v>
      </c>
      <c r="B1051" s="4" t="s">
        <v>221</v>
      </c>
      <c r="C1051" s="4" t="s">
        <v>120</v>
      </c>
      <c r="D1051" s="4">
        <v>1</v>
      </c>
      <c r="E1051" s="4" t="s">
        <v>74</v>
      </c>
      <c r="F1051" s="4">
        <f>VLOOKUP(E1051,基础属性ID!A:B,2,0)</f>
        <v>1</v>
      </c>
      <c r="G1051" s="4">
        <f>VLOOKUP(E1051,基础属性ID!$A:$E,5,0)</f>
        <v>100</v>
      </c>
      <c r="H1051" s="4">
        <v>10</v>
      </c>
      <c r="I1051" s="4">
        <f>H1051*3</f>
        <v>30</v>
      </c>
      <c r="J1051" s="4" t="str">
        <f t="shared" si="248"/>
        <v>1:100:10:30,</v>
      </c>
    </row>
    <row r="1052" spans="1:10">
      <c r="A1052" s="4" t="str">
        <f t="shared" si="253"/>
        <v>1级橙戒指法力值</v>
      </c>
      <c r="B1052" s="4" t="s">
        <v>221</v>
      </c>
      <c r="C1052" s="4" t="s">
        <v>120</v>
      </c>
      <c r="D1052" s="4">
        <v>1</v>
      </c>
      <c r="E1052" s="4" t="s">
        <v>75</v>
      </c>
      <c r="F1052" s="4">
        <f>VLOOKUP(E1052,基础属性ID!A:B,2,0)</f>
        <v>2</v>
      </c>
      <c r="G1052" s="4">
        <f>VLOOKUP(E1052,基础属性ID!$A:$E,5,0)</f>
        <v>100</v>
      </c>
      <c r="H1052" s="4">
        <v>10</v>
      </c>
      <c r="I1052" s="4">
        <v>20</v>
      </c>
      <c r="J1052" s="4" t="str">
        <f t="shared" si="248"/>
        <v>2:100:10:20,</v>
      </c>
    </row>
    <row r="1053" spans="1:10">
      <c r="A1053" s="4" t="str">
        <f t="shared" si="253"/>
        <v>1级橙戒指物理攻击</v>
      </c>
      <c r="B1053" s="4" t="s">
        <v>221</v>
      </c>
      <c r="C1053" s="4" t="s">
        <v>120</v>
      </c>
      <c r="D1053" s="4">
        <v>1</v>
      </c>
      <c r="E1053" s="4" t="s">
        <v>13</v>
      </c>
      <c r="F1053" s="4">
        <f>VLOOKUP(E1053,基础属性ID!A:B,2,0)</f>
        <v>3</v>
      </c>
      <c r="G1053" s="4">
        <f>VLOOKUP(E1053,基础属性ID!$A:$E,5,0)</f>
        <v>100</v>
      </c>
      <c r="H1053" s="4">
        <v>4</v>
      </c>
      <c r="I1053" s="4">
        <f t="shared" ref="I1053:I1058" si="257">H1053*3</f>
        <v>12</v>
      </c>
      <c r="J1053" s="4" t="str">
        <f t="shared" si="248"/>
        <v>3:100:4:12,</v>
      </c>
    </row>
    <row r="1054" spans="1:10">
      <c r="A1054" s="4" t="str">
        <f t="shared" si="253"/>
        <v>1级橙戒指魔法攻击</v>
      </c>
      <c r="B1054" s="4" t="s">
        <v>221</v>
      </c>
      <c r="C1054" s="4" t="s">
        <v>120</v>
      </c>
      <c r="D1054" s="4">
        <v>1</v>
      </c>
      <c r="E1054" s="4" t="s">
        <v>14</v>
      </c>
      <c r="F1054" s="4">
        <f>VLOOKUP(E1054,基础属性ID!A:B,2,0)</f>
        <v>4</v>
      </c>
      <c r="G1054" s="4">
        <f>VLOOKUP(E1054,基础属性ID!$A:$E,5,0)</f>
        <v>100</v>
      </c>
      <c r="H1054" s="4">
        <v>4</v>
      </c>
      <c r="I1054" s="4">
        <f t="shared" si="257"/>
        <v>12</v>
      </c>
      <c r="J1054" s="4" t="str">
        <f t="shared" si="248"/>
        <v>4:100:4:12,</v>
      </c>
    </row>
    <row r="1055" spans="1:10">
      <c r="A1055" s="4" t="str">
        <f t="shared" si="253"/>
        <v>1级橙戒指道术攻击</v>
      </c>
      <c r="B1055" s="4" t="s">
        <v>221</v>
      </c>
      <c r="C1055" s="4" t="s">
        <v>120</v>
      </c>
      <c r="D1055" s="4">
        <v>1</v>
      </c>
      <c r="E1055" s="4" t="s">
        <v>15</v>
      </c>
      <c r="F1055" s="4">
        <f>VLOOKUP(E1055,基础属性ID!A:B,2,0)</f>
        <v>5</v>
      </c>
      <c r="G1055" s="4">
        <f>VLOOKUP(E1055,基础属性ID!$A:$E,5,0)</f>
        <v>100</v>
      </c>
      <c r="H1055" s="4">
        <v>4</v>
      </c>
      <c r="I1055" s="4">
        <f t="shared" si="257"/>
        <v>12</v>
      </c>
      <c r="J1055" s="4" t="str">
        <f t="shared" si="248"/>
        <v>5:100:4:12,</v>
      </c>
    </row>
    <row r="1056" spans="1:10">
      <c r="A1056" s="4" t="str">
        <f t="shared" si="253"/>
        <v>1级橙戒指防御</v>
      </c>
      <c r="B1056" s="4" t="s">
        <v>221</v>
      </c>
      <c r="C1056" s="4" t="s">
        <v>120</v>
      </c>
      <c r="D1056" s="4">
        <v>1</v>
      </c>
      <c r="E1056" s="4" t="s">
        <v>17</v>
      </c>
      <c r="F1056" s="4">
        <f>VLOOKUP(E1056,基础属性ID!A:B,2,0)</f>
        <v>6</v>
      </c>
      <c r="G1056" s="4">
        <f>VLOOKUP(E1056,基础属性ID!$A:$E,5,0)</f>
        <v>100</v>
      </c>
      <c r="H1056" s="4">
        <v>4</v>
      </c>
      <c r="I1056" s="4">
        <f t="shared" si="257"/>
        <v>12</v>
      </c>
      <c r="J1056" s="4" t="str">
        <f t="shared" si="248"/>
        <v>6:100:4:12,</v>
      </c>
    </row>
    <row r="1057" spans="1:10">
      <c r="A1057" s="4" t="str">
        <f t="shared" si="253"/>
        <v>1级橙戒指固定伤害</v>
      </c>
      <c r="B1057" s="4" t="s">
        <v>221</v>
      </c>
      <c r="C1057" s="4" t="s">
        <v>120</v>
      </c>
      <c r="D1057" s="4">
        <v>1</v>
      </c>
      <c r="E1057" s="4" t="s">
        <v>24</v>
      </c>
      <c r="F1057" s="4">
        <f>VLOOKUP(E1057,基础属性ID!A:B,2,0)</f>
        <v>9</v>
      </c>
      <c r="G1057" s="4">
        <f>VLOOKUP(E1057,基础属性ID!$A:$E,5,0)</f>
        <v>50</v>
      </c>
      <c r="H1057" s="4">
        <v>4</v>
      </c>
      <c r="I1057" s="4">
        <f t="shared" si="257"/>
        <v>12</v>
      </c>
      <c r="J1057" s="4" t="str">
        <f t="shared" si="248"/>
        <v>9:50:4:12,</v>
      </c>
    </row>
    <row r="1058" spans="1:10">
      <c r="A1058" s="4" t="str">
        <f t="shared" si="253"/>
        <v>1级橙戒指固定减伤</v>
      </c>
      <c r="B1058" s="4" t="s">
        <v>221</v>
      </c>
      <c r="C1058" s="4" t="s">
        <v>120</v>
      </c>
      <c r="D1058" s="4">
        <v>1</v>
      </c>
      <c r="E1058" s="4" t="s">
        <v>25</v>
      </c>
      <c r="F1058" s="4">
        <f>VLOOKUP(E1058,基础属性ID!A:B,2,0)</f>
        <v>10</v>
      </c>
      <c r="G1058" s="4">
        <f>VLOOKUP(E1058,基础属性ID!$A:$E,5,0)</f>
        <v>50</v>
      </c>
      <c r="H1058" s="4">
        <v>4</v>
      </c>
      <c r="I1058" s="4">
        <f t="shared" si="257"/>
        <v>12</v>
      </c>
      <c r="J1058" s="4" t="str">
        <f t="shared" si="248"/>
        <v>10:50:4:12,</v>
      </c>
    </row>
    <row r="1059" spans="1:10">
      <c r="A1059" s="4" t="str">
        <f t="shared" si="253"/>
        <v>1级橙戒指生命吸取</v>
      </c>
      <c r="B1059" s="4" t="s">
        <v>221</v>
      </c>
      <c r="C1059" s="4" t="s">
        <v>120</v>
      </c>
      <c r="D1059" s="4">
        <v>1</v>
      </c>
      <c r="E1059" s="4" t="s">
        <v>28</v>
      </c>
      <c r="F1059" s="4">
        <f>VLOOKUP(E1059,基础属性ID!A:B,2,0)</f>
        <v>11</v>
      </c>
      <c r="G1059" s="4">
        <f>VLOOKUP(E1059,基础属性ID!$A:$E,5,0)</f>
        <v>50</v>
      </c>
      <c r="H1059" s="4">
        <v>3</v>
      </c>
      <c r="I1059" s="4">
        <f t="shared" ref="I1059:I1060" si="258">H1059*3</f>
        <v>9</v>
      </c>
      <c r="J1059" s="4" t="str">
        <f t="shared" si="248"/>
        <v>11:50:3:9,</v>
      </c>
    </row>
    <row r="1060" spans="1:10">
      <c r="A1060" s="4" t="str">
        <f t="shared" si="253"/>
        <v>1级橙戒指法力吸取</v>
      </c>
      <c r="B1060" s="4" t="s">
        <v>221</v>
      </c>
      <c r="C1060" s="4" t="s">
        <v>120</v>
      </c>
      <c r="D1060" s="4">
        <v>1</v>
      </c>
      <c r="E1060" s="4" t="s">
        <v>29</v>
      </c>
      <c r="F1060" s="4">
        <f>VLOOKUP(E1060,基础属性ID!A:B,2,0)</f>
        <v>12</v>
      </c>
      <c r="G1060" s="4">
        <f>VLOOKUP(E1060,基础属性ID!$A:$E,5,0)</f>
        <v>50</v>
      </c>
      <c r="H1060" s="4">
        <v>3</v>
      </c>
      <c r="I1060" s="4">
        <f t="shared" si="258"/>
        <v>9</v>
      </c>
      <c r="J1060" s="4" t="str">
        <f t="shared" si="248"/>
        <v>12:50:3:9,</v>
      </c>
    </row>
    <row r="1061" spans="1:10">
      <c r="A1061" s="4" t="str">
        <f t="shared" si="253"/>
        <v>1级橙戒指暴击几率</v>
      </c>
      <c r="B1061" s="4" t="s">
        <v>221</v>
      </c>
      <c r="C1061" s="4" t="s">
        <v>120</v>
      </c>
      <c r="D1061" s="4">
        <v>1</v>
      </c>
      <c r="E1061" s="4" t="s">
        <v>21</v>
      </c>
      <c r="F1061" s="4">
        <f>VLOOKUP(E1061,基础属性ID!A:B,2,0)</f>
        <v>13</v>
      </c>
      <c r="G1061" s="4">
        <f>VLOOKUP(E1061,基础属性ID!$A:$E,5,0)</f>
        <v>20</v>
      </c>
      <c r="H1061" s="4">
        <v>150</v>
      </c>
      <c r="I1061" s="4">
        <v>300</v>
      </c>
      <c r="J1061" s="4" t="str">
        <f t="shared" si="248"/>
        <v>13:20:150:300,</v>
      </c>
    </row>
    <row r="1062" spans="1:10">
      <c r="A1062" s="4" t="str">
        <f t="shared" si="253"/>
        <v>1级橙戒指爆击伤害</v>
      </c>
      <c r="B1062" s="4" t="s">
        <v>221</v>
      </c>
      <c r="C1062" s="4" t="s">
        <v>120</v>
      </c>
      <c r="D1062" s="4">
        <v>1</v>
      </c>
      <c r="E1062" s="4" t="s">
        <v>76</v>
      </c>
      <c r="F1062" s="4">
        <f>VLOOKUP(E1062,基础属性ID!A:B,2,0)</f>
        <v>14</v>
      </c>
      <c r="G1062" s="4">
        <f>VLOOKUP(E1062,基础属性ID!$A:$E,5,0)</f>
        <v>20</v>
      </c>
      <c r="H1062" s="4">
        <v>5</v>
      </c>
      <c r="I1062" s="4">
        <v>10</v>
      </c>
      <c r="J1062" s="4" t="str">
        <f t="shared" si="248"/>
        <v>14:20:5:10,</v>
      </c>
    </row>
    <row r="1063" spans="1:10">
      <c r="A1063" s="4" t="str">
        <f t="shared" si="253"/>
        <v>1级橙戒指装备掉率</v>
      </c>
      <c r="B1063" s="4" t="s">
        <v>221</v>
      </c>
      <c r="C1063" s="4" t="s">
        <v>120</v>
      </c>
      <c r="D1063" s="4">
        <v>1</v>
      </c>
      <c r="E1063" s="4" t="s">
        <v>30</v>
      </c>
      <c r="F1063" s="4">
        <f>VLOOKUP(E1063,基础属性ID!A:B,2,0)</f>
        <v>17</v>
      </c>
      <c r="G1063" s="4">
        <f>VLOOKUP(E1063,基础属性ID!$A:$E,5,0)</f>
        <v>60</v>
      </c>
      <c r="H1063" s="4">
        <v>4</v>
      </c>
      <c r="I1063" s="4">
        <v>12</v>
      </c>
      <c r="J1063" s="4" t="str">
        <f t="shared" ref="J1063:J1125" si="259">F1063&amp;":"&amp;G1063&amp;":"&amp;H1063&amp;":"&amp;I1063&amp;","</f>
        <v>17:60:4:12,</v>
      </c>
    </row>
    <row r="1064" spans="1:10">
      <c r="A1064" s="4" t="str">
        <f t="shared" si="253"/>
        <v>1级橙戒指极品掉率</v>
      </c>
      <c r="B1064" s="4" t="s">
        <v>221</v>
      </c>
      <c r="C1064" s="4" t="s">
        <v>120</v>
      </c>
      <c r="D1064" s="4">
        <v>1</v>
      </c>
      <c r="E1064" s="4" t="s">
        <v>31</v>
      </c>
      <c r="F1064" s="4">
        <f>VLOOKUP(E1064,基础属性ID!A:B,2,0)</f>
        <v>18</v>
      </c>
      <c r="G1064" s="4">
        <f>VLOOKUP(E1064,基础属性ID!$A:$E,5,0)</f>
        <v>60</v>
      </c>
      <c r="H1064" s="4">
        <v>4</v>
      </c>
      <c r="I1064" s="4">
        <v>12</v>
      </c>
      <c r="J1064" s="4" t="str">
        <f t="shared" si="259"/>
        <v>18:60:4:12,</v>
      </c>
    </row>
    <row r="1065" spans="1:10">
      <c r="A1065" s="4" t="str">
        <f t="shared" si="253"/>
        <v>21级橙武器生命值</v>
      </c>
      <c r="B1065" s="4" t="s">
        <v>198</v>
      </c>
      <c r="C1065" s="4" t="s">
        <v>120</v>
      </c>
      <c r="D1065" s="4">
        <v>21</v>
      </c>
      <c r="E1065" s="4" t="s">
        <v>74</v>
      </c>
      <c r="F1065" s="4">
        <f>VLOOKUP(E1065,基础属性ID!A:B,2,0)</f>
        <v>1</v>
      </c>
      <c r="G1065" s="4">
        <f>VLOOKUP(E1065,基础属性ID!$A:$E,5,0)</f>
        <v>100</v>
      </c>
      <c r="H1065" s="4">
        <v>15</v>
      </c>
      <c r="I1065" s="4">
        <f>H1065*3</f>
        <v>45</v>
      </c>
      <c r="J1065" s="4" t="str">
        <f t="shared" si="259"/>
        <v>1:100:15:45,</v>
      </c>
    </row>
    <row r="1066" spans="1:10">
      <c r="A1066" s="4" t="str">
        <f t="shared" si="253"/>
        <v>21级橙武器法力值</v>
      </c>
      <c r="B1066" s="4" t="s">
        <v>198</v>
      </c>
      <c r="C1066" s="4" t="s">
        <v>120</v>
      </c>
      <c r="D1066" s="4">
        <v>21</v>
      </c>
      <c r="E1066" s="4" t="s">
        <v>75</v>
      </c>
      <c r="F1066" s="4">
        <f>VLOOKUP(E1066,基础属性ID!A:B,2,0)</f>
        <v>2</v>
      </c>
      <c r="G1066" s="4">
        <f>VLOOKUP(E1066,基础属性ID!$A:$E,5,0)</f>
        <v>100</v>
      </c>
      <c r="H1066" s="4">
        <v>12</v>
      </c>
      <c r="I1066" s="4">
        <v>24</v>
      </c>
      <c r="J1066" s="4" t="str">
        <f t="shared" si="259"/>
        <v>2:100:12:24,</v>
      </c>
    </row>
    <row r="1067" spans="1:10">
      <c r="A1067" s="4" t="str">
        <f t="shared" si="253"/>
        <v>21级橙武器物理攻击</v>
      </c>
      <c r="B1067" s="4" t="s">
        <v>198</v>
      </c>
      <c r="C1067" s="4" t="s">
        <v>120</v>
      </c>
      <c r="D1067" s="4">
        <v>21</v>
      </c>
      <c r="E1067" s="4" t="s">
        <v>13</v>
      </c>
      <c r="F1067" s="4">
        <f>VLOOKUP(E1067,基础属性ID!A:B,2,0)</f>
        <v>3</v>
      </c>
      <c r="G1067" s="4">
        <f>VLOOKUP(E1067,基础属性ID!$A:$E,5,0)</f>
        <v>100</v>
      </c>
      <c r="H1067" s="4">
        <v>6</v>
      </c>
      <c r="I1067" s="4">
        <f t="shared" ref="I1067:I1070" si="260">H1067*3</f>
        <v>18</v>
      </c>
      <c r="J1067" s="4" t="str">
        <f t="shared" si="259"/>
        <v>3:100:6:18,</v>
      </c>
    </row>
    <row r="1068" spans="1:10">
      <c r="A1068" s="4" t="str">
        <f t="shared" si="253"/>
        <v>21级橙武器魔法攻击</v>
      </c>
      <c r="B1068" s="4" t="s">
        <v>198</v>
      </c>
      <c r="C1068" s="4" t="s">
        <v>120</v>
      </c>
      <c r="D1068" s="4">
        <v>21</v>
      </c>
      <c r="E1068" s="4" t="s">
        <v>14</v>
      </c>
      <c r="F1068" s="4">
        <f>VLOOKUP(E1068,基础属性ID!A:B,2,0)</f>
        <v>4</v>
      </c>
      <c r="G1068" s="4">
        <f>VLOOKUP(E1068,基础属性ID!$A:$E,5,0)</f>
        <v>100</v>
      </c>
      <c r="H1068" s="4">
        <v>6</v>
      </c>
      <c r="I1068" s="4">
        <f t="shared" si="260"/>
        <v>18</v>
      </c>
      <c r="J1068" s="4" t="str">
        <f t="shared" si="259"/>
        <v>4:100:6:18,</v>
      </c>
    </row>
    <row r="1069" spans="1:10">
      <c r="A1069" s="4" t="str">
        <f t="shared" si="253"/>
        <v>21级橙武器道术攻击</v>
      </c>
      <c r="B1069" s="4" t="s">
        <v>198</v>
      </c>
      <c r="C1069" s="4" t="s">
        <v>120</v>
      </c>
      <c r="D1069" s="4">
        <v>21</v>
      </c>
      <c r="E1069" s="4" t="s">
        <v>15</v>
      </c>
      <c r="F1069" s="4">
        <f>VLOOKUP(E1069,基础属性ID!A:B,2,0)</f>
        <v>5</v>
      </c>
      <c r="G1069" s="4">
        <f>VLOOKUP(E1069,基础属性ID!$A:$E,5,0)</f>
        <v>100</v>
      </c>
      <c r="H1069" s="4">
        <v>6</v>
      </c>
      <c r="I1069" s="4">
        <f t="shared" si="260"/>
        <v>18</v>
      </c>
      <c r="J1069" s="4" t="str">
        <f t="shared" si="259"/>
        <v>5:100:6:18,</v>
      </c>
    </row>
    <row r="1070" spans="1:10">
      <c r="A1070" s="4" t="str">
        <f t="shared" si="253"/>
        <v>21级橙武器防御</v>
      </c>
      <c r="B1070" s="4" t="s">
        <v>198</v>
      </c>
      <c r="C1070" s="4" t="s">
        <v>120</v>
      </c>
      <c r="D1070" s="4">
        <v>21</v>
      </c>
      <c r="E1070" s="4" t="s">
        <v>17</v>
      </c>
      <c r="F1070" s="4">
        <f>VLOOKUP(E1070,基础属性ID!A:B,2,0)</f>
        <v>6</v>
      </c>
      <c r="G1070" s="4">
        <f>VLOOKUP(E1070,基础属性ID!$A:$E,5,0)</f>
        <v>100</v>
      </c>
      <c r="H1070" s="4">
        <v>6</v>
      </c>
      <c r="I1070" s="4">
        <f t="shared" si="260"/>
        <v>18</v>
      </c>
      <c r="J1070" s="4" t="str">
        <f t="shared" si="259"/>
        <v>6:100:6:18,</v>
      </c>
    </row>
    <row r="1071" spans="1:10">
      <c r="A1071" s="4" t="str">
        <f t="shared" si="253"/>
        <v>21级橙武器攻速</v>
      </c>
      <c r="B1071" s="4" t="s">
        <v>198</v>
      </c>
      <c r="C1071" s="4" t="s">
        <v>120</v>
      </c>
      <c r="D1071" s="4">
        <v>21</v>
      </c>
      <c r="E1071" s="4" t="s">
        <v>18</v>
      </c>
      <c r="F1071" s="4">
        <f>VLOOKUP(E1071,基础属性ID!A:B,2,0)</f>
        <v>7</v>
      </c>
      <c r="G1071" s="4">
        <f>VLOOKUP(E1071,基础属性ID!$A:$E,5,0)</f>
        <v>20</v>
      </c>
      <c r="H1071" s="4">
        <v>1</v>
      </c>
      <c r="I1071" s="4">
        <v>3</v>
      </c>
      <c r="J1071" s="4" t="str">
        <f t="shared" si="259"/>
        <v>7:20:1:3,</v>
      </c>
    </row>
    <row r="1072" spans="1:10">
      <c r="A1072" s="4" t="str">
        <f t="shared" si="253"/>
        <v>21级橙武器幸运</v>
      </c>
      <c r="B1072" s="4" t="s">
        <v>198</v>
      </c>
      <c r="C1072" s="4" t="s">
        <v>120</v>
      </c>
      <c r="D1072" s="4">
        <v>21</v>
      </c>
      <c r="E1072" s="4" t="s">
        <v>19</v>
      </c>
      <c r="F1072" s="4">
        <f>VLOOKUP(E1072,基础属性ID!A:B,2,0)</f>
        <v>8</v>
      </c>
      <c r="G1072" s="4">
        <f>VLOOKUP(E1072,基础属性ID!$A:$E,5,0)</f>
        <v>20</v>
      </c>
      <c r="H1072" s="4">
        <v>1</v>
      </c>
      <c r="I1072" s="4">
        <v>4</v>
      </c>
      <c r="J1072" s="4" t="str">
        <f t="shared" si="259"/>
        <v>8:20:1:4,</v>
      </c>
    </row>
    <row r="1073" spans="1:10">
      <c r="A1073" s="4" t="str">
        <f t="shared" si="253"/>
        <v>21级橙武器固定伤害</v>
      </c>
      <c r="B1073" s="4" t="s">
        <v>198</v>
      </c>
      <c r="C1073" s="4" t="s">
        <v>120</v>
      </c>
      <c r="D1073" s="4">
        <v>21</v>
      </c>
      <c r="E1073" s="4" t="s">
        <v>24</v>
      </c>
      <c r="F1073" s="4">
        <f>VLOOKUP(E1073,基础属性ID!A:B,2,0)</f>
        <v>9</v>
      </c>
      <c r="G1073" s="4">
        <f>VLOOKUP(E1073,基础属性ID!$A:$E,5,0)</f>
        <v>50</v>
      </c>
      <c r="H1073" s="4">
        <v>5</v>
      </c>
      <c r="I1073" s="4">
        <f t="shared" ref="I1073:I1074" si="261">H1073*3</f>
        <v>15</v>
      </c>
      <c r="J1073" s="4" t="str">
        <f t="shared" si="259"/>
        <v>9:50:5:15,</v>
      </c>
    </row>
    <row r="1074" spans="1:10">
      <c r="A1074" s="4" t="str">
        <f t="shared" si="253"/>
        <v>21级橙武器固定减伤</v>
      </c>
      <c r="B1074" s="4" t="s">
        <v>198</v>
      </c>
      <c r="C1074" s="4" t="s">
        <v>120</v>
      </c>
      <c r="D1074" s="4">
        <v>21</v>
      </c>
      <c r="E1074" s="4" t="s">
        <v>25</v>
      </c>
      <c r="F1074" s="4">
        <f>VLOOKUP(E1074,基础属性ID!A:B,2,0)</f>
        <v>10</v>
      </c>
      <c r="G1074" s="4">
        <f>VLOOKUP(E1074,基础属性ID!$A:$E,5,0)</f>
        <v>50</v>
      </c>
      <c r="H1074" s="4">
        <v>5</v>
      </c>
      <c r="I1074" s="4">
        <f t="shared" si="261"/>
        <v>15</v>
      </c>
      <c r="J1074" s="4" t="str">
        <f t="shared" si="259"/>
        <v>10:50:5:15,</v>
      </c>
    </row>
    <row r="1075" spans="1:10">
      <c r="A1075" s="4" t="str">
        <f t="shared" si="253"/>
        <v>21级橙武器生命吸取</v>
      </c>
      <c r="B1075" s="4" t="s">
        <v>198</v>
      </c>
      <c r="C1075" s="4" t="s">
        <v>120</v>
      </c>
      <c r="D1075" s="4">
        <v>21</v>
      </c>
      <c r="E1075" s="4" t="s">
        <v>28</v>
      </c>
      <c r="F1075" s="4">
        <f>VLOOKUP(E1075,基础属性ID!A:B,2,0)</f>
        <v>11</v>
      </c>
      <c r="G1075" s="4">
        <f>VLOOKUP(E1075,基础属性ID!$A:$E,5,0)</f>
        <v>50</v>
      </c>
      <c r="H1075" s="4">
        <v>4</v>
      </c>
      <c r="I1075" s="4">
        <f t="shared" ref="I1075:I1076" si="262">H1075*3</f>
        <v>12</v>
      </c>
      <c r="J1075" s="4" t="str">
        <f t="shared" si="259"/>
        <v>11:50:4:12,</v>
      </c>
    </row>
    <row r="1076" spans="1:10">
      <c r="A1076" s="4" t="str">
        <f t="shared" si="253"/>
        <v>21级橙武器法力吸取</v>
      </c>
      <c r="B1076" s="4" t="s">
        <v>198</v>
      </c>
      <c r="C1076" s="4" t="s">
        <v>120</v>
      </c>
      <c r="D1076" s="4">
        <v>21</v>
      </c>
      <c r="E1076" s="4" t="s">
        <v>29</v>
      </c>
      <c r="F1076" s="4">
        <f>VLOOKUP(E1076,基础属性ID!A:B,2,0)</f>
        <v>12</v>
      </c>
      <c r="G1076" s="4">
        <f>VLOOKUP(E1076,基础属性ID!$A:$E,5,0)</f>
        <v>50</v>
      </c>
      <c r="H1076" s="4">
        <v>4</v>
      </c>
      <c r="I1076" s="4">
        <f t="shared" si="262"/>
        <v>12</v>
      </c>
      <c r="J1076" s="4" t="str">
        <f t="shared" si="259"/>
        <v>12:50:4:12,</v>
      </c>
    </row>
    <row r="1077" spans="1:10">
      <c r="A1077" s="4" t="str">
        <f t="shared" si="253"/>
        <v>21级橙武器暴击几率</v>
      </c>
      <c r="B1077" s="4" t="s">
        <v>198</v>
      </c>
      <c r="C1077" s="4" t="s">
        <v>120</v>
      </c>
      <c r="D1077" s="4">
        <v>21</v>
      </c>
      <c r="E1077" s="4" t="s">
        <v>21</v>
      </c>
      <c r="F1077" s="4">
        <f>VLOOKUP(E1077,基础属性ID!A:B,2,0)</f>
        <v>13</v>
      </c>
      <c r="G1077" s="4">
        <f>VLOOKUP(E1077,基础属性ID!$A:$E,5,0)</f>
        <v>20</v>
      </c>
      <c r="H1077" s="4">
        <v>150</v>
      </c>
      <c r="I1077" s="4">
        <v>300</v>
      </c>
      <c r="J1077" s="4" t="str">
        <f t="shared" si="259"/>
        <v>13:20:150:300,</v>
      </c>
    </row>
    <row r="1078" spans="1:10">
      <c r="A1078" s="4" t="str">
        <f t="shared" si="253"/>
        <v>21级橙武器爆击伤害</v>
      </c>
      <c r="B1078" s="4" t="s">
        <v>198</v>
      </c>
      <c r="C1078" s="4" t="s">
        <v>120</v>
      </c>
      <c r="D1078" s="4">
        <v>21</v>
      </c>
      <c r="E1078" s="4" t="s">
        <v>76</v>
      </c>
      <c r="F1078" s="4">
        <f>VLOOKUP(E1078,基础属性ID!A:B,2,0)</f>
        <v>14</v>
      </c>
      <c r="G1078" s="4">
        <f>VLOOKUP(E1078,基础属性ID!$A:$E,5,0)</f>
        <v>20</v>
      </c>
      <c r="H1078" s="4">
        <v>5</v>
      </c>
      <c r="I1078" s="4">
        <v>10</v>
      </c>
      <c r="J1078" s="4" t="str">
        <f t="shared" si="259"/>
        <v>14:20:5:10,</v>
      </c>
    </row>
    <row r="1079" spans="1:10">
      <c r="A1079" s="4" t="str">
        <f t="shared" si="253"/>
        <v>21级橙武器伤害增加</v>
      </c>
      <c r="B1079" s="4" t="s">
        <v>198</v>
      </c>
      <c r="C1079" s="4" t="s">
        <v>120</v>
      </c>
      <c r="D1079" s="4">
        <v>21</v>
      </c>
      <c r="E1079" s="4" t="s">
        <v>26</v>
      </c>
      <c r="F1079" s="4">
        <f>VLOOKUP(E1079,基础属性ID!A:B,2,0)</f>
        <v>15</v>
      </c>
      <c r="G1079" s="4">
        <f>VLOOKUP(E1079,基础属性ID!$A:$E,5,0)</f>
        <v>10</v>
      </c>
      <c r="H1079" s="4">
        <v>150</v>
      </c>
      <c r="I1079" s="4">
        <v>300</v>
      </c>
      <c r="J1079" s="4" t="str">
        <f t="shared" si="259"/>
        <v>15:10:150:300,</v>
      </c>
    </row>
    <row r="1080" spans="1:10">
      <c r="A1080" s="4" t="str">
        <f t="shared" si="253"/>
        <v>21级橙武器伤害减免</v>
      </c>
      <c r="B1080" s="4" t="s">
        <v>198</v>
      </c>
      <c r="C1080" s="4" t="s">
        <v>120</v>
      </c>
      <c r="D1080" s="4">
        <v>21</v>
      </c>
      <c r="E1080" s="4" t="s">
        <v>27</v>
      </c>
      <c r="F1080" s="4">
        <f>VLOOKUP(E1080,基础属性ID!A:B,2,0)</f>
        <v>16</v>
      </c>
      <c r="G1080" s="4">
        <f>VLOOKUP(E1080,基础属性ID!$A:$E,5,0)</f>
        <v>10</v>
      </c>
      <c r="H1080" s="4">
        <v>150</v>
      </c>
      <c r="I1080" s="4">
        <v>300</v>
      </c>
      <c r="J1080" s="4" t="str">
        <f t="shared" si="259"/>
        <v>16:10:150:300,</v>
      </c>
    </row>
    <row r="1081" spans="1:10">
      <c r="A1081" s="4" t="str">
        <f t="shared" si="253"/>
        <v>21级橙武器装备掉率</v>
      </c>
      <c r="B1081" s="4" t="s">
        <v>198</v>
      </c>
      <c r="C1081" s="4" t="s">
        <v>120</v>
      </c>
      <c r="D1081" s="4">
        <v>21</v>
      </c>
      <c r="E1081" s="4" t="s">
        <v>30</v>
      </c>
      <c r="F1081" s="4">
        <f>VLOOKUP(E1081,基础属性ID!A:B,2,0)</f>
        <v>17</v>
      </c>
      <c r="G1081" s="4">
        <f>VLOOKUP(E1081,基础属性ID!$A:$E,5,0)</f>
        <v>60</v>
      </c>
      <c r="H1081" s="4">
        <v>4</v>
      </c>
      <c r="I1081" s="4">
        <v>12</v>
      </c>
      <c r="J1081" s="4" t="str">
        <f t="shared" si="259"/>
        <v>17:60:4:12,</v>
      </c>
    </row>
    <row r="1082" spans="1:10">
      <c r="A1082" s="4" t="str">
        <f t="shared" si="253"/>
        <v>21级橙武器极品掉率</v>
      </c>
      <c r="B1082" s="4" t="s">
        <v>198</v>
      </c>
      <c r="C1082" s="4" t="s">
        <v>120</v>
      </c>
      <c r="D1082" s="4">
        <v>21</v>
      </c>
      <c r="E1082" s="4" t="s">
        <v>31</v>
      </c>
      <c r="F1082" s="4">
        <f>VLOOKUP(E1082,基础属性ID!A:B,2,0)</f>
        <v>18</v>
      </c>
      <c r="G1082" s="4">
        <f>VLOOKUP(E1082,基础属性ID!$A:$E,5,0)</f>
        <v>60</v>
      </c>
      <c r="H1082" s="4">
        <v>4</v>
      </c>
      <c r="I1082" s="4">
        <v>12</v>
      </c>
      <c r="J1082" s="4" t="str">
        <f t="shared" si="259"/>
        <v>18:60:4:12,</v>
      </c>
    </row>
    <row r="1083" spans="1:10">
      <c r="A1083" s="4" t="str">
        <f t="shared" si="253"/>
        <v>41级橙武器生命值</v>
      </c>
      <c r="B1083" s="4" t="s">
        <v>198</v>
      </c>
      <c r="C1083" s="4" t="s">
        <v>120</v>
      </c>
      <c r="D1083" s="4">
        <v>41</v>
      </c>
      <c r="E1083" s="4" t="s">
        <v>74</v>
      </c>
      <c r="F1083" s="4">
        <f>VLOOKUP(E1083,基础属性ID!A:B,2,0)</f>
        <v>1</v>
      </c>
      <c r="G1083" s="4">
        <f>VLOOKUP(E1083,基础属性ID!$A:$E,5,0)</f>
        <v>100</v>
      </c>
      <c r="H1083" s="4">
        <v>25</v>
      </c>
      <c r="I1083" s="4">
        <f>H1083*3</f>
        <v>75</v>
      </c>
      <c r="J1083" s="4" t="str">
        <f t="shared" si="259"/>
        <v>1:100:25:75,</v>
      </c>
    </row>
    <row r="1084" spans="1:10">
      <c r="A1084" s="4" t="str">
        <f t="shared" si="253"/>
        <v>41级橙武器法力值</v>
      </c>
      <c r="B1084" s="4" t="s">
        <v>198</v>
      </c>
      <c r="C1084" s="4" t="s">
        <v>120</v>
      </c>
      <c r="D1084" s="4">
        <v>41</v>
      </c>
      <c r="E1084" s="4" t="s">
        <v>75</v>
      </c>
      <c r="F1084" s="4">
        <f>VLOOKUP(E1084,基础属性ID!A:B,2,0)</f>
        <v>2</v>
      </c>
      <c r="G1084" s="4">
        <f>VLOOKUP(E1084,基础属性ID!$A:$E,5,0)</f>
        <v>100</v>
      </c>
      <c r="H1084" s="4">
        <v>14</v>
      </c>
      <c r="I1084" s="4">
        <v>28</v>
      </c>
      <c r="J1084" s="4" t="str">
        <f t="shared" si="259"/>
        <v>2:100:14:28,</v>
      </c>
    </row>
    <row r="1085" spans="1:10">
      <c r="A1085" s="4" t="str">
        <f t="shared" si="253"/>
        <v>41级橙武器物理攻击</v>
      </c>
      <c r="B1085" s="4" t="s">
        <v>198</v>
      </c>
      <c r="C1085" s="4" t="s">
        <v>120</v>
      </c>
      <c r="D1085" s="4">
        <v>41</v>
      </c>
      <c r="E1085" s="4" t="s">
        <v>13</v>
      </c>
      <c r="F1085" s="4">
        <f>VLOOKUP(E1085,基础属性ID!A:B,2,0)</f>
        <v>3</v>
      </c>
      <c r="G1085" s="4">
        <f>VLOOKUP(E1085,基础属性ID!$A:$E,5,0)</f>
        <v>100</v>
      </c>
      <c r="H1085" s="4">
        <v>8</v>
      </c>
      <c r="I1085" s="4">
        <f t="shared" ref="I1085:I1088" si="263">H1085*3</f>
        <v>24</v>
      </c>
      <c r="J1085" s="4" t="str">
        <f t="shared" si="259"/>
        <v>3:100:8:24,</v>
      </c>
    </row>
    <row r="1086" spans="1:10">
      <c r="A1086" s="4" t="str">
        <f t="shared" si="253"/>
        <v>41级橙武器魔法攻击</v>
      </c>
      <c r="B1086" s="4" t="s">
        <v>198</v>
      </c>
      <c r="C1086" s="4" t="s">
        <v>120</v>
      </c>
      <c r="D1086" s="4">
        <v>41</v>
      </c>
      <c r="E1086" s="4" t="s">
        <v>14</v>
      </c>
      <c r="F1086" s="4">
        <f>VLOOKUP(E1086,基础属性ID!A:B,2,0)</f>
        <v>4</v>
      </c>
      <c r="G1086" s="4">
        <f>VLOOKUP(E1086,基础属性ID!$A:$E,5,0)</f>
        <v>100</v>
      </c>
      <c r="H1086" s="4">
        <v>8</v>
      </c>
      <c r="I1086" s="4">
        <f t="shared" si="263"/>
        <v>24</v>
      </c>
      <c r="J1086" s="4" t="str">
        <f t="shared" si="259"/>
        <v>4:100:8:24,</v>
      </c>
    </row>
    <row r="1087" spans="1:10">
      <c r="A1087" s="4" t="str">
        <f t="shared" si="253"/>
        <v>41级橙武器道术攻击</v>
      </c>
      <c r="B1087" s="4" t="s">
        <v>198</v>
      </c>
      <c r="C1087" s="4" t="s">
        <v>120</v>
      </c>
      <c r="D1087" s="4">
        <v>41</v>
      </c>
      <c r="E1087" s="4" t="s">
        <v>15</v>
      </c>
      <c r="F1087" s="4">
        <f>VLOOKUP(E1087,基础属性ID!A:B,2,0)</f>
        <v>5</v>
      </c>
      <c r="G1087" s="4">
        <f>VLOOKUP(E1087,基础属性ID!$A:$E,5,0)</f>
        <v>100</v>
      </c>
      <c r="H1087" s="4">
        <v>8</v>
      </c>
      <c r="I1087" s="4">
        <f t="shared" si="263"/>
        <v>24</v>
      </c>
      <c r="J1087" s="4" t="str">
        <f t="shared" si="259"/>
        <v>5:100:8:24,</v>
      </c>
    </row>
    <row r="1088" spans="1:10">
      <c r="A1088" s="4" t="str">
        <f t="shared" si="253"/>
        <v>41级橙武器防御</v>
      </c>
      <c r="B1088" s="4" t="s">
        <v>198</v>
      </c>
      <c r="C1088" s="4" t="s">
        <v>120</v>
      </c>
      <c r="D1088" s="4">
        <v>41</v>
      </c>
      <c r="E1088" s="4" t="s">
        <v>17</v>
      </c>
      <c r="F1088" s="4">
        <f>VLOOKUP(E1088,基础属性ID!A:B,2,0)</f>
        <v>6</v>
      </c>
      <c r="G1088" s="4">
        <f>VLOOKUP(E1088,基础属性ID!$A:$E,5,0)</f>
        <v>100</v>
      </c>
      <c r="H1088" s="4">
        <v>8</v>
      </c>
      <c r="I1088" s="4">
        <f t="shared" si="263"/>
        <v>24</v>
      </c>
      <c r="J1088" s="4" t="str">
        <f t="shared" si="259"/>
        <v>6:100:8:24,</v>
      </c>
    </row>
    <row r="1089" spans="1:10">
      <c r="A1089" s="4" t="str">
        <f t="shared" si="253"/>
        <v>41级橙武器攻速</v>
      </c>
      <c r="B1089" s="4" t="s">
        <v>198</v>
      </c>
      <c r="C1089" s="4" t="s">
        <v>120</v>
      </c>
      <c r="D1089" s="4">
        <v>41</v>
      </c>
      <c r="E1089" s="4" t="s">
        <v>18</v>
      </c>
      <c r="F1089" s="4">
        <f>VLOOKUP(E1089,基础属性ID!A:B,2,0)</f>
        <v>7</v>
      </c>
      <c r="G1089" s="4">
        <f>VLOOKUP(E1089,基础属性ID!$A:$E,5,0)</f>
        <v>20</v>
      </c>
      <c r="H1089" s="4">
        <v>1</v>
      </c>
      <c r="I1089" s="4">
        <v>3</v>
      </c>
      <c r="J1089" s="4" t="str">
        <f t="shared" si="259"/>
        <v>7:20:1:3,</v>
      </c>
    </row>
    <row r="1090" spans="1:10">
      <c r="A1090" s="4" t="str">
        <f t="shared" si="253"/>
        <v>41级橙武器幸运</v>
      </c>
      <c r="B1090" s="4" t="s">
        <v>198</v>
      </c>
      <c r="C1090" s="4" t="s">
        <v>120</v>
      </c>
      <c r="D1090" s="4">
        <v>41</v>
      </c>
      <c r="E1090" s="4" t="s">
        <v>19</v>
      </c>
      <c r="F1090" s="4">
        <f>VLOOKUP(E1090,基础属性ID!A:B,2,0)</f>
        <v>8</v>
      </c>
      <c r="G1090" s="4">
        <f>VLOOKUP(E1090,基础属性ID!$A:$E,5,0)</f>
        <v>20</v>
      </c>
      <c r="H1090" s="4">
        <v>1</v>
      </c>
      <c r="I1090" s="4">
        <v>4</v>
      </c>
      <c r="J1090" s="4" t="str">
        <f t="shared" si="259"/>
        <v>8:20:1:4,</v>
      </c>
    </row>
    <row r="1091" spans="1:10">
      <c r="A1091" s="4" t="str">
        <f t="shared" ref="A1091:A1154" si="264">D1091&amp;"级"&amp;C1091&amp;B1091&amp;E1091</f>
        <v>41级橙武器固定伤害</v>
      </c>
      <c r="B1091" s="4" t="s">
        <v>198</v>
      </c>
      <c r="C1091" s="4" t="s">
        <v>120</v>
      </c>
      <c r="D1091" s="4">
        <v>41</v>
      </c>
      <c r="E1091" s="4" t="s">
        <v>24</v>
      </c>
      <c r="F1091" s="4">
        <f>VLOOKUP(E1091,基础属性ID!A:B,2,0)</f>
        <v>9</v>
      </c>
      <c r="G1091" s="4">
        <f>VLOOKUP(E1091,基础属性ID!$A:$E,5,0)</f>
        <v>50</v>
      </c>
      <c r="H1091" s="4">
        <v>6</v>
      </c>
      <c r="I1091" s="4">
        <f t="shared" ref="I1091:I1092" si="265">H1091*3</f>
        <v>18</v>
      </c>
      <c r="J1091" s="4" t="str">
        <f t="shared" si="259"/>
        <v>9:50:6:18,</v>
      </c>
    </row>
    <row r="1092" spans="1:10">
      <c r="A1092" s="4" t="str">
        <f t="shared" si="264"/>
        <v>41级橙武器固定减伤</v>
      </c>
      <c r="B1092" s="4" t="s">
        <v>198</v>
      </c>
      <c r="C1092" s="4" t="s">
        <v>120</v>
      </c>
      <c r="D1092" s="4">
        <v>41</v>
      </c>
      <c r="E1092" s="4" t="s">
        <v>25</v>
      </c>
      <c r="F1092" s="4">
        <f>VLOOKUP(E1092,基础属性ID!A:B,2,0)</f>
        <v>10</v>
      </c>
      <c r="G1092" s="4">
        <f>VLOOKUP(E1092,基础属性ID!$A:$E,5,0)</f>
        <v>50</v>
      </c>
      <c r="H1092" s="4">
        <v>6</v>
      </c>
      <c r="I1092" s="4">
        <f t="shared" si="265"/>
        <v>18</v>
      </c>
      <c r="J1092" s="4" t="str">
        <f t="shared" si="259"/>
        <v>10:50:6:18,</v>
      </c>
    </row>
    <row r="1093" spans="1:10">
      <c r="A1093" s="4" t="str">
        <f t="shared" si="264"/>
        <v>41级橙武器生命吸取</v>
      </c>
      <c r="B1093" s="4" t="s">
        <v>198</v>
      </c>
      <c r="C1093" s="4" t="s">
        <v>120</v>
      </c>
      <c r="D1093" s="4">
        <v>41</v>
      </c>
      <c r="E1093" s="4" t="s">
        <v>28</v>
      </c>
      <c r="F1093" s="4">
        <f>VLOOKUP(E1093,基础属性ID!A:B,2,0)</f>
        <v>11</v>
      </c>
      <c r="G1093" s="4">
        <f>VLOOKUP(E1093,基础属性ID!$A:$E,5,0)</f>
        <v>50</v>
      </c>
      <c r="H1093" s="4">
        <v>6</v>
      </c>
      <c r="I1093" s="4">
        <f t="shared" ref="I1093:I1094" si="266">H1093*3</f>
        <v>18</v>
      </c>
      <c r="J1093" s="4" t="str">
        <f t="shared" si="259"/>
        <v>11:50:6:18,</v>
      </c>
    </row>
    <row r="1094" spans="1:10">
      <c r="A1094" s="4" t="str">
        <f t="shared" si="264"/>
        <v>41级橙武器法力吸取</v>
      </c>
      <c r="B1094" s="4" t="s">
        <v>198</v>
      </c>
      <c r="C1094" s="4" t="s">
        <v>120</v>
      </c>
      <c r="D1094" s="4">
        <v>41</v>
      </c>
      <c r="E1094" s="4" t="s">
        <v>29</v>
      </c>
      <c r="F1094" s="4">
        <f>VLOOKUP(E1094,基础属性ID!A:B,2,0)</f>
        <v>12</v>
      </c>
      <c r="G1094" s="4">
        <f>VLOOKUP(E1094,基础属性ID!$A:$E,5,0)</f>
        <v>50</v>
      </c>
      <c r="H1094" s="4">
        <v>6</v>
      </c>
      <c r="I1094" s="4">
        <f t="shared" si="266"/>
        <v>18</v>
      </c>
      <c r="J1094" s="4" t="str">
        <f t="shared" si="259"/>
        <v>12:50:6:18,</v>
      </c>
    </row>
    <row r="1095" spans="1:10">
      <c r="A1095" s="4" t="str">
        <f t="shared" si="264"/>
        <v>41级橙武器暴击几率</v>
      </c>
      <c r="B1095" s="4" t="s">
        <v>198</v>
      </c>
      <c r="C1095" s="4" t="s">
        <v>120</v>
      </c>
      <c r="D1095" s="4">
        <v>41</v>
      </c>
      <c r="E1095" s="4" t="s">
        <v>21</v>
      </c>
      <c r="F1095" s="4">
        <f>VLOOKUP(E1095,基础属性ID!A:B,2,0)</f>
        <v>13</v>
      </c>
      <c r="G1095" s="4">
        <f>VLOOKUP(E1095,基础属性ID!$A:$E,5,0)</f>
        <v>20</v>
      </c>
      <c r="H1095" s="4">
        <v>150</v>
      </c>
      <c r="I1095" s="4">
        <v>300</v>
      </c>
      <c r="J1095" s="4" t="str">
        <f t="shared" si="259"/>
        <v>13:20:150:300,</v>
      </c>
    </row>
    <row r="1096" spans="1:10">
      <c r="A1096" s="4" t="str">
        <f t="shared" si="264"/>
        <v>41级橙武器爆击伤害</v>
      </c>
      <c r="B1096" s="4" t="s">
        <v>198</v>
      </c>
      <c r="C1096" s="4" t="s">
        <v>120</v>
      </c>
      <c r="D1096" s="4">
        <v>41</v>
      </c>
      <c r="E1096" s="4" t="s">
        <v>76</v>
      </c>
      <c r="F1096" s="4">
        <f>VLOOKUP(E1096,基础属性ID!A:B,2,0)</f>
        <v>14</v>
      </c>
      <c r="G1096" s="4">
        <f>VLOOKUP(E1096,基础属性ID!$A:$E,5,0)</f>
        <v>20</v>
      </c>
      <c r="H1096" s="4">
        <v>5</v>
      </c>
      <c r="I1096" s="4">
        <v>10</v>
      </c>
      <c r="J1096" s="4" t="str">
        <f t="shared" si="259"/>
        <v>14:20:5:10,</v>
      </c>
    </row>
    <row r="1097" spans="1:10">
      <c r="A1097" s="4" t="str">
        <f t="shared" si="264"/>
        <v>41级橙武器伤害增加</v>
      </c>
      <c r="B1097" s="4" t="s">
        <v>198</v>
      </c>
      <c r="C1097" s="4" t="s">
        <v>120</v>
      </c>
      <c r="D1097" s="4">
        <v>41</v>
      </c>
      <c r="E1097" s="4" t="s">
        <v>26</v>
      </c>
      <c r="F1097" s="4">
        <f>VLOOKUP(E1097,基础属性ID!A:B,2,0)</f>
        <v>15</v>
      </c>
      <c r="G1097" s="4">
        <f>VLOOKUP(E1097,基础属性ID!$A:$E,5,0)</f>
        <v>10</v>
      </c>
      <c r="H1097" s="4">
        <v>150</v>
      </c>
      <c r="I1097" s="4">
        <v>300</v>
      </c>
      <c r="J1097" s="4" t="str">
        <f t="shared" si="259"/>
        <v>15:10:150:300,</v>
      </c>
    </row>
    <row r="1098" spans="1:10">
      <c r="A1098" s="4" t="str">
        <f t="shared" si="264"/>
        <v>41级橙武器伤害减免</v>
      </c>
      <c r="B1098" s="4" t="s">
        <v>198</v>
      </c>
      <c r="C1098" s="4" t="s">
        <v>120</v>
      </c>
      <c r="D1098" s="4">
        <v>41</v>
      </c>
      <c r="E1098" s="4" t="s">
        <v>27</v>
      </c>
      <c r="F1098" s="4">
        <f>VLOOKUP(E1098,基础属性ID!A:B,2,0)</f>
        <v>16</v>
      </c>
      <c r="G1098" s="4">
        <f>VLOOKUP(E1098,基础属性ID!$A:$E,5,0)</f>
        <v>10</v>
      </c>
      <c r="H1098" s="4">
        <v>150</v>
      </c>
      <c r="I1098" s="4">
        <v>300</v>
      </c>
      <c r="J1098" s="4" t="str">
        <f t="shared" si="259"/>
        <v>16:10:150:300,</v>
      </c>
    </row>
    <row r="1099" spans="1:10">
      <c r="A1099" s="4" t="str">
        <f t="shared" si="264"/>
        <v>41级橙武器装备掉率</v>
      </c>
      <c r="B1099" s="4" t="s">
        <v>198</v>
      </c>
      <c r="C1099" s="4" t="s">
        <v>120</v>
      </c>
      <c r="D1099" s="4">
        <v>41</v>
      </c>
      <c r="E1099" s="4" t="s">
        <v>30</v>
      </c>
      <c r="F1099" s="4">
        <f>VLOOKUP(E1099,基础属性ID!A:B,2,0)</f>
        <v>17</v>
      </c>
      <c r="G1099" s="4">
        <f>VLOOKUP(E1099,基础属性ID!$A:$E,5,0)</f>
        <v>60</v>
      </c>
      <c r="H1099" s="4">
        <v>4</v>
      </c>
      <c r="I1099" s="4">
        <v>12</v>
      </c>
      <c r="J1099" s="4" t="str">
        <f t="shared" si="259"/>
        <v>17:60:4:12,</v>
      </c>
    </row>
    <row r="1100" spans="1:10">
      <c r="A1100" s="4" t="str">
        <f t="shared" si="264"/>
        <v>41级橙武器极品掉率</v>
      </c>
      <c r="B1100" s="4" t="s">
        <v>198</v>
      </c>
      <c r="C1100" s="4" t="s">
        <v>120</v>
      </c>
      <c r="D1100" s="4">
        <v>41</v>
      </c>
      <c r="E1100" s="4" t="s">
        <v>31</v>
      </c>
      <c r="F1100" s="4">
        <f>VLOOKUP(E1100,基础属性ID!A:B,2,0)</f>
        <v>18</v>
      </c>
      <c r="G1100" s="4">
        <f>VLOOKUP(E1100,基础属性ID!$A:$E,5,0)</f>
        <v>60</v>
      </c>
      <c r="H1100" s="4">
        <v>4</v>
      </c>
      <c r="I1100" s="4">
        <v>12</v>
      </c>
      <c r="J1100" s="4" t="str">
        <f t="shared" si="259"/>
        <v>18:60:4:12,</v>
      </c>
    </row>
    <row r="1101" spans="1:10">
      <c r="A1101" s="4" t="str">
        <f t="shared" si="264"/>
        <v>61级橙武器生命值</v>
      </c>
      <c r="B1101" s="4" t="s">
        <v>198</v>
      </c>
      <c r="C1101" s="4" t="s">
        <v>120</v>
      </c>
      <c r="D1101" s="4">
        <v>61</v>
      </c>
      <c r="E1101" s="4" t="s">
        <v>74</v>
      </c>
      <c r="F1101" s="4">
        <f>VLOOKUP(E1101,基础属性ID!A:B,2,0)</f>
        <v>1</v>
      </c>
      <c r="G1101" s="4">
        <f>VLOOKUP(E1101,基础属性ID!$A:$E,5,0)</f>
        <v>100</v>
      </c>
      <c r="H1101" s="4">
        <v>40</v>
      </c>
      <c r="I1101" s="4">
        <f>H1101*3</f>
        <v>120</v>
      </c>
      <c r="J1101" s="4" t="str">
        <f t="shared" si="259"/>
        <v>1:100:40:120,</v>
      </c>
    </row>
    <row r="1102" spans="1:10">
      <c r="A1102" s="4" t="str">
        <f t="shared" si="264"/>
        <v>61级橙武器法力值</v>
      </c>
      <c r="B1102" s="4" t="s">
        <v>198</v>
      </c>
      <c r="C1102" s="4" t="s">
        <v>120</v>
      </c>
      <c r="D1102" s="4">
        <v>61</v>
      </c>
      <c r="E1102" s="4" t="s">
        <v>75</v>
      </c>
      <c r="F1102" s="4">
        <f>VLOOKUP(E1102,基础属性ID!A:B,2,0)</f>
        <v>2</v>
      </c>
      <c r="G1102" s="4">
        <f>VLOOKUP(E1102,基础属性ID!$A:$E,5,0)</f>
        <v>100</v>
      </c>
      <c r="H1102" s="4">
        <v>16</v>
      </c>
      <c r="I1102" s="4">
        <v>32</v>
      </c>
      <c r="J1102" s="4" t="str">
        <f t="shared" si="259"/>
        <v>2:100:16:32,</v>
      </c>
    </row>
    <row r="1103" spans="1:10">
      <c r="A1103" s="4" t="str">
        <f t="shared" si="264"/>
        <v>61级橙武器物理攻击</v>
      </c>
      <c r="B1103" s="4" t="s">
        <v>198</v>
      </c>
      <c r="C1103" s="4" t="s">
        <v>120</v>
      </c>
      <c r="D1103" s="4">
        <v>61</v>
      </c>
      <c r="E1103" s="4" t="s">
        <v>13</v>
      </c>
      <c r="F1103" s="4">
        <f>VLOOKUP(E1103,基础属性ID!A:B,2,0)</f>
        <v>3</v>
      </c>
      <c r="G1103" s="4">
        <f>VLOOKUP(E1103,基础属性ID!$A:$E,5,0)</f>
        <v>100</v>
      </c>
      <c r="H1103" s="4">
        <v>12</v>
      </c>
      <c r="I1103" s="4">
        <f t="shared" ref="I1103:I1106" si="267">H1103*3</f>
        <v>36</v>
      </c>
      <c r="J1103" s="4" t="str">
        <f t="shared" si="259"/>
        <v>3:100:12:36,</v>
      </c>
    </row>
    <row r="1104" spans="1:10">
      <c r="A1104" s="4" t="str">
        <f t="shared" si="264"/>
        <v>61级橙武器魔法攻击</v>
      </c>
      <c r="B1104" s="4" t="s">
        <v>198</v>
      </c>
      <c r="C1104" s="4" t="s">
        <v>120</v>
      </c>
      <c r="D1104" s="4">
        <v>61</v>
      </c>
      <c r="E1104" s="4" t="s">
        <v>14</v>
      </c>
      <c r="F1104" s="4">
        <f>VLOOKUP(E1104,基础属性ID!A:B,2,0)</f>
        <v>4</v>
      </c>
      <c r="G1104" s="4">
        <f>VLOOKUP(E1104,基础属性ID!$A:$E,5,0)</f>
        <v>100</v>
      </c>
      <c r="H1104" s="4">
        <v>12</v>
      </c>
      <c r="I1104" s="4">
        <f t="shared" si="267"/>
        <v>36</v>
      </c>
      <c r="J1104" s="4" t="str">
        <f t="shared" si="259"/>
        <v>4:100:12:36,</v>
      </c>
    </row>
    <row r="1105" spans="1:10">
      <c r="A1105" s="4" t="str">
        <f t="shared" si="264"/>
        <v>61级橙武器道术攻击</v>
      </c>
      <c r="B1105" s="4" t="s">
        <v>198</v>
      </c>
      <c r="C1105" s="4" t="s">
        <v>120</v>
      </c>
      <c r="D1105" s="4">
        <v>61</v>
      </c>
      <c r="E1105" s="4" t="s">
        <v>15</v>
      </c>
      <c r="F1105" s="4">
        <f>VLOOKUP(E1105,基础属性ID!A:B,2,0)</f>
        <v>5</v>
      </c>
      <c r="G1105" s="4">
        <f>VLOOKUP(E1105,基础属性ID!$A:$E,5,0)</f>
        <v>100</v>
      </c>
      <c r="H1105" s="4">
        <v>12</v>
      </c>
      <c r="I1105" s="4">
        <f t="shared" si="267"/>
        <v>36</v>
      </c>
      <c r="J1105" s="4" t="str">
        <f t="shared" si="259"/>
        <v>5:100:12:36,</v>
      </c>
    </row>
    <row r="1106" spans="1:10">
      <c r="A1106" s="4" t="str">
        <f t="shared" si="264"/>
        <v>61级橙武器防御</v>
      </c>
      <c r="B1106" s="4" t="s">
        <v>198</v>
      </c>
      <c r="C1106" s="4" t="s">
        <v>120</v>
      </c>
      <c r="D1106" s="4">
        <v>61</v>
      </c>
      <c r="E1106" s="4" t="s">
        <v>17</v>
      </c>
      <c r="F1106" s="4">
        <f>VLOOKUP(E1106,基础属性ID!A:B,2,0)</f>
        <v>6</v>
      </c>
      <c r="G1106" s="4">
        <f>VLOOKUP(E1106,基础属性ID!$A:$E,5,0)</f>
        <v>100</v>
      </c>
      <c r="H1106" s="4">
        <v>12</v>
      </c>
      <c r="I1106" s="4">
        <f t="shared" si="267"/>
        <v>36</v>
      </c>
      <c r="J1106" s="4" t="str">
        <f t="shared" si="259"/>
        <v>6:100:12:36,</v>
      </c>
    </row>
    <row r="1107" spans="1:10">
      <c r="A1107" s="4" t="str">
        <f t="shared" si="264"/>
        <v>61级橙武器攻速</v>
      </c>
      <c r="B1107" s="4" t="s">
        <v>198</v>
      </c>
      <c r="C1107" s="4" t="s">
        <v>120</v>
      </c>
      <c r="D1107" s="4">
        <v>61</v>
      </c>
      <c r="E1107" s="4" t="s">
        <v>18</v>
      </c>
      <c r="F1107" s="4">
        <f>VLOOKUP(E1107,基础属性ID!A:B,2,0)</f>
        <v>7</v>
      </c>
      <c r="G1107" s="4">
        <f>VLOOKUP(E1107,基础属性ID!$A:$E,5,0)</f>
        <v>20</v>
      </c>
      <c r="H1107" s="4">
        <v>1</v>
      </c>
      <c r="I1107" s="4">
        <v>3</v>
      </c>
      <c r="J1107" s="4" t="str">
        <f t="shared" si="259"/>
        <v>7:20:1:3,</v>
      </c>
    </row>
    <row r="1108" spans="1:10">
      <c r="A1108" s="4" t="str">
        <f t="shared" si="264"/>
        <v>61级橙武器幸运</v>
      </c>
      <c r="B1108" s="4" t="s">
        <v>198</v>
      </c>
      <c r="C1108" s="4" t="s">
        <v>120</v>
      </c>
      <c r="D1108" s="4">
        <v>61</v>
      </c>
      <c r="E1108" s="4" t="s">
        <v>19</v>
      </c>
      <c r="F1108" s="4">
        <f>VLOOKUP(E1108,基础属性ID!A:B,2,0)</f>
        <v>8</v>
      </c>
      <c r="G1108" s="4">
        <f>VLOOKUP(E1108,基础属性ID!$A:$E,5,0)</f>
        <v>20</v>
      </c>
      <c r="H1108" s="4">
        <v>1</v>
      </c>
      <c r="I1108" s="4">
        <v>4</v>
      </c>
      <c r="J1108" s="4" t="str">
        <f t="shared" si="259"/>
        <v>8:20:1:4,</v>
      </c>
    </row>
    <row r="1109" spans="1:10">
      <c r="A1109" s="4" t="str">
        <f t="shared" si="264"/>
        <v>61级橙武器固定伤害</v>
      </c>
      <c r="B1109" s="4" t="s">
        <v>198</v>
      </c>
      <c r="C1109" s="4" t="s">
        <v>120</v>
      </c>
      <c r="D1109" s="4">
        <v>61</v>
      </c>
      <c r="E1109" s="4" t="s">
        <v>24</v>
      </c>
      <c r="F1109" s="4">
        <f>VLOOKUP(E1109,基础属性ID!A:B,2,0)</f>
        <v>9</v>
      </c>
      <c r="G1109" s="4">
        <f>VLOOKUP(E1109,基础属性ID!$A:$E,5,0)</f>
        <v>50</v>
      </c>
      <c r="H1109" s="4">
        <v>7</v>
      </c>
      <c r="I1109" s="4">
        <f t="shared" ref="I1109:I1110" si="268">H1109*3</f>
        <v>21</v>
      </c>
      <c r="J1109" s="4" t="str">
        <f t="shared" si="259"/>
        <v>9:50:7:21,</v>
      </c>
    </row>
    <row r="1110" spans="1:10">
      <c r="A1110" s="4" t="str">
        <f t="shared" si="264"/>
        <v>61级橙武器固定减伤</v>
      </c>
      <c r="B1110" s="4" t="s">
        <v>198</v>
      </c>
      <c r="C1110" s="4" t="s">
        <v>120</v>
      </c>
      <c r="D1110" s="4">
        <v>61</v>
      </c>
      <c r="E1110" s="4" t="s">
        <v>25</v>
      </c>
      <c r="F1110" s="4">
        <f>VLOOKUP(E1110,基础属性ID!A:B,2,0)</f>
        <v>10</v>
      </c>
      <c r="G1110" s="4">
        <f>VLOOKUP(E1110,基础属性ID!$A:$E,5,0)</f>
        <v>50</v>
      </c>
      <c r="H1110" s="4">
        <v>7</v>
      </c>
      <c r="I1110" s="4">
        <f t="shared" si="268"/>
        <v>21</v>
      </c>
      <c r="J1110" s="4" t="str">
        <f t="shared" si="259"/>
        <v>10:50:7:21,</v>
      </c>
    </row>
    <row r="1111" spans="1:10">
      <c r="A1111" s="4" t="str">
        <f t="shared" si="264"/>
        <v>61级橙武器生命吸取</v>
      </c>
      <c r="B1111" s="4" t="s">
        <v>198</v>
      </c>
      <c r="C1111" s="4" t="s">
        <v>120</v>
      </c>
      <c r="D1111" s="4">
        <v>61</v>
      </c>
      <c r="E1111" s="4" t="s">
        <v>28</v>
      </c>
      <c r="F1111" s="4">
        <f>VLOOKUP(E1111,基础属性ID!A:B,2,0)</f>
        <v>11</v>
      </c>
      <c r="G1111" s="4">
        <f>VLOOKUP(E1111,基础属性ID!$A:$E,5,0)</f>
        <v>50</v>
      </c>
      <c r="H1111" s="4">
        <v>8</v>
      </c>
      <c r="I1111" s="4">
        <f t="shared" ref="I1111:I1112" si="269">H1111*3</f>
        <v>24</v>
      </c>
      <c r="J1111" s="4" t="str">
        <f t="shared" si="259"/>
        <v>11:50:8:24,</v>
      </c>
    </row>
    <row r="1112" spans="1:10">
      <c r="A1112" s="4" t="str">
        <f t="shared" si="264"/>
        <v>61级橙武器法力吸取</v>
      </c>
      <c r="B1112" s="4" t="s">
        <v>198</v>
      </c>
      <c r="C1112" s="4" t="s">
        <v>120</v>
      </c>
      <c r="D1112" s="4">
        <v>61</v>
      </c>
      <c r="E1112" s="4" t="s">
        <v>29</v>
      </c>
      <c r="F1112" s="4">
        <f>VLOOKUP(E1112,基础属性ID!A:B,2,0)</f>
        <v>12</v>
      </c>
      <c r="G1112" s="4">
        <f>VLOOKUP(E1112,基础属性ID!$A:$E,5,0)</f>
        <v>50</v>
      </c>
      <c r="H1112" s="4">
        <v>8</v>
      </c>
      <c r="I1112" s="4">
        <f t="shared" si="269"/>
        <v>24</v>
      </c>
      <c r="J1112" s="4" t="str">
        <f t="shared" si="259"/>
        <v>12:50:8:24,</v>
      </c>
    </row>
    <row r="1113" spans="1:10">
      <c r="A1113" s="4" t="str">
        <f t="shared" si="264"/>
        <v>61级橙武器暴击几率</v>
      </c>
      <c r="B1113" s="4" t="s">
        <v>198</v>
      </c>
      <c r="C1113" s="4" t="s">
        <v>120</v>
      </c>
      <c r="D1113" s="4">
        <v>61</v>
      </c>
      <c r="E1113" s="4" t="s">
        <v>21</v>
      </c>
      <c r="F1113" s="4">
        <f>VLOOKUP(E1113,基础属性ID!A:B,2,0)</f>
        <v>13</v>
      </c>
      <c r="G1113" s="4">
        <f>VLOOKUP(E1113,基础属性ID!$A:$E,5,0)</f>
        <v>20</v>
      </c>
      <c r="H1113" s="4">
        <v>150</v>
      </c>
      <c r="I1113" s="4">
        <v>300</v>
      </c>
      <c r="J1113" s="4" t="str">
        <f t="shared" si="259"/>
        <v>13:20:150:300,</v>
      </c>
    </row>
    <row r="1114" spans="1:10">
      <c r="A1114" s="4" t="str">
        <f t="shared" si="264"/>
        <v>61级橙武器爆击伤害</v>
      </c>
      <c r="B1114" s="4" t="s">
        <v>198</v>
      </c>
      <c r="C1114" s="4" t="s">
        <v>120</v>
      </c>
      <c r="D1114" s="4">
        <v>61</v>
      </c>
      <c r="E1114" s="4" t="s">
        <v>76</v>
      </c>
      <c r="F1114" s="4">
        <f>VLOOKUP(E1114,基础属性ID!A:B,2,0)</f>
        <v>14</v>
      </c>
      <c r="G1114" s="4">
        <f>VLOOKUP(E1114,基础属性ID!$A:$E,5,0)</f>
        <v>20</v>
      </c>
      <c r="H1114" s="4">
        <v>5</v>
      </c>
      <c r="I1114" s="4">
        <v>10</v>
      </c>
      <c r="J1114" s="4" t="str">
        <f t="shared" si="259"/>
        <v>14:20:5:10,</v>
      </c>
    </row>
    <row r="1115" spans="1:10">
      <c r="A1115" s="4" t="str">
        <f t="shared" si="264"/>
        <v>61级橙武器伤害增加</v>
      </c>
      <c r="B1115" s="4" t="s">
        <v>198</v>
      </c>
      <c r="C1115" s="4" t="s">
        <v>120</v>
      </c>
      <c r="D1115" s="4">
        <v>61</v>
      </c>
      <c r="E1115" s="4" t="s">
        <v>26</v>
      </c>
      <c r="F1115" s="4">
        <f>VLOOKUP(E1115,基础属性ID!A:B,2,0)</f>
        <v>15</v>
      </c>
      <c r="G1115" s="4">
        <f>VLOOKUP(E1115,基础属性ID!$A:$E,5,0)</f>
        <v>10</v>
      </c>
      <c r="H1115" s="4">
        <v>150</v>
      </c>
      <c r="I1115" s="4">
        <v>300</v>
      </c>
      <c r="J1115" s="4" t="str">
        <f t="shared" si="259"/>
        <v>15:10:150:300,</v>
      </c>
    </row>
    <row r="1116" spans="1:10">
      <c r="A1116" s="4" t="str">
        <f t="shared" si="264"/>
        <v>61级橙武器伤害减免</v>
      </c>
      <c r="B1116" s="4" t="s">
        <v>198</v>
      </c>
      <c r="C1116" s="4" t="s">
        <v>120</v>
      </c>
      <c r="D1116" s="4">
        <v>61</v>
      </c>
      <c r="E1116" s="4" t="s">
        <v>27</v>
      </c>
      <c r="F1116" s="4">
        <f>VLOOKUP(E1116,基础属性ID!A:B,2,0)</f>
        <v>16</v>
      </c>
      <c r="G1116" s="4">
        <f>VLOOKUP(E1116,基础属性ID!$A:$E,5,0)</f>
        <v>10</v>
      </c>
      <c r="H1116" s="4">
        <v>150</v>
      </c>
      <c r="I1116" s="4">
        <v>300</v>
      </c>
      <c r="J1116" s="4" t="str">
        <f t="shared" si="259"/>
        <v>16:10:150:300,</v>
      </c>
    </row>
    <row r="1117" spans="1:10">
      <c r="A1117" s="4" t="str">
        <f t="shared" si="264"/>
        <v>61级橙武器装备掉率</v>
      </c>
      <c r="B1117" s="4" t="s">
        <v>198</v>
      </c>
      <c r="C1117" s="4" t="s">
        <v>120</v>
      </c>
      <c r="D1117" s="4">
        <v>61</v>
      </c>
      <c r="E1117" s="4" t="s">
        <v>30</v>
      </c>
      <c r="F1117" s="4">
        <f>VLOOKUP(E1117,基础属性ID!A:B,2,0)</f>
        <v>17</v>
      </c>
      <c r="G1117" s="4">
        <f>VLOOKUP(E1117,基础属性ID!$A:$E,5,0)</f>
        <v>60</v>
      </c>
      <c r="H1117" s="4">
        <v>4</v>
      </c>
      <c r="I1117" s="4">
        <v>12</v>
      </c>
      <c r="J1117" s="4" t="str">
        <f t="shared" si="259"/>
        <v>17:60:4:12,</v>
      </c>
    </row>
    <row r="1118" spans="1:10">
      <c r="A1118" s="4" t="str">
        <f t="shared" si="264"/>
        <v>61级橙武器极品掉率</v>
      </c>
      <c r="B1118" s="4" t="s">
        <v>198</v>
      </c>
      <c r="C1118" s="4" t="s">
        <v>120</v>
      </c>
      <c r="D1118" s="4">
        <v>61</v>
      </c>
      <c r="E1118" s="4" t="s">
        <v>31</v>
      </c>
      <c r="F1118" s="4">
        <f>VLOOKUP(E1118,基础属性ID!A:B,2,0)</f>
        <v>18</v>
      </c>
      <c r="G1118" s="4">
        <f>VLOOKUP(E1118,基础属性ID!$A:$E,5,0)</f>
        <v>60</v>
      </c>
      <c r="H1118" s="4">
        <v>4</v>
      </c>
      <c r="I1118" s="4">
        <v>12</v>
      </c>
      <c r="J1118" s="4" t="str">
        <f t="shared" si="259"/>
        <v>18:60:4:12,</v>
      </c>
    </row>
    <row r="1119" spans="1:10">
      <c r="A1119" s="4" t="str">
        <f t="shared" si="264"/>
        <v>21级橙护甲生命值</v>
      </c>
      <c r="B1119" s="4" t="s">
        <v>203</v>
      </c>
      <c r="C1119" s="4" t="s">
        <v>120</v>
      </c>
      <c r="D1119" s="4">
        <v>21</v>
      </c>
      <c r="E1119" s="4" t="s">
        <v>74</v>
      </c>
      <c r="F1119" s="4">
        <f>VLOOKUP(E1119,基础属性ID!A:B,2,0)</f>
        <v>1</v>
      </c>
      <c r="G1119" s="4">
        <f>VLOOKUP(E1119,基础属性ID!$A:$E,5,0)</f>
        <v>100</v>
      </c>
      <c r="H1119" s="4">
        <v>15</v>
      </c>
      <c r="I1119" s="4">
        <f>H1119*3</f>
        <v>45</v>
      </c>
      <c r="J1119" s="4" t="str">
        <f t="shared" si="259"/>
        <v>1:100:15:45,</v>
      </c>
    </row>
    <row r="1120" spans="1:10">
      <c r="A1120" s="4" t="str">
        <f t="shared" si="264"/>
        <v>21级橙护甲法力值</v>
      </c>
      <c r="B1120" s="4" t="s">
        <v>203</v>
      </c>
      <c r="C1120" s="4" t="s">
        <v>120</v>
      </c>
      <c r="D1120" s="4">
        <v>21</v>
      </c>
      <c r="E1120" s="4" t="s">
        <v>75</v>
      </c>
      <c r="F1120" s="4">
        <f>VLOOKUP(E1120,基础属性ID!A:B,2,0)</f>
        <v>2</v>
      </c>
      <c r="G1120" s="4">
        <f>VLOOKUP(E1120,基础属性ID!$A:$E,5,0)</f>
        <v>100</v>
      </c>
      <c r="H1120" s="4">
        <v>12</v>
      </c>
      <c r="I1120" s="4">
        <v>24</v>
      </c>
      <c r="J1120" s="4" t="str">
        <f t="shared" si="259"/>
        <v>2:100:12:24,</v>
      </c>
    </row>
    <row r="1121" spans="1:10">
      <c r="A1121" s="4" t="str">
        <f t="shared" si="264"/>
        <v>21级橙护甲物理攻击</v>
      </c>
      <c r="B1121" s="4" t="s">
        <v>203</v>
      </c>
      <c r="C1121" s="4" t="s">
        <v>120</v>
      </c>
      <c r="D1121" s="4">
        <v>21</v>
      </c>
      <c r="E1121" s="4" t="s">
        <v>13</v>
      </c>
      <c r="F1121" s="4">
        <f>VLOOKUP(E1121,基础属性ID!A:B,2,0)</f>
        <v>3</v>
      </c>
      <c r="G1121" s="4">
        <f>VLOOKUP(E1121,基础属性ID!$A:$E,5,0)</f>
        <v>100</v>
      </c>
      <c r="H1121" s="4">
        <v>6</v>
      </c>
      <c r="I1121" s="4">
        <f t="shared" ref="I1121:I1124" si="270">H1121*3</f>
        <v>18</v>
      </c>
      <c r="J1121" s="4" t="str">
        <f t="shared" si="259"/>
        <v>3:100:6:18,</v>
      </c>
    </row>
    <row r="1122" spans="1:10">
      <c r="A1122" s="4" t="str">
        <f t="shared" si="264"/>
        <v>21级橙护甲魔法攻击</v>
      </c>
      <c r="B1122" s="4" t="s">
        <v>203</v>
      </c>
      <c r="C1122" s="4" t="s">
        <v>120</v>
      </c>
      <c r="D1122" s="4">
        <v>21</v>
      </c>
      <c r="E1122" s="4" t="s">
        <v>14</v>
      </c>
      <c r="F1122" s="4">
        <f>VLOOKUP(E1122,基础属性ID!A:B,2,0)</f>
        <v>4</v>
      </c>
      <c r="G1122" s="4">
        <f>VLOOKUP(E1122,基础属性ID!$A:$E,5,0)</f>
        <v>100</v>
      </c>
      <c r="H1122" s="4">
        <v>6</v>
      </c>
      <c r="I1122" s="4">
        <f t="shared" si="270"/>
        <v>18</v>
      </c>
      <c r="J1122" s="4" t="str">
        <f t="shared" si="259"/>
        <v>4:100:6:18,</v>
      </c>
    </row>
    <row r="1123" spans="1:10">
      <c r="A1123" s="4" t="str">
        <f t="shared" si="264"/>
        <v>21级橙护甲道术攻击</v>
      </c>
      <c r="B1123" s="4" t="s">
        <v>203</v>
      </c>
      <c r="C1123" s="4" t="s">
        <v>120</v>
      </c>
      <c r="D1123" s="4">
        <v>21</v>
      </c>
      <c r="E1123" s="4" t="s">
        <v>15</v>
      </c>
      <c r="F1123" s="4">
        <f>VLOOKUP(E1123,基础属性ID!A:B,2,0)</f>
        <v>5</v>
      </c>
      <c r="G1123" s="4">
        <f>VLOOKUP(E1123,基础属性ID!$A:$E,5,0)</f>
        <v>100</v>
      </c>
      <c r="H1123" s="4">
        <v>6</v>
      </c>
      <c r="I1123" s="4">
        <f t="shared" si="270"/>
        <v>18</v>
      </c>
      <c r="J1123" s="4" t="str">
        <f t="shared" si="259"/>
        <v>5:100:6:18,</v>
      </c>
    </row>
    <row r="1124" spans="1:10">
      <c r="A1124" s="4" t="str">
        <f t="shared" si="264"/>
        <v>21级橙护甲防御</v>
      </c>
      <c r="B1124" s="4" t="s">
        <v>203</v>
      </c>
      <c r="C1124" s="4" t="s">
        <v>120</v>
      </c>
      <c r="D1124" s="4">
        <v>21</v>
      </c>
      <c r="E1124" s="4" t="s">
        <v>17</v>
      </c>
      <c r="F1124" s="4">
        <f>VLOOKUP(E1124,基础属性ID!A:B,2,0)</f>
        <v>6</v>
      </c>
      <c r="G1124" s="4">
        <f>VLOOKUP(E1124,基础属性ID!$A:$E,5,0)</f>
        <v>100</v>
      </c>
      <c r="H1124" s="4">
        <v>6</v>
      </c>
      <c r="I1124" s="4">
        <f t="shared" si="270"/>
        <v>18</v>
      </c>
      <c r="J1124" s="4" t="str">
        <f t="shared" si="259"/>
        <v>6:100:6:18,</v>
      </c>
    </row>
    <row r="1125" spans="1:10">
      <c r="A1125" s="4" t="str">
        <f t="shared" si="264"/>
        <v>21级橙护甲攻速</v>
      </c>
      <c r="B1125" s="4" t="s">
        <v>203</v>
      </c>
      <c r="C1125" s="4" t="s">
        <v>120</v>
      </c>
      <c r="D1125" s="4">
        <v>21</v>
      </c>
      <c r="E1125" s="4" t="s">
        <v>18</v>
      </c>
      <c r="F1125" s="4">
        <f>VLOOKUP(E1125,基础属性ID!A:B,2,0)</f>
        <v>7</v>
      </c>
      <c r="G1125" s="4">
        <f>VLOOKUP(E1125,基础属性ID!$A:$E,5,0)</f>
        <v>20</v>
      </c>
      <c r="H1125" s="4">
        <v>1</v>
      </c>
      <c r="I1125" s="4">
        <v>3</v>
      </c>
      <c r="J1125" s="4" t="str">
        <f t="shared" si="259"/>
        <v>7:20:1:3,</v>
      </c>
    </row>
    <row r="1126" spans="1:10">
      <c r="A1126" s="4" t="str">
        <f t="shared" si="264"/>
        <v>21级橙护甲固定伤害</v>
      </c>
      <c r="B1126" s="4" t="s">
        <v>203</v>
      </c>
      <c r="C1126" s="4" t="s">
        <v>120</v>
      </c>
      <c r="D1126" s="4">
        <v>21</v>
      </c>
      <c r="E1126" s="4" t="s">
        <v>24</v>
      </c>
      <c r="F1126" s="4">
        <f>VLOOKUP(E1126,基础属性ID!A:B,2,0)</f>
        <v>9</v>
      </c>
      <c r="G1126" s="4">
        <f>VLOOKUP(E1126,基础属性ID!$A:$E,5,0)</f>
        <v>50</v>
      </c>
      <c r="H1126" s="4">
        <v>5</v>
      </c>
      <c r="I1126" s="4">
        <f t="shared" ref="I1126:I1127" si="271">H1126*3</f>
        <v>15</v>
      </c>
      <c r="J1126" s="4" t="str">
        <f t="shared" ref="J1126:J1187" si="272">F1126&amp;":"&amp;G1126&amp;":"&amp;H1126&amp;":"&amp;I1126&amp;","</f>
        <v>9:50:5:15,</v>
      </c>
    </row>
    <row r="1127" spans="1:10">
      <c r="A1127" s="4" t="str">
        <f t="shared" si="264"/>
        <v>21级橙护甲固定减伤</v>
      </c>
      <c r="B1127" s="4" t="s">
        <v>203</v>
      </c>
      <c r="C1127" s="4" t="s">
        <v>120</v>
      </c>
      <c r="D1127" s="4">
        <v>21</v>
      </c>
      <c r="E1127" s="4" t="s">
        <v>25</v>
      </c>
      <c r="F1127" s="4">
        <f>VLOOKUP(E1127,基础属性ID!A:B,2,0)</f>
        <v>10</v>
      </c>
      <c r="G1127" s="4">
        <f>VLOOKUP(E1127,基础属性ID!$A:$E,5,0)</f>
        <v>50</v>
      </c>
      <c r="H1127" s="4">
        <v>5</v>
      </c>
      <c r="I1127" s="4">
        <f t="shared" si="271"/>
        <v>15</v>
      </c>
      <c r="J1127" s="4" t="str">
        <f t="shared" si="272"/>
        <v>10:50:5:15,</v>
      </c>
    </row>
    <row r="1128" spans="1:10">
      <c r="A1128" s="4" t="str">
        <f t="shared" si="264"/>
        <v>21级橙护甲生命吸取</v>
      </c>
      <c r="B1128" s="4" t="s">
        <v>203</v>
      </c>
      <c r="C1128" s="4" t="s">
        <v>120</v>
      </c>
      <c r="D1128" s="4">
        <v>21</v>
      </c>
      <c r="E1128" s="4" t="s">
        <v>28</v>
      </c>
      <c r="F1128" s="4">
        <f>VLOOKUP(E1128,基础属性ID!A:B,2,0)</f>
        <v>11</v>
      </c>
      <c r="G1128" s="4">
        <f>VLOOKUP(E1128,基础属性ID!$A:$E,5,0)</f>
        <v>50</v>
      </c>
      <c r="H1128" s="4">
        <v>4</v>
      </c>
      <c r="I1128" s="4">
        <f t="shared" ref="I1128:I1129" si="273">H1128*3</f>
        <v>12</v>
      </c>
      <c r="J1128" s="4" t="str">
        <f t="shared" si="272"/>
        <v>11:50:4:12,</v>
      </c>
    </row>
    <row r="1129" spans="1:10">
      <c r="A1129" s="4" t="str">
        <f t="shared" si="264"/>
        <v>21级橙护甲法力吸取</v>
      </c>
      <c r="B1129" s="4" t="s">
        <v>203</v>
      </c>
      <c r="C1129" s="4" t="s">
        <v>120</v>
      </c>
      <c r="D1129" s="4">
        <v>21</v>
      </c>
      <c r="E1129" s="4" t="s">
        <v>29</v>
      </c>
      <c r="F1129" s="4">
        <f>VLOOKUP(E1129,基础属性ID!A:B,2,0)</f>
        <v>12</v>
      </c>
      <c r="G1129" s="4">
        <f>VLOOKUP(E1129,基础属性ID!$A:$E,5,0)</f>
        <v>50</v>
      </c>
      <c r="H1129" s="4">
        <v>4</v>
      </c>
      <c r="I1129" s="4">
        <f t="shared" si="273"/>
        <v>12</v>
      </c>
      <c r="J1129" s="4" t="str">
        <f t="shared" si="272"/>
        <v>12:50:4:12,</v>
      </c>
    </row>
    <row r="1130" spans="1:10">
      <c r="A1130" s="4" t="str">
        <f t="shared" si="264"/>
        <v>21级橙护甲暴击几率</v>
      </c>
      <c r="B1130" s="4" t="s">
        <v>203</v>
      </c>
      <c r="C1130" s="4" t="s">
        <v>120</v>
      </c>
      <c r="D1130" s="4">
        <v>21</v>
      </c>
      <c r="E1130" s="4" t="s">
        <v>21</v>
      </c>
      <c r="F1130" s="4">
        <f>VLOOKUP(E1130,基础属性ID!A:B,2,0)</f>
        <v>13</v>
      </c>
      <c r="G1130" s="4">
        <f>VLOOKUP(E1130,基础属性ID!$A:$E,5,0)</f>
        <v>20</v>
      </c>
      <c r="H1130" s="4">
        <v>150</v>
      </c>
      <c r="I1130" s="4">
        <v>300</v>
      </c>
      <c r="J1130" s="4" t="str">
        <f t="shared" si="272"/>
        <v>13:20:150:300,</v>
      </c>
    </row>
    <row r="1131" spans="1:10">
      <c r="A1131" s="4" t="str">
        <f t="shared" si="264"/>
        <v>21级橙护甲爆击伤害</v>
      </c>
      <c r="B1131" s="4" t="s">
        <v>203</v>
      </c>
      <c r="C1131" s="4" t="s">
        <v>120</v>
      </c>
      <c r="D1131" s="4">
        <v>21</v>
      </c>
      <c r="E1131" s="4" t="s">
        <v>76</v>
      </c>
      <c r="F1131" s="4">
        <f>VLOOKUP(E1131,基础属性ID!A:B,2,0)</f>
        <v>14</v>
      </c>
      <c r="G1131" s="4">
        <f>VLOOKUP(E1131,基础属性ID!$A:$E,5,0)</f>
        <v>20</v>
      </c>
      <c r="H1131" s="4">
        <v>5</v>
      </c>
      <c r="I1131" s="4">
        <v>10</v>
      </c>
      <c r="J1131" s="4" t="str">
        <f t="shared" si="272"/>
        <v>14:20:5:10,</v>
      </c>
    </row>
    <row r="1132" spans="1:10">
      <c r="A1132" s="4" t="str">
        <f t="shared" si="264"/>
        <v>21级橙护甲伤害增加</v>
      </c>
      <c r="B1132" s="4" t="s">
        <v>203</v>
      </c>
      <c r="C1132" s="4" t="s">
        <v>120</v>
      </c>
      <c r="D1132" s="4">
        <v>21</v>
      </c>
      <c r="E1132" s="4" t="s">
        <v>26</v>
      </c>
      <c r="F1132" s="4">
        <f>VLOOKUP(E1132,基础属性ID!A:B,2,0)</f>
        <v>15</v>
      </c>
      <c r="G1132" s="4">
        <f>VLOOKUP(E1132,基础属性ID!$A:$E,5,0)</f>
        <v>10</v>
      </c>
      <c r="H1132" s="4">
        <v>150</v>
      </c>
      <c r="I1132" s="4">
        <v>300</v>
      </c>
      <c r="J1132" s="4" t="str">
        <f t="shared" si="272"/>
        <v>15:10:150:300,</v>
      </c>
    </row>
    <row r="1133" spans="1:10">
      <c r="A1133" s="4" t="str">
        <f t="shared" si="264"/>
        <v>21级橙护甲伤害减免</v>
      </c>
      <c r="B1133" s="4" t="s">
        <v>203</v>
      </c>
      <c r="C1133" s="4" t="s">
        <v>120</v>
      </c>
      <c r="D1133" s="4">
        <v>21</v>
      </c>
      <c r="E1133" s="4" t="s">
        <v>27</v>
      </c>
      <c r="F1133" s="4">
        <f>VLOOKUP(E1133,基础属性ID!A:B,2,0)</f>
        <v>16</v>
      </c>
      <c r="G1133" s="4">
        <f>VLOOKUP(E1133,基础属性ID!$A:$E,5,0)</f>
        <v>10</v>
      </c>
      <c r="H1133" s="4">
        <v>150</v>
      </c>
      <c r="I1133" s="4">
        <v>300</v>
      </c>
      <c r="J1133" s="4" t="str">
        <f t="shared" si="272"/>
        <v>16:10:150:300,</v>
      </c>
    </row>
    <row r="1134" spans="1:10">
      <c r="A1134" s="4" t="str">
        <f t="shared" si="264"/>
        <v>21级橙护甲装备掉率</v>
      </c>
      <c r="B1134" s="4" t="s">
        <v>203</v>
      </c>
      <c r="C1134" s="4" t="s">
        <v>120</v>
      </c>
      <c r="D1134" s="4">
        <v>21</v>
      </c>
      <c r="E1134" s="4" t="s">
        <v>30</v>
      </c>
      <c r="F1134" s="4">
        <f>VLOOKUP(E1134,基础属性ID!A:B,2,0)</f>
        <v>17</v>
      </c>
      <c r="G1134" s="4">
        <f>VLOOKUP(E1134,基础属性ID!$A:$E,5,0)</f>
        <v>60</v>
      </c>
      <c r="H1134" s="4">
        <v>4</v>
      </c>
      <c r="I1134" s="4">
        <v>12</v>
      </c>
      <c r="J1134" s="4" t="str">
        <f t="shared" si="272"/>
        <v>17:60:4:12,</v>
      </c>
    </row>
    <row r="1135" spans="1:10">
      <c r="A1135" s="4" t="str">
        <f t="shared" si="264"/>
        <v>21级橙护甲极品掉率</v>
      </c>
      <c r="B1135" s="4" t="s">
        <v>203</v>
      </c>
      <c r="C1135" s="4" t="s">
        <v>120</v>
      </c>
      <c r="D1135" s="4">
        <v>21</v>
      </c>
      <c r="E1135" s="4" t="s">
        <v>31</v>
      </c>
      <c r="F1135" s="4">
        <f>VLOOKUP(E1135,基础属性ID!A:B,2,0)</f>
        <v>18</v>
      </c>
      <c r="G1135" s="4">
        <f>VLOOKUP(E1135,基础属性ID!$A:$E,5,0)</f>
        <v>60</v>
      </c>
      <c r="H1135" s="4">
        <v>4</v>
      </c>
      <c r="I1135" s="4">
        <v>12</v>
      </c>
      <c r="J1135" s="4" t="str">
        <f t="shared" si="272"/>
        <v>18:60:4:12,</v>
      </c>
    </row>
    <row r="1136" spans="1:10">
      <c r="A1136" s="4" t="str">
        <f t="shared" si="264"/>
        <v>41级橙护甲生命值</v>
      </c>
      <c r="B1136" s="4" t="s">
        <v>203</v>
      </c>
      <c r="C1136" s="4" t="s">
        <v>120</v>
      </c>
      <c r="D1136" s="4">
        <v>41</v>
      </c>
      <c r="E1136" s="4" t="s">
        <v>74</v>
      </c>
      <c r="F1136" s="4">
        <f>VLOOKUP(E1136,基础属性ID!A:B,2,0)</f>
        <v>1</v>
      </c>
      <c r="G1136" s="4">
        <f>VLOOKUP(E1136,基础属性ID!$A:$E,5,0)</f>
        <v>100</v>
      </c>
      <c r="H1136" s="4">
        <v>25</v>
      </c>
      <c r="I1136" s="4">
        <f>H1136*3</f>
        <v>75</v>
      </c>
      <c r="J1136" s="4" t="str">
        <f t="shared" si="272"/>
        <v>1:100:25:75,</v>
      </c>
    </row>
    <row r="1137" spans="1:10">
      <c r="A1137" s="4" t="str">
        <f t="shared" si="264"/>
        <v>41级橙护甲法力值</v>
      </c>
      <c r="B1137" s="4" t="s">
        <v>203</v>
      </c>
      <c r="C1137" s="4" t="s">
        <v>120</v>
      </c>
      <c r="D1137" s="4">
        <v>41</v>
      </c>
      <c r="E1137" s="4" t="s">
        <v>75</v>
      </c>
      <c r="F1137" s="4">
        <f>VLOOKUP(E1137,基础属性ID!A:B,2,0)</f>
        <v>2</v>
      </c>
      <c r="G1137" s="4">
        <f>VLOOKUP(E1137,基础属性ID!$A:$E,5,0)</f>
        <v>100</v>
      </c>
      <c r="H1137" s="4">
        <v>14</v>
      </c>
      <c r="I1137" s="4">
        <v>28</v>
      </c>
      <c r="J1137" s="4" t="str">
        <f t="shared" si="272"/>
        <v>2:100:14:28,</v>
      </c>
    </row>
    <row r="1138" spans="1:10">
      <c r="A1138" s="4" t="str">
        <f t="shared" si="264"/>
        <v>41级橙护甲物理攻击</v>
      </c>
      <c r="B1138" s="4" t="s">
        <v>203</v>
      </c>
      <c r="C1138" s="4" t="s">
        <v>120</v>
      </c>
      <c r="D1138" s="4">
        <v>41</v>
      </c>
      <c r="E1138" s="4" t="s">
        <v>13</v>
      </c>
      <c r="F1138" s="4">
        <f>VLOOKUP(E1138,基础属性ID!A:B,2,0)</f>
        <v>3</v>
      </c>
      <c r="G1138" s="4">
        <f>VLOOKUP(E1138,基础属性ID!$A:$E,5,0)</f>
        <v>100</v>
      </c>
      <c r="H1138" s="4">
        <v>8</v>
      </c>
      <c r="I1138" s="4">
        <f t="shared" ref="I1138:I1141" si="274">H1138*3</f>
        <v>24</v>
      </c>
      <c r="J1138" s="4" t="str">
        <f t="shared" si="272"/>
        <v>3:100:8:24,</v>
      </c>
    </row>
    <row r="1139" spans="1:10">
      <c r="A1139" s="4" t="str">
        <f t="shared" si="264"/>
        <v>41级橙护甲魔法攻击</v>
      </c>
      <c r="B1139" s="4" t="s">
        <v>203</v>
      </c>
      <c r="C1139" s="4" t="s">
        <v>120</v>
      </c>
      <c r="D1139" s="4">
        <v>41</v>
      </c>
      <c r="E1139" s="4" t="s">
        <v>14</v>
      </c>
      <c r="F1139" s="4">
        <f>VLOOKUP(E1139,基础属性ID!A:B,2,0)</f>
        <v>4</v>
      </c>
      <c r="G1139" s="4">
        <f>VLOOKUP(E1139,基础属性ID!$A:$E,5,0)</f>
        <v>100</v>
      </c>
      <c r="H1139" s="4">
        <v>8</v>
      </c>
      <c r="I1139" s="4">
        <f t="shared" si="274"/>
        <v>24</v>
      </c>
      <c r="J1139" s="4" t="str">
        <f t="shared" si="272"/>
        <v>4:100:8:24,</v>
      </c>
    </row>
    <row r="1140" spans="1:10">
      <c r="A1140" s="4" t="str">
        <f t="shared" si="264"/>
        <v>41级橙护甲道术攻击</v>
      </c>
      <c r="B1140" s="4" t="s">
        <v>203</v>
      </c>
      <c r="C1140" s="4" t="s">
        <v>120</v>
      </c>
      <c r="D1140" s="4">
        <v>41</v>
      </c>
      <c r="E1140" s="4" t="s">
        <v>15</v>
      </c>
      <c r="F1140" s="4">
        <f>VLOOKUP(E1140,基础属性ID!A:B,2,0)</f>
        <v>5</v>
      </c>
      <c r="G1140" s="4">
        <f>VLOOKUP(E1140,基础属性ID!$A:$E,5,0)</f>
        <v>100</v>
      </c>
      <c r="H1140" s="4">
        <v>8</v>
      </c>
      <c r="I1140" s="4">
        <f t="shared" si="274"/>
        <v>24</v>
      </c>
      <c r="J1140" s="4" t="str">
        <f t="shared" si="272"/>
        <v>5:100:8:24,</v>
      </c>
    </row>
    <row r="1141" spans="1:10">
      <c r="A1141" s="4" t="str">
        <f t="shared" si="264"/>
        <v>41级橙护甲防御</v>
      </c>
      <c r="B1141" s="4" t="s">
        <v>203</v>
      </c>
      <c r="C1141" s="4" t="s">
        <v>120</v>
      </c>
      <c r="D1141" s="4">
        <v>41</v>
      </c>
      <c r="E1141" s="4" t="s">
        <v>17</v>
      </c>
      <c r="F1141" s="4">
        <f>VLOOKUP(E1141,基础属性ID!A:B,2,0)</f>
        <v>6</v>
      </c>
      <c r="G1141" s="4">
        <f>VLOOKUP(E1141,基础属性ID!$A:$E,5,0)</f>
        <v>100</v>
      </c>
      <c r="H1141" s="4">
        <v>8</v>
      </c>
      <c r="I1141" s="4">
        <f t="shared" si="274"/>
        <v>24</v>
      </c>
      <c r="J1141" s="4" t="str">
        <f t="shared" si="272"/>
        <v>6:100:8:24,</v>
      </c>
    </row>
    <row r="1142" spans="1:10">
      <c r="A1142" s="4" t="str">
        <f t="shared" si="264"/>
        <v>41级橙护甲攻速</v>
      </c>
      <c r="B1142" s="4" t="s">
        <v>203</v>
      </c>
      <c r="C1142" s="4" t="s">
        <v>120</v>
      </c>
      <c r="D1142" s="4">
        <v>41</v>
      </c>
      <c r="E1142" s="4" t="s">
        <v>18</v>
      </c>
      <c r="F1142" s="4">
        <f>VLOOKUP(E1142,基础属性ID!A:B,2,0)</f>
        <v>7</v>
      </c>
      <c r="G1142" s="4">
        <f>VLOOKUP(E1142,基础属性ID!$A:$E,5,0)</f>
        <v>20</v>
      </c>
      <c r="H1142" s="4">
        <v>1</v>
      </c>
      <c r="I1142" s="4">
        <v>3</v>
      </c>
      <c r="J1142" s="4" t="str">
        <f t="shared" si="272"/>
        <v>7:20:1:3,</v>
      </c>
    </row>
    <row r="1143" spans="1:10">
      <c r="A1143" s="4" t="str">
        <f t="shared" si="264"/>
        <v>41级橙护甲固定伤害</v>
      </c>
      <c r="B1143" s="4" t="s">
        <v>203</v>
      </c>
      <c r="C1143" s="4" t="s">
        <v>120</v>
      </c>
      <c r="D1143" s="4">
        <v>41</v>
      </c>
      <c r="E1143" s="4" t="s">
        <v>24</v>
      </c>
      <c r="F1143" s="4">
        <f>VLOOKUP(E1143,基础属性ID!A:B,2,0)</f>
        <v>9</v>
      </c>
      <c r="G1143" s="4">
        <f>VLOOKUP(E1143,基础属性ID!$A:$E,5,0)</f>
        <v>50</v>
      </c>
      <c r="H1143" s="4">
        <v>6</v>
      </c>
      <c r="I1143" s="4">
        <f t="shared" ref="I1143:I1144" si="275">H1143*3</f>
        <v>18</v>
      </c>
      <c r="J1143" s="4" t="str">
        <f t="shared" si="272"/>
        <v>9:50:6:18,</v>
      </c>
    </row>
    <row r="1144" spans="1:10">
      <c r="A1144" s="4" t="str">
        <f t="shared" si="264"/>
        <v>41级橙护甲固定减伤</v>
      </c>
      <c r="B1144" s="4" t="s">
        <v>203</v>
      </c>
      <c r="C1144" s="4" t="s">
        <v>120</v>
      </c>
      <c r="D1144" s="4">
        <v>41</v>
      </c>
      <c r="E1144" s="4" t="s">
        <v>25</v>
      </c>
      <c r="F1144" s="4">
        <f>VLOOKUP(E1144,基础属性ID!A:B,2,0)</f>
        <v>10</v>
      </c>
      <c r="G1144" s="4">
        <f>VLOOKUP(E1144,基础属性ID!$A:$E,5,0)</f>
        <v>50</v>
      </c>
      <c r="H1144" s="4">
        <v>6</v>
      </c>
      <c r="I1144" s="4">
        <f t="shared" si="275"/>
        <v>18</v>
      </c>
      <c r="J1144" s="4" t="str">
        <f t="shared" si="272"/>
        <v>10:50:6:18,</v>
      </c>
    </row>
    <row r="1145" spans="1:10">
      <c r="A1145" s="4" t="str">
        <f t="shared" si="264"/>
        <v>41级橙护甲生命吸取</v>
      </c>
      <c r="B1145" s="4" t="s">
        <v>203</v>
      </c>
      <c r="C1145" s="4" t="s">
        <v>120</v>
      </c>
      <c r="D1145" s="4">
        <v>41</v>
      </c>
      <c r="E1145" s="4" t="s">
        <v>28</v>
      </c>
      <c r="F1145" s="4">
        <f>VLOOKUP(E1145,基础属性ID!A:B,2,0)</f>
        <v>11</v>
      </c>
      <c r="G1145" s="4">
        <f>VLOOKUP(E1145,基础属性ID!$A:$E,5,0)</f>
        <v>50</v>
      </c>
      <c r="H1145" s="4">
        <v>6</v>
      </c>
      <c r="I1145" s="4">
        <f t="shared" ref="I1145:I1146" si="276">H1145*3</f>
        <v>18</v>
      </c>
      <c r="J1145" s="4" t="str">
        <f t="shared" si="272"/>
        <v>11:50:6:18,</v>
      </c>
    </row>
    <row r="1146" spans="1:10">
      <c r="A1146" s="4" t="str">
        <f t="shared" si="264"/>
        <v>41级橙护甲法力吸取</v>
      </c>
      <c r="B1146" s="4" t="s">
        <v>203</v>
      </c>
      <c r="C1146" s="4" t="s">
        <v>120</v>
      </c>
      <c r="D1146" s="4">
        <v>41</v>
      </c>
      <c r="E1146" s="4" t="s">
        <v>29</v>
      </c>
      <c r="F1146" s="4">
        <f>VLOOKUP(E1146,基础属性ID!A:B,2,0)</f>
        <v>12</v>
      </c>
      <c r="G1146" s="4">
        <f>VLOOKUP(E1146,基础属性ID!$A:$E,5,0)</f>
        <v>50</v>
      </c>
      <c r="H1146" s="4">
        <v>6</v>
      </c>
      <c r="I1146" s="4">
        <f t="shared" si="276"/>
        <v>18</v>
      </c>
      <c r="J1146" s="4" t="str">
        <f t="shared" si="272"/>
        <v>12:50:6:18,</v>
      </c>
    </row>
    <row r="1147" spans="1:10">
      <c r="A1147" s="4" t="str">
        <f t="shared" si="264"/>
        <v>41级橙护甲暴击几率</v>
      </c>
      <c r="B1147" s="4" t="s">
        <v>203</v>
      </c>
      <c r="C1147" s="4" t="s">
        <v>120</v>
      </c>
      <c r="D1147" s="4">
        <v>41</v>
      </c>
      <c r="E1147" s="4" t="s">
        <v>21</v>
      </c>
      <c r="F1147" s="4">
        <f>VLOOKUP(E1147,基础属性ID!A:B,2,0)</f>
        <v>13</v>
      </c>
      <c r="G1147" s="4">
        <f>VLOOKUP(E1147,基础属性ID!$A:$E,5,0)</f>
        <v>20</v>
      </c>
      <c r="H1147" s="4">
        <v>150</v>
      </c>
      <c r="I1147" s="4">
        <v>300</v>
      </c>
      <c r="J1147" s="4" t="str">
        <f t="shared" si="272"/>
        <v>13:20:150:300,</v>
      </c>
    </row>
    <row r="1148" spans="1:10">
      <c r="A1148" s="4" t="str">
        <f t="shared" si="264"/>
        <v>41级橙护甲爆击伤害</v>
      </c>
      <c r="B1148" s="4" t="s">
        <v>203</v>
      </c>
      <c r="C1148" s="4" t="s">
        <v>120</v>
      </c>
      <c r="D1148" s="4">
        <v>41</v>
      </c>
      <c r="E1148" s="4" t="s">
        <v>76</v>
      </c>
      <c r="F1148" s="4">
        <f>VLOOKUP(E1148,基础属性ID!A:B,2,0)</f>
        <v>14</v>
      </c>
      <c r="G1148" s="4">
        <f>VLOOKUP(E1148,基础属性ID!$A:$E,5,0)</f>
        <v>20</v>
      </c>
      <c r="H1148" s="4">
        <v>5</v>
      </c>
      <c r="I1148" s="4">
        <v>10</v>
      </c>
      <c r="J1148" s="4" t="str">
        <f t="shared" si="272"/>
        <v>14:20:5:10,</v>
      </c>
    </row>
    <row r="1149" spans="1:10">
      <c r="A1149" s="4" t="str">
        <f t="shared" si="264"/>
        <v>41级橙护甲伤害增加</v>
      </c>
      <c r="B1149" s="4" t="s">
        <v>203</v>
      </c>
      <c r="C1149" s="4" t="s">
        <v>120</v>
      </c>
      <c r="D1149" s="4">
        <v>41</v>
      </c>
      <c r="E1149" s="4" t="s">
        <v>26</v>
      </c>
      <c r="F1149" s="4">
        <f>VLOOKUP(E1149,基础属性ID!A:B,2,0)</f>
        <v>15</v>
      </c>
      <c r="G1149" s="4">
        <f>VLOOKUP(E1149,基础属性ID!$A:$E,5,0)</f>
        <v>10</v>
      </c>
      <c r="H1149" s="4">
        <v>150</v>
      </c>
      <c r="I1149" s="4">
        <v>300</v>
      </c>
      <c r="J1149" s="4" t="str">
        <f t="shared" si="272"/>
        <v>15:10:150:300,</v>
      </c>
    </row>
    <row r="1150" spans="1:10">
      <c r="A1150" s="4" t="str">
        <f t="shared" si="264"/>
        <v>41级橙护甲伤害减免</v>
      </c>
      <c r="B1150" s="4" t="s">
        <v>203</v>
      </c>
      <c r="C1150" s="4" t="s">
        <v>120</v>
      </c>
      <c r="D1150" s="4">
        <v>41</v>
      </c>
      <c r="E1150" s="4" t="s">
        <v>27</v>
      </c>
      <c r="F1150" s="4">
        <f>VLOOKUP(E1150,基础属性ID!A:B,2,0)</f>
        <v>16</v>
      </c>
      <c r="G1150" s="4">
        <f>VLOOKUP(E1150,基础属性ID!$A:$E,5,0)</f>
        <v>10</v>
      </c>
      <c r="H1150" s="4">
        <v>150</v>
      </c>
      <c r="I1150" s="4">
        <v>300</v>
      </c>
      <c r="J1150" s="4" t="str">
        <f t="shared" si="272"/>
        <v>16:10:150:300,</v>
      </c>
    </row>
    <row r="1151" spans="1:10">
      <c r="A1151" s="4" t="str">
        <f t="shared" si="264"/>
        <v>41级橙护甲装备掉率</v>
      </c>
      <c r="B1151" s="4" t="s">
        <v>203</v>
      </c>
      <c r="C1151" s="4" t="s">
        <v>120</v>
      </c>
      <c r="D1151" s="4">
        <v>41</v>
      </c>
      <c r="E1151" s="4" t="s">
        <v>30</v>
      </c>
      <c r="F1151" s="4">
        <f>VLOOKUP(E1151,基础属性ID!A:B,2,0)</f>
        <v>17</v>
      </c>
      <c r="G1151" s="4">
        <f>VLOOKUP(E1151,基础属性ID!$A:$E,5,0)</f>
        <v>60</v>
      </c>
      <c r="H1151" s="4">
        <v>4</v>
      </c>
      <c r="I1151" s="4">
        <v>12</v>
      </c>
      <c r="J1151" s="4" t="str">
        <f t="shared" si="272"/>
        <v>17:60:4:12,</v>
      </c>
    </row>
    <row r="1152" spans="1:10">
      <c r="A1152" s="4" t="str">
        <f t="shared" si="264"/>
        <v>41级橙护甲极品掉率</v>
      </c>
      <c r="B1152" s="4" t="s">
        <v>203</v>
      </c>
      <c r="C1152" s="4" t="s">
        <v>120</v>
      </c>
      <c r="D1152" s="4">
        <v>41</v>
      </c>
      <c r="E1152" s="4" t="s">
        <v>31</v>
      </c>
      <c r="F1152" s="4">
        <f>VLOOKUP(E1152,基础属性ID!A:B,2,0)</f>
        <v>18</v>
      </c>
      <c r="G1152" s="4">
        <f>VLOOKUP(E1152,基础属性ID!$A:$E,5,0)</f>
        <v>60</v>
      </c>
      <c r="H1152" s="4">
        <v>4</v>
      </c>
      <c r="I1152" s="4">
        <v>12</v>
      </c>
      <c r="J1152" s="4" t="str">
        <f t="shared" si="272"/>
        <v>18:60:4:12,</v>
      </c>
    </row>
    <row r="1153" spans="1:10">
      <c r="A1153" s="4" t="str">
        <f t="shared" si="264"/>
        <v>61级橙护甲生命值</v>
      </c>
      <c r="B1153" s="4" t="s">
        <v>203</v>
      </c>
      <c r="C1153" s="4" t="s">
        <v>120</v>
      </c>
      <c r="D1153" s="4">
        <v>61</v>
      </c>
      <c r="E1153" s="4" t="s">
        <v>74</v>
      </c>
      <c r="F1153" s="4">
        <f>VLOOKUP(E1153,基础属性ID!A:B,2,0)</f>
        <v>1</v>
      </c>
      <c r="G1153" s="4">
        <f>VLOOKUP(E1153,基础属性ID!$A:$E,5,0)</f>
        <v>100</v>
      </c>
      <c r="H1153" s="4">
        <v>40</v>
      </c>
      <c r="I1153" s="4">
        <f>H1153*3</f>
        <v>120</v>
      </c>
      <c r="J1153" s="4" t="str">
        <f t="shared" si="272"/>
        <v>1:100:40:120,</v>
      </c>
    </row>
    <row r="1154" spans="1:10">
      <c r="A1154" s="4" t="str">
        <f t="shared" si="264"/>
        <v>61级橙护甲法力值</v>
      </c>
      <c r="B1154" s="4" t="s">
        <v>203</v>
      </c>
      <c r="C1154" s="4" t="s">
        <v>120</v>
      </c>
      <c r="D1154" s="4">
        <v>61</v>
      </c>
      <c r="E1154" s="4" t="s">
        <v>75</v>
      </c>
      <c r="F1154" s="4">
        <f>VLOOKUP(E1154,基础属性ID!A:B,2,0)</f>
        <v>2</v>
      </c>
      <c r="G1154" s="4">
        <f>VLOOKUP(E1154,基础属性ID!$A:$E,5,0)</f>
        <v>100</v>
      </c>
      <c r="H1154" s="4">
        <v>16</v>
      </c>
      <c r="I1154" s="4">
        <v>32</v>
      </c>
      <c r="J1154" s="4" t="str">
        <f t="shared" si="272"/>
        <v>2:100:16:32,</v>
      </c>
    </row>
    <row r="1155" spans="1:10">
      <c r="A1155" s="4" t="str">
        <f t="shared" ref="A1155:A1218" si="277">D1155&amp;"级"&amp;C1155&amp;B1155&amp;E1155</f>
        <v>61级橙护甲物理攻击</v>
      </c>
      <c r="B1155" s="4" t="s">
        <v>203</v>
      </c>
      <c r="C1155" s="4" t="s">
        <v>120</v>
      </c>
      <c r="D1155" s="4">
        <v>61</v>
      </c>
      <c r="E1155" s="4" t="s">
        <v>13</v>
      </c>
      <c r="F1155" s="4">
        <f>VLOOKUP(E1155,基础属性ID!A:B,2,0)</f>
        <v>3</v>
      </c>
      <c r="G1155" s="4">
        <f>VLOOKUP(E1155,基础属性ID!$A:$E,5,0)</f>
        <v>100</v>
      </c>
      <c r="H1155" s="4">
        <v>12</v>
      </c>
      <c r="I1155" s="4">
        <f t="shared" ref="I1155:I1158" si="278">H1155*3</f>
        <v>36</v>
      </c>
      <c r="J1155" s="4" t="str">
        <f t="shared" si="272"/>
        <v>3:100:12:36,</v>
      </c>
    </row>
    <row r="1156" spans="1:10">
      <c r="A1156" s="4" t="str">
        <f t="shared" si="277"/>
        <v>61级橙护甲魔法攻击</v>
      </c>
      <c r="B1156" s="4" t="s">
        <v>203</v>
      </c>
      <c r="C1156" s="4" t="s">
        <v>120</v>
      </c>
      <c r="D1156" s="4">
        <v>61</v>
      </c>
      <c r="E1156" s="4" t="s">
        <v>14</v>
      </c>
      <c r="F1156" s="4">
        <f>VLOOKUP(E1156,基础属性ID!A:B,2,0)</f>
        <v>4</v>
      </c>
      <c r="G1156" s="4">
        <f>VLOOKUP(E1156,基础属性ID!$A:$E,5,0)</f>
        <v>100</v>
      </c>
      <c r="H1156" s="4">
        <v>12</v>
      </c>
      <c r="I1156" s="4">
        <f t="shared" si="278"/>
        <v>36</v>
      </c>
      <c r="J1156" s="4" t="str">
        <f t="shared" si="272"/>
        <v>4:100:12:36,</v>
      </c>
    </row>
    <row r="1157" spans="1:10">
      <c r="A1157" s="4" t="str">
        <f t="shared" si="277"/>
        <v>61级橙护甲道术攻击</v>
      </c>
      <c r="B1157" s="4" t="s">
        <v>203</v>
      </c>
      <c r="C1157" s="4" t="s">
        <v>120</v>
      </c>
      <c r="D1157" s="4">
        <v>61</v>
      </c>
      <c r="E1157" s="4" t="s">
        <v>15</v>
      </c>
      <c r="F1157" s="4">
        <f>VLOOKUP(E1157,基础属性ID!A:B,2,0)</f>
        <v>5</v>
      </c>
      <c r="G1157" s="4">
        <f>VLOOKUP(E1157,基础属性ID!$A:$E,5,0)</f>
        <v>100</v>
      </c>
      <c r="H1157" s="4">
        <v>12</v>
      </c>
      <c r="I1157" s="4">
        <f t="shared" si="278"/>
        <v>36</v>
      </c>
      <c r="J1157" s="4" t="str">
        <f t="shared" si="272"/>
        <v>5:100:12:36,</v>
      </c>
    </row>
    <row r="1158" spans="1:10">
      <c r="A1158" s="4" t="str">
        <f t="shared" si="277"/>
        <v>61级橙护甲防御</v>
      </c>
      <c r="B1158" s="4" t="s">
        <v>203</v>
      </c>
      <c r="C1158" s="4" t="s">
        <v>120</v>
      </c>
      <c r="D1158" s="4">
        <v>61</v>
      </c>
      <c r="E1158" s="4" t="s">
        <v>17</v>
      </c>
      <c r="F1158" s="4">
        <f>VLOOKUP(E1158,基础属性ID!A:B,2,0)</f>
        <v>6</v>
      </c>
      <c r="G1158" s="4">
        <f>VLOOKUP(E1158,基础属性ID!$A:$E,5,0)</f>
        <v>100</v>
      </c>
      <c r="H1158" s="4">
        <v>12</v>
      </c>
      <c r="I1158" s="4">
        <f t="shared" si="278"/>
        <v>36</v>
      </c>
      <c r="J1158" s="4" t="str">
        <f t="shared" si="272"/>
        <v>6:100:12:36,</v>
      </c>
    </row>
    <row r="1159" spans="1:10">
      <c r="A1159" s="4" t="str">
        <f t="shared" si="277"/>
        <v>61级橙护甲攻速</v>
      </c>
      <c r="B1159" s="4" t="s">
        <v>203</v>
      </c>
      <c r="C1159" s="4" t="s">
        <v>120</v>
      </c>
      <c r="D1159" s="4">
        <v>61</v>
      </c>
      <c r="E1159" s="4" t="s">
        <v>18</v>
      </c>
      <c r="F1159" s="4">
        <f>VLOOKUP(E1159,基础属性ID!A:B,2,0)</f>
        <v>7</v>
      </c>
      <c r="G1159" s="4">
        <f>VLOOKUP(E1159,基础属性ID!$A:$E,5,0)</f>
        <v>20</v>
      </c>
      <c r="H1159" s="4">
        <v>1</v>
      </c>
      <c r="I1159" s="4">
        <v>3</v>
      </c>
      <c r="J1159" s="4" t="str">
        <f t="shared" si="272"/>
        <v>7:20:1:3,</v>
      </c>
    </row>
    <row r="1160" spans="1:10">
      <c r="A1160" s="4" t="str">
        <f t="shared" si="277"/>
        <v>61级橙护甲固定伤害</v>
      </c>
      <c r="B1160" s="4" t="s">
        <v>203</v>
      </c>
      <c r="C1160" s="4" t="s">
        <v>120</v>
      </c>
      <c r="D1160" s="4">
        <v>61</v>
      </c>
      <c r="E1160" s="4" t="s">
        <v>24</v>
      </c>
      <c r="F1160" s="4">
        <f>VLOOKUP(E1160,基础属性ID!A:B,2,0)</f>
        <v>9</v>
      </c>
      <c r="G1160" s="4">
        <f>VLOOKUP(E1160,基础属性ID!$A:$E,5,0)</f>
        <v>50</v>
      </c>
      <c r="H1160" s="4">
        <v>7</v>
      </c>
      <c r="I1160" s="4">
        <f t="shared" ref="I1160:I1161" si="279">H1160*3</f>
        <v>21</v>
      </c>
      <c r="J1160" s="4" t="str">
        <f t="shared" si="272"/>
        <v>9:50:7:21,</v>
      </c>
    </row>
    <row r="1161" spans="1:10">
      <c r="A1161" s="4" t="str">
        <f t="shared" si="277"/>
        <v>61级橙护甲固定减伤</v>
      </c>
      <c r="B1161" s="4" t="s">
        <v>203</v>
      </c>
      <c r="C1161" s="4" t="s">
        <v>120</v>
      </c>
      <c r="D1161" s="4">
        <v>61</v>
      </c>
      <c r="E1161" s="4" t="s">
        <v>25</v>
      </c>
      <c r="F1161" s="4">
        <f>VLOOKUP(E1161,基础属性ID!A:B,2,0)</f>
        <v>10</v>
      </c>
      <c r="G1161" s="4">
        <f>VLOOKUP(E1161,基础属性ID!$A:$E,5,0)</f>
        <v>50</v>
      </c>
      <c r="H1161" s="4">
        <v>7</v>
      </c>
      <c r="I1161" s="4">
        <f t="shared" si="279"/>
        <v>21</v>
      </c>
      <c r="J1161" s="4" t="str">
        <f t="shared" si="272"/>
        <v>10:50:7:21,</v>
      </c>
    </row>
    <row r="1162" spans="1:10">
      <c r="A1162" s="4" t="str">
        <f t="shared" si="277"/>
        <v>61级橙护甲生命吸取</v>
      </c>
      <c r="B1162" s="4" t="s">
        <v>203</v>
      </c>
      <c r="C1162" s="4" t="s">
        <v>120</v>
      </c>
      <c r="D1162" s="4">
        <v>61</v>
      </c>
      <c r="E1162" s="4" t="s">
        <v>28</v>
      </c>
      <c r="F1162" s="4">
        <f>VLOOKUP(E1162,基础属性ID!A:B,2,0)</f>
        <v>11</v>
      </c>
      <c r="G1162" s="4">
        <f>VLOOKUP(E1162,基础属性ID!$A:$E,5,0)</f>
        <v>50</v>
      </c>
      <c r="H1162" s="4">
        <v>8</v>
      </c>
      <c r="I1162" s="4">
        <f t="shared" ref="I1162:I1163" si="280">H1162*3</f>
        <v>24</v>
      </c>
      <c r="J1162" s="4" t="str">
        <f t="shared" si="272"/>
        <v>11:50:8:24,</v>
      </c>
    </row>
    <row r="1163" spans="1:10">
      <c r="A1163" s="4" t="str">
        <f t="shared" si="277"/>
        <v>61级橙护甲法力吸取</v>
      </c>
      <c r="B1163" s="4" t="s">
        <v>203</v>
      </c>
      <c r="C1163" s="4" t="s">
        <v>120</v>
      </c>
      <c r="D1163" s="4">
        <v>61</v>
      </c>
      <c r="E1163" s="4" t="s">
        <v>29</v>
      </c>
      <c r="F1163" s="4">
        <f>VLOOKUP(E1163,基础属性ID!A:B,2,0)</f>
        <v>12</v>
      </c>
      <c r="G1163" s="4">
        <f>VLOOKUP(E1163,基础属性ID!$A:$E,5,0)</f>
        <v>50</v>
      </c>
      <c r="H1163" s="4">
        <v>8</v>
      </c>
      <c r="I1163" s="4">
        <f t="shared" si="280"/>
        <v>24</v>
      </c>
      <c r="J1163" s="4" t="str">
        <f t="shared" si="272"/>
        <v>12:50:8:24,</v>
      </c>
    </row>
    <row r="1164" spans="1:10">
      <c r="A1164" s="4" t="str">
        <f t="shared" si="277"/>
        <v>61级橙护甲暴击几率</v>
      </c>
      <c r="B1164" s="4" t="s">
        <v>203</v>
      </c>
      <c r="C1164" s="4" t="s">
        <v>120</v>
      </c>
      <c r="D1164" s="4">
        <v>61</v>
      </c>
      <c r="E1164" s="4" t="s">
        <v>21</v>
      </c>
      <c r="F1164" s="4">
        <f>VLOOKUP(E1164,基础属性ID!A:B,2,0)</f>
        <v>13</v>
      </c>
      <c r="G1164" s="4">
        <f>VLOOKUP(E1164,基础属性ID!$A:$E,5,0)</f>
        <v>20</v>
      </c>
      <c r="H1164" s="4">
        <v>150</v>
      </c>
      <c r="I1164" s="4">
        <v>300</v>
      </c>
      <c r="J1164" s="4" t="str">
        <f t="shared" si="272"/>
        <v>13:20:150:300,</v>
      </c>
    </row>
    <row r="1165" spans="1:10">
      <c r="A1165" s="4" t="str">
        <f t="shared" si="277"/>
        <v>61级橙护甲爆击伤害</v>
      </c>
      <c r="B1165" s="4" t="s">
        <v>203</v>
      </c>
      <c r="C1165" s="4" t="s">
        <v>120</v>
      </c>
      <c r="D1165" s="4">
        <v>61</v>
      </c>
      <c r="E1165" s="4" t="s">
        <v>76</v>
      </c>
      <c r="F1165" s="4">
        <f>VLOOKUP(E1165,基础属性ID!A:B,2,0)</f>
        <v>14</v>
      </c>
      <c r="G1165" s="4">
        <f>VLOOKUP(E1165,基础属性ID!$A:$E,5,0)</f>
        <v>20</v>
      </c>
      <c r="H1165" s="4">
        <v>5</v>
      </c>
      <c r="I1165" s="4">
        <v>10</v>
      </c>
      <c r="J1165" s="4" t="str">
        <f t="shared" si="272"/>
        <v>14:20:5:10,</v>
      </c>
    </row>
    <row r="1166" spans="1:10">
      <c r="A1166" s="4" t="str">
        <f t="shared" si="277"/>
        <v>61级橙护甲伤害增加</v>
      </c>
      <c r="B1166" s="4" t="s">
        <v>203</v>
      </c>
      <c r="C1166" s="4" t="s">
        <v>120</v>
      </c>
      <c r="D1166" s="4">
        <v>61</v>
      </c>
      <c r="E1166" s="4" t="s">
        <v>26</v>
      </c>
      <c r="F1166" s="4">
        <f>VLOOKUP(E1166,基础属性ID!A:B,2,0)</f>
        <v>15</v>
      </c>
      <c r="G1166" s="4">
        <f>VLOOKUP(E1166,基础属性ID!$A:$E,5,0)</f>
        <v>10</v>
      </c>
      <c r="H1166" s="4">
        <v>150</v>
      </c>
      <c r="I1166" s="4">
        <v>300</v>
      </c>
      <c r="J1166" s="4" t="str">
        <f t="shared" si="272"/>
        <v>15:10:150:300,</v>
      </c>
    </row>
    <row r="1167" spans="1:10">
      <c r="A1167" s="4" t="str">
        <f t="shared" si="277"/>
        <v>61级橙护甲伤害减免</v>
      </c>
      <c r="B1167" s="4" t="s">
        <v>203</v>
      </c>
      <c r="C1167" s="4" t="s">
        <v>120</v>
      </c>
      <c r="D1167" s="4">
        <v>61</v>
      </c>
      <c r="E1167" s="4" t="s">
        <v>27</v>
      </c>
      <c r="F1167" s="4">
        <f>VLOOKUP(E1167,基础属性ID!A:B,2,0)</f>
        <v>16</v>
      </c>
      <c r="G1167" s="4">
        <f>VLOOKUP(E1167,基础属性ID!$A:$E,5,0)</f>
        <v>10</v>
      </c>
      <c r="H1167" s="4">
        <v>150</v>
      </c>
      <c r="I1167" s="4">
        <v>300</v>
      </c>
      <c r="J1167" s="4" t="str">
        <f t="shared" si="272"/>
        <v>16:10:150:300,</v>
      </c>
    </row>
    <row r="1168" spans="1:10">
      <c r="A1168" s="4" t="str">
        <f t="shared" si="277"/>
        <v>61级橙护甲装备掉率</v>
      </c>
      <c r="B1168" s="4" t="s">
        <v>203</v>
      </c>
      <c r="C1168" s="4" t="s">
        <v>120</v>
      </c>
      <c r="D1168" s="4">
        <v>61</v>
      </c>
      <c r="E1168" s="4" t="s">
        <v>30</v>
      </c>
      <c r="F1168" s="4">
        <f>VLOOKUP(E1168,基础属性ID!A:B,2,0)</f>
        <v>17</v>
      </c>
      <c r="G1168" s="4">
        <f>VLOOKUP(E1168,基础属性ID!$A:$E,5,0)</f>
        <v>60</v>
      </c>
      <c r="H1168" s="4">
        <v>4</v>
      </c>
      <c r="I1168" s="4">
        <v>12</v>
      </c>
      <c r="J1168" s="4" t="str">
        <f t="shared" si="272"/>
        <v>17:60:4:12,</v>
      </c>
    </row>
    <row r="1169" spans="1:10">
      <c r="A1169" s="4" t="str">
        <f t="shared" si="277"/>
        <v>61级橙护甲极品掉率</v>
      </c>
      <c r="B1169" s="4" t="s">
        <v>203</v>
      </c>
      <c r="C1169" s="4" t="s">
        <v>120</v>
      </c>
      <c r="D1169" s="4">
        <v>61</v>
      </c>
      <c r="E1169" s="4" t="s">
        <v>31</v>
      </c>
      <c r="F1169" s="4">
        <f>VLOOKUP(E1169,基础属性ID!A:B,2,0)</f>
        <v>18</v>
      </c>
      <c r="G1169" s="4">
        <f>VLOOKUP(E1169,基础属性ID!$A:$E,5,0)</f>
        <v>60</v>
      </c>
      <c r="H1169" s="4">
        <v>4</v>
      </c>
      <c r="I1169" s="4">
        <v>12</v>
      </c>
      <c r="J1169" s="4" t="str">
        <f t="shared" si="272"/>
        <v>18:60:4:12,</v>
      </c>
    </row>
    <row r="1170" spans="1:10">
      <c r="A1170" s="4" t="str">
        <f t="shared" si="277"/>
        <v>21级橙项链生命值</v>
      </c>
      <c r="B1170" s="4" t="s">
        <v>215</v>
      </c>
      <c r="C1170" s="4" t="s">
        <v>120</v>
      </c>
      <c r="D1170" s="4">
        <v>21</v>
      </c>
      <c r="E1170" s="4" t="s">
        <v>74</v>
      </c>
      <c r="F1170" s="4">
        <f>VLOOKUP(E1170,基础属性ID!A:B,2,0)</f>
        <v>1</v>
      </c>
      <c r="G1170" s="4">
        <f>VLOOKUP(E1170,基础属性ID!$A:$E,5,0)</f>
        <v>100</v>
      </c>
      <c r="H1170" s="4">
        <v>15</v>
      </c>
      <c r="I1170" s="4">
        <f>H1170*3</f>
        <v>45</v>
      </c>
      <c r="J1170" s="4" t="str">
        <f t="shared" si="272"/>
        <v>1:100:15:45,</v>
      </c>
    </row>
    <row r="1171" spans="1:10">
      <c r="A1171" s="4" t="str">
        <f t="shared" si="277"/>
        <v>21级橙项链法力值</v>
      </c>
      <c r="B1171" s="4" t="s">
        <v>215</v>
      </c>
      <c r="C1171" s="4" t="s">
        <v>120</v>
      </c>
      <c r="D1171" s="4">
        <v>21</v>
      </c>
      <c r="E1171" s="4" t="s">
        <v>75</v>
      </c>
      <c r="F1171" s="4">
        <f>VLOOKUP(E1171,基础属性ID!A:B,2,0)</f>
        <v>2</v>
      </c>
      <c r="G1171" s="4">
        <f>VLOOKUP(E1171,基础属性ID!$A:$E,5,0)</f>
        <v>100</v>
      </c>
      <c r="H1171" s="4">
        <v>12</v>
      </c>
      <c r="I1171" s="4">
        <v>24</v>
      </c>
      <c r="J1171" s="4" t="str">
        <f t="shared" si="272"/>
        <v>2:100:12:24,</v>
      </c>
    </row>
    <row r="1172" spans="1:10">
      <c r="A1172" s="4" t="str">
        <f t="shared" si="277"/>
        <v>21级橙项链物理攻击</v>
      </c>
      <c r="B1172" s="4" t="s">
        <v>215</v>
      </c>
      <c r="C1172" s="4" t="s">
        <v>120</v>
      </c>
      <c r="D1172" s="4">
        <v>21</v>
      </c>
      <c r="E1172" s="4" t="s">
        <v>13</v>
      </c>
      <c r="F1172" s="4">
        <f>VLOOKUP(E1172,基础属性ID!A:B,2,0)</f>
        <v>3</v>
      </c>
      <c r="G1172" s="4">
        <f>VLOOKUP(E1172,基础属性ID!$A:$E,5,0)</f>
        <v>100</v>
      </c>
      <c r="H1172" s="4">
        <v>6</v>
      </c>
      <c r="I1172" s="4">
        <f t="shared" ref="I1172:I1175" si="281">H1172*3</f>
        <v>18</v>
      </c>
      <c r="J1172" s="4" t="str">
        <f t="shared" si="272"/>
        <v>3:100:6:18,</v>
      </c>
    </row>
    <row r="1173" spans="1:10">
      <c r="A1173" s="4" t="str">
        <f t="shared" si="277"/>
        <v>21级橙项链魔法攻击</v>
      </c>
      <c r="B1173" s="4" t="s">
        <v>215</v>
      </c>
      <c r="C1173" s="4" t="s">
        <v>120</v>
      </c>
      <c r="D1173" s="4">
        <v>21</v>
      </c>
      <c r="E1173" s="4" t="s">
        <v>14</v>
      </c>
      <c r="F1173" s="4">
        <f>VLOOKUP(E1173,基础属性ID!A:B,2,0)</f>
        <v>4</v>
      </c>
      <c r="G1173" s="4">
        <f>VLOOKUP(E1173,基础属性ID!$A:$E,5,0)</f>
        <v>100</v>
      </c>
      <c r="H1173" s="4">
        <v>6</v>
      </c>
      <c r="I1173" s="4">
        <f t="shared" si="281"/>
        <v>18</v>
      </c>
      <c r="J1173" s="4" t="str">
        <f t="shared" si="272"/>
        <v>4:100:6:18,</v>
      </c>
    </row>
    <row r="1174" spans="1:10">
      <c r="A1174" s="4" t="str">
        <f t="shared" si="277"/>
        <v>21级橙项链道术攻击</v>
      </c>
      <c r="B1174" s="4" t="s">
        <v>215</v>
      </c>
      <c r="C1174" s="4" t="s">
        <v>120</v>
      </c>
      <c r="D1174" s="4">
        <v>21</v>
      </c>
      <c r="E1174" s="4" t="s">
        <v>15</v>
      </c>
      <c r="F1174" s="4">
        <f>VLOOKUP(E1174,基础属性ID!A:B,2,0)</f>
        <v>5</v>
      </c>
      <c r="G1174" s="4">
        <f>VLOOKUP(E1174,基础属性ID!$A:$E,5,0)</f>
        <v>100</v>
      </c>
      <c r="H1174" s="4">
        <v>6</v>
      </c>
      <c r="I1174" s="4">
        <f t="shared" si="281"/>
        <v>18</v>
      </c>
      <c r="J1174" s="4" t="str">
        <f t="shared" si="272"/>
        <v>5:100:6:18,</v>
      </c>
    </row>
    <row r="1175" spans="1:10">
      <c r="A1175" s="4" t="str">
        <f t="shared" si="277"/>
        <v>21级橙项链防御</v>
      </c>
      <c r="B1175" s="4" t="s">
        <v>215</v>
      </c>
      <c r="C1175" s="4" t="s">
        <v>120</v>
      </c>
      <c r="D1175" s="4">
        <v>21</v>
      </c>
      <c r="E1175" s="4" t="s">
        <v>17</v>
      </c>
      <c r="F1175" s="4">
        <f>VLOOKUP(E1175,基础属性ID!A:B,2,0)</f>
        <v>6</v>
      </c>
      <c r="G1175" s="4">
        <f>VLOOKUP(E1175,基础属性ID!$A:$E,5,0)</f>
        <v>100</v>
      </c>
      <c r="H1175" s="4">
        <v>6</v>
      </c>
      <c r="I1175" s="4">
        <f t="shared" si="281"/>
        <v>18</v>
      </c>
      <c r="J1175" s="4" t="str">
        <f t="shared" si="272"/>
        <v>6:100:6:18,</v>
      </c>
    </row>
    <row r="1176" spans="1:10">
      <c r="A1176" s="4" t="str">
        <f t="shared" si="277"/>
        <v>21级橙项链攻速</v>
      </c>
      <c r="B1176" s="4" t="s">
        <v>215</v>
      </c>
      <c r="C1176" s="4" t="s">
        <v>120</v>
      </c>
      <c r="D1176" s="4">
        <v>21</v>
      </c>
      <c r="E1176" s="4" t="s">
        <v>18</v>
      </c>
      <c r="F1176" s="4">
        <f>VLOOKUP(E1176,基础属性ID!A:B,2,0)</f>
        <v>7</v>
      </c>
      <c r="G1176" s="4">
        <f>VLOOKUP(E1176,基础属性ID!$A:$E,5,0)</f>
        <v>20</v>
      </c>
      <c r="H1176" s="4">
        <v>1</v>
      </c>
      <c r="I1176" s="4">
        <v>3</v>
      </c>
      <c r="J1176" s="4" t="str">
        <f t="shared" si="272"/>
        <v>7:20:1:3,</v>
      </c>
    </row>
    <row r="1177" spans="1:10">
      <c r="A1177" s="4" t="str">
        <f t="shared" si="277"/>
        <v>21级橙项链幸运</v>
      </c>
      <c r="B1177" s="4" t="s">
        <v>215</v>
      </c>
      <c r="C1177" s="4" t="s">
        <v>120</v>
      </c>
      <c r="D1177" s="4">
        <v>21</v>
      </c>
      <c r="E1177" s="4" t="s">
        <v>19</v>
      </c>
      <c r="F1177" s="4">
        <f>VLOOKUP(E1177,基础属性ID!A:B,2,0)</f>
        <v>8</v>
      </c>
      <c r="G1177" s="4">
        <f>VLOOKUP(E1177,基础属性ID!$A:$E,5,0)</f>
        <v>20</v>
      </c>
      <c r="H1177" s="4">
        <v>1</v>
      </c>
      <c r="I1177" s="4">
        <v>4</v>
      </c>
      <c r="J1177" s="4" t="str">
        <f t="shared" si="272"/>
        <v>8:20:1:4,</v>
      </c>
    </row>
    <row r="1178" spans="1:10">
      <c r="A1178" s="4" t="str">
        <f t="shared" si="277"/>
        <v>21级橙项链固定伤害</v>
      </c>
      <c r="B1178" s="4" t="s">
        <v>215</v>
      </c>
      <c r="C1178" s="4" t="s">
        <v>120</v>
      </c>
      <c r="D1178" s="4">
        <v>21</v>
      </c>
      <c r="E1178" s="4" t="s">
        <v>24</v>
      </c>
      <c r="F1178" s="4">
        <f>VLOOKUP(E1178,基础属性ID!A:B,2,0)</f>
        <v>9</v>
      </c>
      <c r="G1178" s="4">
        <f>VLOOKUP(E1178,基础属性ID!$A:$E,5,0)</f>
        <v>50</v>
      </c>
      <c r="H1178" s="4">
        <v>5</v>
      </c>
      <c r="I1178" s="4">
        <f t="shared" ref="I1178:I1179" si="282">H1178*3</f>
        <v>15</v>
      </c>
      <c r="J1178" s="4" t="str">
        <f t="shared" si="272"/>
        <v>9:50:5:15,</v>
      </c>
    </row>
    <row r="1179" spans="1:10">
      <c r="A1179" s="4" t="str">
        <f t="shared" si="277"/>
        <v>21级橙项链固定减伤</v>
      </c>
      <c r="B1179" s="4" t="s">
        <v>215</v>
      </c>
      <c r="C1179" s="4" t="s">
        <v>120</v>
      </c>
      <c r="D1179" s="4">
        <v>21</v>
      </c>
      <c r="E1179" s="4" t="s">
        <v>25</v>
      </c>
      <c r="F1179" s="4">
        <f>VLOOKUP(E1179,基础属性ID!A:B,2,0)</f>
        <v>10</v>
      </c>
      <c r="G1179" s="4">
        <f>VLOOKUP(E1179,基础属性ID!$A:$E,5,0)</f>
        <v>50</v>
      </c>
      <c r="H1179" s="4">
        <v>5</v>
      </c>
      <c r="I1179" s="4">
        <f t="shared" si="282"/>
        <v>15</v>
      </c>
      <c r="J1179" s="4" t="str">
        <f t="shared" si="272"/>
        <v>10:50:5:15,</v>
      </c>
    </row>
    <row r="1180" spans="1:10">
      <c r="A1180" s="4" t="str">
        <f t="shared" si="277"/>
        <v>21级橙项链生命吸取</v>
      </c>
      <c r="B1180" s="4" t="s">
        <v>215</v>
      </c>
      <c r="C1180" s="4" t="s">
        <v>120</v>
      </c>
      <c r="D1180" s="4">
        <v>21</v>
      </c>
      <c r="E1180" s="4" t="s">
        <v>28</v>
      </c>
      <c r="F1180" s="4">
        <f>VLOOKUP(E1180,基础属性ID!A:B,2,0)</f>
        <v>11</v>
      </c>
      <c r="G1180" s="4">
        <f>VLOOKUP(E1180,基础属性ID!$A:$E,5,0)</f>
        <v>50</v>
      </c>
      <c r="H1180" s="4">
        <v>4</v>
      </c>
      <c r="I1180" s="4">
        <f t="shared" ref="I1180:I1181" si="283">H1180*3</f>
        <v>12</v>
      </c>
      <c r="J1180" s="4" t="str">
        <f t="shared" si="272"/>
        <v>11:50:4:12,</v>
      </c>
    </row>
    <row r="1181" spans="1:10">
      <c r="A1181" s="4" t="str">
        <f t="shared" si="277"/>
        <v>21级橙项链法力吸取</v>
      </c>
      <c r="B1181" s="4" t="s">
        <v>215</v>
      </c>
      <c r="C1181" s="4" t="s">
        <v>120</v>
      </c>
      <c r="D1181" s="4">
        <v>21</v>
      </c>
      <c r="E1181" s="4" t="s">
        <v>29</v>
      </c>
      <c r="F1181" s="4">
        <f>VLOOKUP(E1181,基础属性ID!A:B,2,0)</f>
        <v>12</v>
      </c>
      <c r="G1181" s="4">
        <f>VLOOKUP(E1181,基础属性ID!$A:$E,5,0)</f>
        <v>50</v>
      </c>
      <c r="H1181" s="4">
        <v>4</v>
      </c>
      <c r="I1181" s="4">
        <f t="shared" si="283"/>
        <v>12</v>
      </c>
      <c r="J1181" s="4" t="str">
        <f t="shared" si="272"/>
        <v>12:50:4:12,</v>
      </c>
    </row>
    <row r="1182" spans="1:10">
      <c r="A1182" s="4" t="str">
        <f t="shared" si="277"/>
        <v>21级橙项链暴击几率</v>
      </c>
      <c r="B1182" s="4" t="s">
        <v>215</v>
      </c>
      <c r="C1182" s="4" t="s">
        <v>120</v>
      </c>
      <c r="D1182" s="4">
        <v>21</v>
      </c>
      <c r="E1182" s="4" t="s">
        <v>21</v>
      </c>
      <c r="F1182" s="4">
        <f>VLOOKUP(E1182,基础属性ID!A:B,2,0)</f>
        <v>13</v>
      </c>
      <c r="G1182" s="4">
        <f>VLOOKUP(E1182,基础属性ID!$A:$E,5,0)</f>
        <v>20</v>
      </c>
      <c r="H1182" s="4">
        <v>150</v>
      </c>
      <c r="I1182" s="4">
        <v>300</v>
      </c>
      <c r="J1182" s="4" t="str">
        <f t="shared" si="272"/>
        <v>13:20:150:300,</v>
      </c>
    </row>
    <row r="1183" spans="1:10">
      <c r="A1183" s="4" t="str">
        <f t="shared" si="277"/>
        <v>21级橙项链爆击伤害</v>
      </c>
      <c r="B1183" s="4" t="s">
        <v>215</v>
      </c>
      <c r="C1183" s="4" t="s">
        <v>120</v>
      </c>
      <c r="D1183" s="4">
        <v>21</v>
      </c>
      <c r="E1183" s="4" t="s">
        <v>76</v>
      </c>
      <c r="F1183" s="4">
        <f>VLOOKUP(E1183,基础属性ID!A:B,2,0)</f>
        <v>14</v>
      </c>
      <c r="G1183" s="4">
        <f>VLOOKUP(E1183,基础属性ID!$A:$E,5,0)</f>
        <v>20</v>
      </c>
      <c r="H1183" s="4">
        <v>5</v>
      </c>
      <c r="I1183" s="4">
        <v>10</v>
      </c>
      <c r="J1183" s="4" t="str">
        <f t="shared" si="272"/>
        <v>14:20:5:10,</v>
      </c>
    </row>
    <row r="1184" spans="1:10">
      <c r="A1184" s="4" t="str">
        <f t="shared" si="277"/>
        <v>21级橙项链伤害增加</v>
      </c>
      <c r="B1184" s="4" t="s">
        <v>215</v>
      </c>
      <c r="C1184" s="4" t="s">
        <v>120</v>
      </c>
      <c r="D1184" s="4">
        <v>21</v>
      </c>
      <c r="E1184" s="4" t="s">
        <v>26</v>
      </c>
      <c r="F1184" s="4">
        <f>VLOOKUP(E1184,基础属性ID!A:B,2,0)</f>
        <v>15</v>
      </c>
      <c r="G1184" s="4">
        <f>VLOOKUP(E1184,基础属性ID!$A:$E,5,0)</f>
        <v>10</v>
      </c>
      <c r="H1184" s="4">
        <v>150</v>
      </c>
      <c r="I1184" s="4">
        <v>300</v>
      </c>
      <c r="J1184" s="4" t="str">
        <f t="shared" si="272"/>
        <v>15:10:150:300,</v>
      </c>
    </row>
    <row r="1185" spans="1:10">
      <c r="A1185" s="4" t="str">
        <f t="shared" si="277"/>
        <v>21级橙项链伤害减免</v>
      </c>
      <c r="B1185" s="4" t="s">
        <v>215</v>
      </c>
      <c r="C1185" s="4" t="s">
        <v>120</v>
      </c>
      <c r="D1185" s="4">
        <v>21</v>
      </c>
      <c r="E1185" s="4" t="s">
        <v>27</v>
      </c>
      <c r="F1185" s="4">
        <f>VLOOKUP(E1185,基础属性ID!A:B,2,0)</f>
        <v>16</v>
      </c>
      <c r="G1185" s="4">
        <f>VLOOKUP(E1185,基础属性ID!$A:$E,5,0)</f>
        <v>10</v>
      </c>
      <c r="H1185" s="4">
        <v>150</v>
      </c>
      <c r="I1185" s="4">
        <v>300</v>
      </c>
      <c r="J1185" s="4" t="str">
        <f t="shared" si="272"/>
        <v>16:10:150:300,</v>
      </c>
    </row>
    <row r="1186" spans="1:10">
      <c r="A1186" s="4" t="str">
        <f t="shared" si="277"/>
        <v>21级橙项链装备掉率</v>
      </c>
      <c r="B1186" s="4" t="s">
        <v>215</v>
      </c>
      <c r="C1186" s="4" t="s">
        <v>120</v>
      </c>
      <c r="D1186" s="4">
        <v>21</v>
      </c>
      <c r="E1186" s="4" t="s">
        <v>30</v>
      </c>
      <c r="F1186" s="4">
        <f>VLOOKUP(E1186,基础属性ID!A:B,2,0)</f>
        <v>17</v>
      </c>
      <c r="G1186" s="4">
        <f>VLOOKUP(E1186,基础属性ID!$A:$E,5,0)</f>
        <v>60</v>
      </c>
      <c r="H1186" s="4">
        <v>4</v>
      </c>
      <c r="I1186" s="4">
        <v>12</v>
      </c>
      <c r="J1186" s="4" t="str">
        <f t="shared" si="272"/>
        <v>17:60:4:12,</v>
      </c>
    </row>
    <row r="1187" spans="1:10">
      <c r="A1187" s="4" t="str">
        <f t="shared" si="277"/>
        <v>21级橙项链极品掉率</v>
      </c>
      <c r="B1187" s="4" t="s">
        <v>215</v>
      </c>
      <c r="C1187" s="4" t="s">
        <v>120</v>
      </c>
      <c r="D1187" s="4">
        <v>21</v>
      </c>
      <c r="E1187" s="4" t="s">
        <v>31</v>
      </c>
      <c r="F1187" s="4">
        <f>VLOOKUP(E1187,基础属性ID!A:B,2,0)</f>
        <v>18</v>
      </c>
      <c r="G1187" s="4">
        <f>VLOOKUP(E1187,基础属性ID!$A:$E,5,0)</f>
        <v>60</v>
      </c>
      <c r="H1187" s="4">
        <v>4</v>
      </c>
      <c r="I1187" s="4">
        <v>12</v>
      </c>
      <c r="J1187" s="4" t="str">
        <f t="shared" si="272"/>
        <v>18:60:4:12,</v>
      </c>
    </row>
    <row r="1188" spans="1:10">
      <c r="A1188" s="4" t="str">
        <f t="shared" si="277"/>
        <v>41级橙项链生命值</v>
      </c>
      <c r="B1188" s="4" t="s">
        <v>215</v>
      </c>
      <c r="C1188" s="4" t="s">
        <v>120</v>
      </c>
      <c r="D1188" s="4">
        <v>41</v>
      </c>
      <c r="E1188" s="4" t="s">
        <v>74</v>
      </c>
      <c r="F1188" s="4">
        <f>VLOOKUP(E1188,基础属性ID!A:B,2,0)</f>
        <v>1</v>
      </c>
      <c r="G1188" s="4">
        <f>VLOOKUP(E1188,基础属性ID!$A:$E,5,0)</f>
        <v>100</v>
      </c>
      <c r="H1188" s="4">
        <v>25</v>
      </c>
      <c r="I1188" s="4">
        <f>H1188*3</f>
        <v>75</v>
      </c>
      <c r="J1188" s="4" t="str">
        <f t="shared" ref="J1188:J1249" si="284">F1188&amp;":"&amp;G1188&amp;":"&amp;H1188&amp;":"&amp;I1188&amp;","</f>
        <v>1:100:25:75,</v>
      </c>
    </row>
    <row r="1189" spans="1:10">
      <c r="A1189" s="4" t="str">
        <f t="shared" si="277"/>
        <v>41级橙项链法力值</v>
      </c>
      <c r="B1189" s="4" t="s">
        <v>215</v>
      </c>
      <c r="C1189" s="4" t="s">
        <v>120</v>
      </c>
      <c r="D1189" s="4">
        <v>41</v>
      </c>
      <c r="E1189" s="4" t="s">
        <v>75</v>
      </c>
      <c r="F1189" s="4">
        <f>VLOOKUP(E1189,基础属性ID!A:B,2,0)</f>
        <v>2</v>
      </c>
      <c r="G1189" s="4">
        <f>VLOOKUP(E1189,基础属性ID!$A:$E,5,0)</f>
        <v>100</v>
      </c>
      <c r="H1189" s="4">
        <v>14</v>
      </c>
      <c r="I1189" s="4">
        <v>28</v>
      </c>
      <c r="J1189" s="4" t="str">
        <f t="shared" si="284"/>
        <v>2:100:14:28,</v>
      </c>
    </row>
    <row r="1190" spans="1:10">
      <c r="A1190" s="4" t="str">
        <f t="shared" si="277"/>
        <v>41级橙项链物理攻击</v>
      </c>
      <c r="B1190" s="4" t="s">
        <v>215</v>
      </c>
      <c r="C1190" s="4" t="s">
        <v>120</v>
      </c>
      <c r="D1190" s="4">
        <v>41</v>
      </c>
      <c r="E1190" s="4" t="s">
        <v>13</v>
      </c>
      <c r="F1190" s="4">
        <f>VLOOKUP(E1190,基础属性ID!A:B,2,0)</f>
        <v>3</v>
      </c>
      <c r="G1190" s="4">
        <f>VLOOKUP(E1190,基础属性ID!$A:$E,5,0)</f>
        <v>100</v>
      </c>
      <c r="H1190" s="4">
        <v>8</v>
      </c>
      <c r="I1190" s="4">
        <f t="shared" ref="I1190:I1193" si="285">H1190*3</f>
        <v>24</v>
      </c>
      <c r="J1190" s="4" t="str">
        <f t="shared" si="284"/>
        <v>3:100:8:24,</v>
      </c>
    </row>
    <row r="1191" spans="1:10">
      <c r="A1191" s="4" t="str">
        <f t="shared" si="277"/>
        <v>41级橙项链魔法攻击</v>
      </c>
      <c r="B1191" s="4" t="s">
        <v>215</v>
      </c>
      <c r="C1191" s="4" t="s">
        <v>120</v>
      </c>
      <c r="D1191" s="4">
        <v>41</v>
      </c>
      <c r="E1191" s="4" t="s">
        <v>14</v>
      </c>
      <c r="F1191" s="4">
        <f>VLOOKUP(E1191,基础属性ID!A:B,2,0)</f>
        <v>4</v>
      </c>
      <c r="G1191" s="4">
        <f>VLOOKUP(E1191,基础属性ID!$A:$E,5,0)</f>
        <v>100</v>
      </c>
      <c r="H1191" s="4">
        <v>8</v>
      </c>
      <c r="I1191" s="4">
        <f t="shared" si="285"/>
        <v>24</v>
      </c>
      <c r="J1191" s="4" t="str">
        <f t="shared" si="284"/>
        <v>4:100:8:24,</v>
      </c>
    </row>
    <row r="1192" spans="1:10">
      <c r="A1192" s="4" t="str">
        <f t="shared" si="277"/>
        <v>41级橙项链道术攻击</v>
      </c>
      <c r="B1192" s="4" t="s">
        <v>215</v>
      </c>
      <c r="C1192" s="4" t="s">
        <v>120</v>
      </c>
      <c r="D1192" s="4">
        <v>41</v>
      </c>
      <c r="E1192" s="4" t="s">
        <v>15</v>
      </c>
      <c r="F1192" s="4">
        <f>VLOOKUP(E1192,基础属性ID!A:B,2,0)</f>
        <v>5</v>
      </c>
      <c r="G1192" s="4">
        <f>VLOOKUP(E1192,基础属性ID!$A:$E,5,0)</f>
        <v>100</v>
      </c>
      <c r="H1192" s="4">
        <v>8</v>
      </c>
      <c r="I1192" s="4">
        <f t="shared" si="285"/>
        <v>24</v>
      </c>
      <c r="J1192" s="4" t="str">
        <f t="shared" si="284"/>
        <v>5:100:8:24,</v>
      </c>
    </row>
    <row r="1193" spans="1:10">
      <c r="A1193" s="4" t="str">
        <f t="shared" si="277"/>
        <v>41级橙项链防御</v>
      </c>
      <c r="B1193" s="4" t="s">
        <v>215</v>
      </c>
      <c r="C1193" s="4" t="s">
        <v>120</v>
      </c>
      <c r="D1193" s="4">
        <v>41</v>
      </c>
      <c r="E1193" s="4" t="s">
        <v>17</v>
      </c>
      <c r="F1193" s="4">
        <f>VLOOKUP(E1193,基础属性ID!A:B,2,0)</f>
        <v>6</v>
      </c>
      <c r="G1193" s="4">
        <f>VLOOKUP(E1193,基础属性ID!$A:$E,5,0)</f>
        <v>100</v>
      </c>
      <c r="H1193" s="4">
        <v>8</v>
      </c>
      <c r="I1193" s="4">
        <f t="shared" si="285"/>
        <v>24</v>
      </c>
      <c r="J1193" s="4" t="str">
        <f t="shared" si="284"/>
        <v>6:100:8:24,</v>
      </c>
    </row>
    <row r="1194" spans="1:10">
      <c r="A1194" s="4" t="str">
        <f t="shared" si="277"/>
        <v>41级橙项链攻速</v>
      </c>
      <c r="B1194" s="4" t="s">
        <v>215</v>
      </c>
      <c r="C1194" s="4" t="s">
        <v>120</v>
      </c>
      <c r="D1194" s="4">
        <v>41</v>
      </c>
      <c r="E1194" s="4" t="s">
        <v>18</v>
      </c>
      <c r="F1194" s="4">
        <f>VLOOKUP(E1194,基础属性ID!A:B,2,0)</f>
        <v>7</v>
      </c>
      <c r="G1194" s="4">
        <f>VLOOKUP(E1194,基础属性ID!$A:$E,5,0)</f>
        <v>20</v>
      </c>
      <c r="H1194" s="4">
        <v>1</v>
      </c>
      <c r="I1194" s="4">
        <v>3</v>
      </c>
      <c r="J1194" s="4" t="str">
        <f t="shared" si="284"/>
        <v>7:20:1:3,</v>
      </c>
    </row>
    <row r="1195" spans="1:10">
      <c r="A1195" s="4" t="str">
        <f t="shared" si="277"/>
        <v>41级橙项链幸运</v>
      </c>
      <c r="B1195" s="4" t="s">
        <v>215</v>
      </c>
      <c r="C1195" s="4" t="s">
        <v>120</v>
      </c>
      <c r="D1195" s="4">
        <v>41</v>
      </c>
      <c r="E1195" s="4" t="s">
        <v>19</v>
      </c>
      <c r="F1195" s="4">
        <f>VLOOKUP(E1195,基础属性ID!A:B,2,0)</f>
        <v>8</v>
      </c>
      <c r="G1195" s="4">
        <f>VLOOKUP(E1195,基础属性ID!$A:$E,5,0)</f>
        <v>20</v>
      </c>
      <c r="H1195" s="4">
        <v>1</v>
      </c>
      <c r="I1195" s="4">
        <v>4</v>
      </c>
      <c r="J1195" s="4" t="str">
        <f t="shared" si="284"/>
        <v>8:20:1:4,</v>
      </c>
    </row>
    <row r="1196" spans="1:10">
      <c r="A1196" s="4" t="str">
        <f t="shared" si="277"/>
        <v>41级橙项链固定伤害</v>
      </c>
      <c r="B1196" s="4" t="s">
        <v>215</v>
      </c>
      <c r="C1196" s="4" t="s">
        <v>120</v>
      </c>
      <c r="D1196" s="4">
        <v>41</v>
      </c>
      <c r="E1196" s="4" t="s">
        <v>24</v>
      </c>
      <c r="F1196" s="4">
        <f>VLOOKUP(E1196,基础属性ID!A:B,2,0)</f>
        <v>9</v>
      </c>
      <c r="G1196" s="4">
        <f>VLOOKUP(E1196,基础属性ID!$A:$E,5,0)</f>
        <v>50</v>
      </c>
      <c r="H1196" s="4">
        <v>6</v>
      </c>
      <c r="I1196" s="4">
        <f t="shared" ref="I1196:I1197" si="286">H1196*3</f>
        <v>18</v>
      </c>
      <c r="J1196" s="4" t="str">
        <f t="shared" si="284"/>
        <v>9:50:6:18,</v>
      </c>
    </row>
    <row r="1197" spans="1:10">
      <c r="A1197" s="4" t="str">
        <f t="shared" si="277"/>
        <v>41级橙项链固定减伤</v>
      </c>
      <c r="B1197" s="4" t="s">
        <v>215</v>
      </c>
      <c r="C1197" s="4" t="s">
        <v>120</v>
      </c>
      <c r="D1197" s="4">
        <v>41</v>
      </c>
      <c r="E1197" s="4" t="s">
        <v>25</v>
      </c>
      <c r="F1197" s="4">
        <f>VLOOKUP(E1197,基础属性ID!A:B,2,0)</f>
        <v>10</v>
      </c>
      <c r="G1197" s="4">
        <f>VLOOKUP(E1197,基础属性ID!$A:$E,5,0)</f>
        <v>50</v>
      </c>
      <c r="H1197" s="4">
        <v>6</v>
      </c>
      <c r="I1197" s="4">
        <f t="shared" si="286"/>
        <v>18</v>
      </c>
      <c r="J1197" s="4" t="str">
        <f t="shared" si="284"/>
        <v>10:50:6:18,</v>
      </c>
    </row>
    <row r="1198" spans="1:10">
      <c r="A1198" s="4" t="str">
        <f t="shared" si="277"/>
        <v>41级橙项链生命吸取</v>
      </c>
      <c r="B1198" s="4" t="s">
        <v>215</v>
      </c>
      <c r="C1198" s="4" t="s">
        <v>120</v>
      </c>
      <c r="D1198" s="4">
        <v>41</v>
      </c>
      <c r="E1198" s="4" t="s">
        <v>28</v>
      </c>
      <c r="F1198" s="4">
        <f>VLOOKUP(E1198,基础属性ID!A:B,2,0)</f>
        <v>11</v>
      </c>
      <c r="G1198" s="4">
        <f>VLOOKUP(E1198,基础属性ID!$A:$E,5,0)</f>
        <v>50</v>
      </c>
      <c r="H1198" s="4">
        <v>6</v>
      </c>
      <c r="I1198" s="4">
        <f t="shared" ref="I1198:I1199" si="287">H1198*3</f>
        <v>18</v>
      </c>
      <c r="J1198" s="4" t="str">
        <f t="shared" si="284"/>
        <v>11:50:6:18,</v>
      </c>
    </row>
    <row r="1199" spans="1:10">
      <c r="A1199" s="4" t="str">
        <f t="shared" si="277"/>
        <v>41级橙项链法力吸取</v>
      </c>
      <c r="B1199" s="4" t="s">
        <v>215</v>
      </c>
      <c r="C1199" s="4" t="s">
        <v>120</v>
      </c>
      <c r="D1199" s="4">
        <v>41</v>
      </c>
      <c r="E1199" s="4" t="s">
        <v>29</v>
      </c>
      <c r="F1199" s="4">
        <f>VLOOKUP(E1199,基础属性ID!A:B,2,0)</f>
        <v>12</v>
      </c>
      <c r="G1199" s="4">
        <f>VLOOKUP(E1199,基础属性ID!$A:$E,5,0)</f>
        <v>50</v>
      </c>
      <c r="H1199" s="4">
        <v>6</v>
      </c>
      <c r="I1199" s="4">
        <f t="shared" si="287"/>
        <v>18</v>
      </c>
      <c r="J1199" s="4" t="str">
        <f t="shared" si="284"/>
        <v>12:50:6:18,</v>
      </c>
    </row>
    <row r="1200" spans="1:10">
      <c r="A1200" s="4" t="str">
        <f t="shared" si="277"/>
        <v>41级橙项链暴击几率</v>
      </c>
      <c r="B1200" s="4" t="s">
        <v>215</v>
      </c>
      <c r="C1200" s="4" t="s">
        <v>120</v>
      </c>
      <c r="D1200" s="4">
        <v>41</v>
      </c>
      <c r="E1200" s="4" t="s">
        <v>21</v>
      </c>
      <c r="F1200" s="4">
        <f>VLOOKUP(E1200,基础属性ID!A:B,2,0)</f>
        <v>13</v>
      </c>
      <c r="G1200" s="4">
        <f>VLOOKUP(E1200,基础属性ID!$A:$E,5,0)</f>
        <v>20</v>
      </c>
      <c r="H1200" s="4">
        <v>150</v>
      </c>
      <c r="I1200" s="4">
        <v>300</v>
      </c>
      <c r="J1200" s="4" t="str">
        <f t="shared" si="284"/>
        <v>13:20:150:300,</v>
      </c>
    </row>
    <row r="1201" spans="1:10">
      <c r="A1201" s="4" t="str">
        <f t="shared" si="277"/>
        <v>41级橙项链爆击伤害</v>
      </c>
      <c r="B1201" s="4" t="s">
        <v>215</v>
      </c>
      <c r="C1201" s="4" t="s">
        <v>120</v>
      </c>
      <c r="D1201" s="4">
        <v>41</v>
      </c>
      <c r="E1201" s="4" t="s">
        <v>76</v>
      </c>
      <c r="F1201" s="4">
        <f>VLOOKUP(E1201,基础属性ID!A:B,2,0)</f>
        <v>14</v>
      </c>
      <c r="G1201" s="4">
        <f>VLOOKUP(E1201,基础属性ID!$A:$E,5,0)</f>
        <v>20</v>
      </c>
      <c r="H1201" s="4">
        <v>5</v>
      </c>
      <c r="I1201" s="4">
        <v>10</v>
      </c>
      <c r="J1201" s="4" t="str">
        <f t="shared" si="284"/>
        <v>14:20:5:10,</v>
      </c>
    </row>
    <row r="1202" spans="1:10">
      <c r="A1202" s="4" t="str">
        <f t="shared" si="277"/>
        <v>41级橙项链伤害增加</v>
      </c>
      <c r="B1202" s="4" t="s">
        <v>215</v>
      </c>
      <c r="C1202" s="4" t="s">
        <v>120</v>
      </c>
      <c r="D1202" s="4">
        <v>41</v>
      </c>
      <c r="E1202" s="4" t="s">
        <v>26</v>
      </c>
      <c r="F1202" s="4">
        <f>VLOOKUP(E1202,基础属性ID!A:B,2,0)</f>
        <v>15</v>
      </c>
      <c r="G1202" s="4">
        <f>VLOOKUP(E1202,基础属性ID!$A:$E,5,0)</f>
        <v>10</v>
      </c>
      <c r="H1202" s="4">
        <v>150</v>
      </c>
      <c r="I1202" s="4">
        <v>300</v>
      </c>
      <c r="J1202" s="4" t="str">
        <f t="shared" si="284"/>
        <v>15:10:150:300,</v>
      </c>
    </row>
    <row r="1203" spans="1:10">
      <c r="A1203" s="4" t="str">
        <f t="shared" si="277"/>
        <v>41级橙项链伤害减免</v>
      </c>
      <c r="B1203" s="4" t="s">
        <v>215</v>
      </c>
      <c r="C1203" s="4" t="s">
        <v>120</v>
      </c>
      <c r="D1203" s="4">
        <v>41</v>
      </c>
      <c r="E1203" s="4" t="s">
        <v>27</v>
      </c>
      <c r="F1203" s="4">
        <f>VLOOKUP(E1203,基础属性ID!A:B,2,0)</f>
        <v>16</v>
      </c>
      <c r="G1203" s="4">
        <f>VLOOKUP(E1203,基础属性ID!$A:$E,5,0)</f>
        <v>10</v>
      </c>
      <c r="H1203" s="4">
        <v>150</v>
      </c>
      <c r="I1203" s="4">
        <v>300</v>
      </c>
      <c r="J1203" s="4" t="str">
        <f t="shared" si="284"/>
        <v>16:10:150:300,</v>
      </c>
    </row>
    <row r="1204" spans="1:10">
      <c r="A1204" s="4" t="str">
        <f t="shared" si="277"/>
        <v>41级橙项链装备掉率</v>
      </c>
      <c r="B1204" s="4" t="s">
        <v>215</v>
      </c>
      <c r="C1204" s="4" t="s">
        <v>120</v>
      </c>
      <c r="D1204" s="4">
        <v>41</v>
      </c>
      <c r="E1204" s="4" t="s">
        <v>30</v>
      </c>
      <c r="F1204" s="4">
        <f>VLOOKUP(E1204,基础属性ID!A:B,2,0)</f>
        <v>17</v>
      </c>
      <c r="G1204" s="4">
        <f>VLOOKUP(E1204,基础属性ID!$A:$E,5,0)</f>
        <v>60</v>
      </c>
      <c r="H1204" s="4">
        <v>4</v>
      </c>
      <c r="I1204" s="4">
        <v>12</v>
      </c>
      <c r="J1204" s="4" t="str">
        <f t="shared" si="284"/>
        <v>17:60:4:12,</v>
      </c>
    </row>
    <row r="1205" spans="1:10">
      <c r="A1205" s="4" t="str">
        <f t="shared" si="277"/>
        <v>41级橙项链极品掉率</v>
      </c>
      <c r="B1205" s="4" t="s">
        <v>215</v>
      </c>
      <c r="C1205" s="4" t="s">
        <v>120</v>
      </c>
      <c r="D1205" s="4">
        <v>41</v>
      </c>
      <c r="E1205" s="4" t="s">
        <v>31</v>
      </c>
      <c r="F1205" s="4">
        <f>VLOOKUP(E1205,基础属性ID!A:B,2,0)</f>
        <v>18</v>
      </c>
      <c r="G1205" s="4">
        <f>VLOOKUP(E1205,基础属性ID!$A:$E,5,0)</f>
        <v>60</v>
      </c>
      <c r="H1205" s="4">
        <v>4</v>
      </c>
      <c r="I1205" s="4">
        <v>12</v>
      </c>
      <c r="J1205" s="4" t="str">
        <f t="shared" si="284"/>
        <v>18:60:4:12,</v>
      </c>
    </row>
    <row r="1206" spans="1:10">
      <c r="A1206" s="4" t="str">
        <f t="shared" si="277"/>
        <v>61级橙项链生命值</v>
      </c>
      <c r="B1206" s="4" t="s">
        <v>215</v>
      </c>
      <c r="C1206" s="4" t="s">
        <v>120</v>
      </c>
      <c r="D1206" s="4">
        <v>61</v>
      </c>
      <c r="E1206" s="4" t="s">
        <v>74</v>
      </c>
      <c r="F1206" s="4">
        <f>VLOOKUP(E1206,基础属性ID!A:B,2,0)</f>
        <v>1</v>
      </c>
      <c r="G1206" s="4">
        <f>VLOOKUP(E1206,基础属性ID!$A:$E,5,0)</f>
        <v>100</v>
      </c>
      <c r="H1206" s="4">
        <v>40</v>
      </c>
      <c r="I1206" s="4">
        <f>H1206*3</f>
        <v>120</v>
      </c>
      <c r="J1206" s="4" t="str">
        <f t="shared" si="284"/>
        <v>1:100:40:120,</v>
      </c>
    </row>
    <row r="1207" spans="1:10">
      <c r="A1207" s="4" t="str">
        <f t="shared" si="277"/>
        <v>61级橙项链法力值</v>
      </c>
      <c r="B1207" s="4" t="s">
        <v>215</v>
      </c>
      <c r="C1207" s="4" t="s">
        <v>120</v>
      </c>
      <c r="D1207" s="4">
        <v>61</v>
      </c>
      <c r="E1207" s="4" t="s">
        <v>75</v>
      </c>
      <c r="F1207" s="4">
        <f>VLOOKUP(E1207,基础属性ID!A:B,2,0)</f>
        <v>2</v>
      </c>
      <c r="G1207" s="4">
        <f>VLOOKUP(E1207,基础属性ID!$A:$E,5,0)</f>
        <v>100</v>
      </c>
      <c r="H1207" s="4">
        <v>16</v>
      </c>
      <c r="I1207" s="4">
        <v>32</v>
      </c>
      <c r="J1207" s="4" t="str">
        <f t="shared" si="284"/>
        <v>2:100:16:32,</v>
      </c>
    </row>
    <row r="1208" spans="1:10">
      <c r="A1208" s="4" t="str">
        <f t="shared" si="277"/>
        <v>61级橙项链物理攻击</v>
      </c>
      <c r="B1208" s="4" t="s">
        <v>215</v>
      </c>
      <c r="C1208" s="4" t="s">
        <v>120</v>
      </c>
      <c r="D1208" s="4">
        <v>61</v>
      </c>
      <c r="E1208" s="4" t="s">
        <v>13</v>
      </c>
      <c r="F1208" s="4">
        <f>VLOOKUP(E1208,基础属性ID!A:B,2,0)</f>
        <v>3</v>
      </c>
      <c r="G1208" s="4">
        <f>VLOOKUP(E1208,基础属性ID!$A:$E,5,0)</f>
        <v>100</v>
      </c>
      <c r="H1208" s="4">
        <v>12</v>
      </c>
      <c r="I1208" s="4">
        <f t="shared" ref="I1208:I1211" si="288">H1208*3</f>
        <v>36</v>
      </c>
      <c r="J1208" s="4" t="str">
        <f t="shared" si="284"/>
        <v>3:100:12:36,</v>
      </c>
    </row>
    <row r="1209" spans="1:10">
      <c r="A1209" s="4" t="str">
        <f t="shared" si="277"/>
        <v>61级橙项链魔法攻击</v>
      </c>
      <c r="B1209" s="4" t="s">
        <v>215</v>
      </c>
      <c r="C1209" s="4" t="s">
        <v>120</v>
      </c>
      <c r="D1209" s="4">
        <v>61</v>
      </c>
      <c r="E1209" s="4" t="s">
        <v>14</v>
      </c>
      <c r="F1209" s="4">
        <f>VLOOKUP(E1209,基础属性ID!A:B,2,0)</f>
        <v>4</v>
      </c>
      <c r="G1209" s="4">
        <f>VLOOKUP(E1209,基础属性ID!$A:$E,5,0)</f>
        <v>100</v>
      </c>
      <c r="H1209" s="4">
        <v>12</v>
      </c>
      <c r="I1209" s="4">
        <f t="shared" si="288"/>
        <v>36</v>
      </c>
      <c r="J1209" s="4" t="str">
        <f t="shared" si="284"/>
        <v>4:100:12:36,</v>
      </c>
    </row>
    <row r="1210" spans="1:10">
      <c r="A1210" s="4" t="str">
        <f t="shared" si="277"/>
        <v>61级橙项链道术攻击</v>
      </c>
      <c r="B1210" s="4" t="s">
        <v>215</v>
      </c>
      <c r="C1210" s="4" t="s">
        <v>120</v>
      </c>
      <c r="D1210" s="4">
        <v>61</v>
      </c>
      <c r="E1210" s="4" t="s">
        <v>15</v>
      </c>
      <c r="F1210" s="4">
        <f>VLOOKUP(E1210,基础属性ID!A:B,2,0)</f>
        <v>5</v>
      </c>
      <c r="G1210" s="4">
        <f>VLOOKUP(E1210,基础属性ID!$A:$E,5,0)</f>
        <v>100</v>
      </c>
      <c r="H1210" s="4">
        <v>12</v>
      </c>
      <c r="I1210" s="4">
        <f t="shared" si="288"/>
        <v>36</v>
      </c>
      <c r="J1210" s="4" t="str">
        <f t="shared" si="284"/>
        <v>5:100:12:36,</v>
      </c>
    </row>
    <row r="1211" spans="1:10">
      <c r="A1211" s="4" t="str">
        <f t="shared" si="277"/>
        <v>61级橙项链防御</v>
      </c>
      <c r="B1211" s="4" t="s">
        <v>215</v>
      </c>
      <c r="C1211" s="4" t="s">
        <v>120</v>
      </c>
      <c r="D1211" s="4">
        <v>61</v>
      </c>
      <c r="E1211" s="4" t="s">
        <v>17</v>
      </c>
      <c r="F1211" s="4">
        <f>VLOOKUP(E1211,基础属性ID!A:B,2,0)</f>
        <v>6</v>
      </c>
      <c r="G1211" s="4">
        <f>VLOOKUP(E1211,基础属性ID!$A:$E,5,0)</f>
        <v>100</v>
      </c>
      <c r="H1211" s="4">
        <v>12</v>
      </c>
      <c r="I1211" s="4">
        <f t="shared" si="288"/>
        <v>36</v>
      </c>
      <c r="J1211" s="4" t="str">
        <f t="shared" si="284"/>
        <v>6:100:12:36,</v>
      </c>
    </row>
    <row r="1212" spans="1:10">
      <c r="A1212" s="4" t="str">
        <f t="shared" si="277"/>
        <v>61级橙项链攻速</v>
      </c>
      <c r="B1212" s="4" t="s">
        <v>215</v>
      </c>
      <c r="C1212" s="4" t="s">
        <v>120</v>
      </c>
      <c r="D1212" s="4">
        <v>61</v>
      </c>
      <c r="E1212" s="4" t="s">
        <v>18</v>
      </c>
      <c r="F1212" s="4">
        <f>VLOOKUP(E1212,基础属性ID!A:B,2,0)</f>
        <v>7</v>
      </c>
      <c r="G1212" s="4">
        <f>VLOOKUP(E1212,基础属性ID!$A:$E,5,0)</f>
        <v>20</v>
      </c>
      <c r="H1212" s="4">
        <v>1</v>
      </c>
      <c r="I1212" s="4">
        <v>3</v>
      </c>
      <c r="J1212" s="4" t="str">
        <f t="shared" si="284"/>
        <v>7:20:1:3,</v>
      </c>
    </row>
    <row r="1213" spans="1:10">
      <c r="A1213" s="4" t="str">
        <f t="shared" si="277"/>
        <v>61级橙项链幸运</v>
      </c>
      <c r="B1213" s="4" t="s">
        <v>215</v>
      </c>
      <c r="C1213" s="4" t="s">
        <v>120</v>
      </c>
      <c r="D1213" s="4">
        <v>61</v>
      </c>
      <c r="E1213" s="4" t="s">
        <v>19</v>
      </c>
      <c r="F1213" s="4">
        <f>VLOOKUP(E1213,基础属性ID!A:B,2,0)</f>
        <v>8</v>
      </c>
      <c r="G1213" s="4">
        <f>VLOOKUP(E1213,基础属性ID!$A:$E,5,0)</f>
        <v>20</v>
      </c>
      <c r="H1213" s="4">
        <v>1</v>
      </c>
      <c r="I1213" s="4">
        <v>4</v>
      </c>
      <c r="J1213" s="4" t="str">
        <f t="shared" si="284"/>
        <v>8:20:1:4,</v>
      </c>
    </row>
    <row r="1214" spans="1:10">
      <c r="A1214" s="4" t="str">
        <f t="shared" si="277"/>
        <v>61级橙项链固定伤害</v>
      </c>
      <c r="B1214" s="4" t="s">
        <v>215</v>
      </c>
      <c r="C1214" s="4" t="s">
        <v>120</v>
      </c>
      <c r="D1214" s="4">
        <v>61</v>
      </c>
      <c r="E1214" s="4" t="s">
        <v>24</v>
      </c>
      <c r="F1214" s="4">
        <f>VLOOKUP(E1214,基础属性ID!A:B,2,0)</f>
        <v>9</v>
      </c>
      <c r="G1214" s="4">
        <f>VLOOKUP(E1214,基础属性ID!$A:$E,5,0)</f>
        <v>50</v>
      </c>
      <c r="H1214" s="4">
        <v>7</v>
      </c>
      <c r="I1214" s="4">
        <f t="shared" ref="I1214:I1215" si="289">H1214*3</f>
        <v>21</v>
      </c>
      <c r="J1214" s="4" t="str">
        <f t="shared" si="284"/>
        <v>9:50:7:21,</v>
      </c>
    </row>
    <row r="1215" spans="1:10">
      <c r="A1215" s="4" t="str">
        <f t="shared" si="277"/>
        <v>61级橙项链固定减伤</v>
      </c>
      <c r="B1215" s="4" t="s">
        <v>215</v>
      </c>
      <c r="C1215" s="4" t="s">
        <v>120</v>
      </c>
      <c r="D1215" s="4">
        <v>61</v>
      </c>
      <c r="E1215" s="4" t="s">
        <v>25</v>
      </c>
      <c r="F1215" s="4">
        <f>VLOOKUP(E1215,基础属性ID!A:B,2,0)</f>
        <v>10</v>
      </c>
      <c r="G1215" s="4">
        <f>VLOOKUP(E1215,基础属性ID!$A:$E,5,0)</f>
        <v>50</v>
      </c>
      <c r="H1215" s="4">
        <v>7</v>
      </c>
      <c r="I1215" s="4">
        <f t="shared" si="289"/>
        <v>21</v>
      </c>
      <c r="J1215" s="4" t="str">
        <f t="shared" si="284"/>
        <v>10:50:7:21,</v>
      </c>
    </row>
    <row r="1216" spans="1:10">
      <c r="A1216" s="4" t="str">
        <f t="shared" si="277"/>
        <v>61级橙项链生命吸取</v>
      </c>
      <c r="B1216" s="4" t="s">
        <v>215</v>
      </c>
      <c r="C1216" s="4" t="s">
        <v>120</v>
      </c>
      <c r="D1216" s="4">
        <v>61</v>
      </c>
      <c r="E1216" s="4" t="s">
        <v>28</v>
      </c>
      <c r="F1216" s="4">
        <f>VLOOKUP(E1216,基础属性ID!A:B,2,0)</f>
        <v>11</v>
      </c>
      <c r="G1216" s="4">
        <f>VLOOKUP(E1216,基础属性ID!$A:$E,5,0)</f>
        <v>50</v>
      </c>
      <c r="H1216" s="4">
        <v>8</v>
      </c>
      <c r="I1216" s="4">
        <f t="shared" ref="I1216:I1217" si="290">H1216*3</f>
        <v>24</v>
      </c>
      <c r="J1216" s="4" t="str">
        <f t="shared" si="284"/>
        <v>11:50:8:24,</v>
      </c>
    </row>
    <row r="1217" spans="1:10">
      <c r="A1217" s="4" t="str">
        <f t="shared" si="277"/>
        <v>61级橙项链法力吸取</v>
      </c>
      <c r="B1217" s="4" t="s">
        <v>215</v>
      </c>
      <c r="C1217" s="4" t="s">
        <v>120</v>
      </c>
      <c r="D1217" s="4">
        <v>61</v>
      </c>
      <c r="E1217" s="4" t="s">
        <v>29</v>
      </c>
      <c r="F1217" s="4">
        <f>VLOOKUP(E1217,基础属性ID!A:B,2,0)</f>
        <v>12</v>
      </c>
      <c r="G1217" s="4">
        <f>VLOOKUP(E1217,基础属性ID!$A:$E,5,0)</f>
        <v>50</v>
      </c>
      <c r="H1217" s="4">
        <v>8</v>
      </c>
      <c r="I1217" s="4">
        <f t="shared" si="290"/>
        <v>24</v>
      </c>
      <c r="J1217" s="4" t="str">
        <f t="shared" si="284"/>
        <v>12:50:8:24,</v>
      </c>
    </row>
    <row r="1218" spans="1:10">
      <c r="A1218" s="4" t="str">
        <f t="shared" si="277"/>
        <v>61级橙项链暴击几率</v>
      </c>
      <c r="B1218" s="4" t="s">
        <v>215</v>
      </c>
      <c r="C1218" s="4" t="s">
        <v>120</v>
      </c>
      <c r="D1218" s="4">
        <v>61</v>
      </c>
      <c r="E1218" s="4" t="s">
        <v>21</v>
      </c>
      <c r="F1218" s="4">
        <f>VLOOKUP(E1218,基础属性ID!A:B,2,0)</f>
        <v>13</v>
      </c>
      <c r="G1218" s="4">
        <f>VLOOKUP(E1218,基础属性ID!$A:$E,5,0)</f>
        <v>20</v>
      </c>
      <c r="H1218" s="4">
        <v>150</v>
      </c>
      <c r="I1218" s="4">
        <v>300</v>
      </c>
      <c r="J1218" s="4" t="str">
        <f t="shared" si="284"/>
        <v>13:20:150:300,</v>
      </c>
    </row>
    <row r="1219" spans="1:10">
      <c r="A1219" s="4" t="str">
        <f t="shared" ref="A1219:A1282" si="291">D1219&amp;"级"&amp;C1219&amp;B1219&amp;E1219</f>
        <v>61级橙项链爆击伤害</v>
      </c>
      <c r="B1219" s="4" t="s">
        <v>215</v>
      </c>
      <c r="C1219" s="4" t="s">
        <v>120</v>
      </c>
      <c r="D1219" s="4">
        <v>61</v>
      </c>
      <c r="E1219" s="4" t="s">
        <v>76</v>
      </c>
      <c r="F1219" s="4">
        <f>VLOOKUP(E1219,基础属性ID!A:B,2,0)</f>
        <v>14</v>
      </c>
      <c r="G1219" s="4">
        <f>VLOOKUP(E1219,基础属性ID!$A:$E,5,0)</f>
        <v>20</v>
      </c>
      <c r="H1219" s="4">
        <v>5</v>
      </c>
      <c r="I1219" s="4">
        <v>10</v>
      </c>
      <c r="J1219" s="4" t="str">
        <f t="shared" si="284"/>
        <v>14:20:5:10,</v>
      </c>
    </row>
    <row r="1220" spans="1:10">
      <c r="A1220" s="4" t="str">
        <f t="shared" si="291"/>
        <v>61级橙项链伤害增加</v>
      </c>
      <c r="B1220" s="4" t="s">
        <v>215</v>
      </c>
      <c r="C1220" s="4" t="s">
        <v>120</v>
      </c>
      <c r="D1220" s="4">
        <v>61</v>
      </c>
      <c r="E1220" s="4" t="s">
        <v>26</v>
      </c>
      <c r="F1220" s="4">
        <f>VLOOKUP(E1220,基础属性ID!A:B,2,0)</f>
        <v>15</v>
      </c>
      <c r="G1220" s="4">
        <f>VLOOKUP(E1220,基础属性ID!$A:$E,5,0)</f>
        <v>10</v>
      </c>
      <c r="H1220" s="4">
        <v>150</v>
      </c>
      <c r="I1220" s="4">
        <v>300</v>
      </c>
      <c r="J1220" s="4" t="str">
        <f t="shared" si="284"/>
        <v>15:10:150:300,</v>
      </c>
    </row>
    <row r="1221" spans="1:10">
      <c r="A1221" s="4" t="str">
        <f t="shared" si="291"/>
        <v>61级橙项链伤害减免</v>
      </c>
      <c r="B1221" s="4" t="s">
        <v>215</v>
      </c>
      <c r="C1221" s="4" t="s">
        <v>120</v>
      </c>
      <c r="D1221" s="4">
        <v>61</v>
      </c>
      <c r="E1221" s="4" t="s">
        <v>27</v>
      </c>
      <c r="F1221" s="4">
        <f>VLOOKUP(E1221,基础属性ID!A:B,2,0)</f>
        <v>16</v>
      </c>
      <c r="G1221" s="4">
        <f>VLOOKUP(E1221,基础属性ID!$A:$E,5,0)</f>
        <v>10</v>
      </c>
      <c r="H1221" s="4">
        <v>150</v>
      </c>
      <c r="I1221" s="4">
        <v>300</v>
      </c>
      <c r="J1221" s="4" t="str">
        <f t="shared" si="284"/>
        <v>16:10:150:300,</v>
      </c>
    </row>
    <row r="1222" spans="1:10">
      <c r="A1222" s="4" t="str">
        <f t="shared" si="291"/>
        <v>61级橙项链装备掉率</v>
      </c>
      <c r="B1222" s="4" t="s">
        <v>215</v>
      </c>
      <c r="C1222" s="4" t="s">
        <v>120</v>
      </c>
      <c r="D1222" s="4">
        <v>61</v>
      </c>
      <c r="E1222" s="4" t="s">
        <v>30</v>
      </c>
      <c r="F1222" s="4">
        <f>VLOOKUP(E1222,基础属性ID!A:B,2,0)</f>
        <v>17</v>
      </c>
      <c r="G1222" s="4">
        <f>VLOOKUP(E1222,基础属性ID!$A:$E,5,0)</f>
        <v>60</v>
      </c>
      <c r="H1222" s="4">
        <v>4</v>
      </c>
      <c r="I1222" s="4">
        <v>12</v>
      </c>
      <c r="J1222" s="4" t="str">
        <f t="shared" si="284"/>
        <v>17:60:4:12,</v>
      </c>
    </row>
    <row r="1223" spans="1:10">
      <c r="A1223" s="4" t="str">
        <f t="shared" si="291"/>
        <v>61级橙项链极品掉率</v>
      </c>
      <c r="B1223" s="4" t="s">
        <v>215</v>
      </c>
      <c r="C1223" s="4" t="s">
        <v>120</v>
      </c>
      <c r="D1223" s="4">
        <v>61</v>
      </c>
      <c r="E1223" s="4" t="s">
        <v>31</v>
      </c>
      <c r="F1223" s="4">
        <f>VLOOKUP(E1223,基础属性ID!A:B,2,0)</f>
        <v>18</v>
      </c>
      <c r="G1223" s="4">
        <f>VLOOKUP(E1223,基础属性ID!$A:$E,5,0)</f>
        <v>60</v>
      </c>
      <c r="H1223" s="4">
        <v>4</v>
      </c>
      <c r="I1223" s="4">
        <v>12</v>
      </c>
      <c r="J1223" s="4" t="str">
        <f t="shared" si="284"/>
        <v>18:60:4:12,</v>
      </c>
    </row>
    <row r="1224" spans="1:10">
      <c r="A1224" s="4" t="str">
        <f t="shared" si="291"/>
        <v>21级橙手镯生命值</v>
      </c>
      <c r="B1224" s="4" t="s">
        <v>218</v>
      </c>
      <c r="C1224" s="4" t="s">
        <v>120</v>
      </c>
      <c r="D1224" s="4">
        <v>21</v>
      </c>
      <c r="E1224" s="4" t="s">
        <v>74</v>
      </c>
      <c r="F1224" s="4">
        <f>VLOOKUP(E1224,基础属性ID!A:B,2,0)</f>
        <v>1</v>
      </c>
      <c r="G1224" s="4">
        <f>VLOOKUP(E1224,基础属性ID!$A:$E,5,0)</f>
        <v>100</v>
      </c>
      <c r="H1224" s="4">
        <v>15</v>
      </c>
      <c r="I1224" s="4">
        <f>H1224*3</f>
        <v>45</v>
      </c>
      <c r="J1224" s="4" t="str">
        <f t="shared" si="284"/>
        <v>1:100:15:45,</v>
      </c>
    </row>
    <row r="1225" spans="1:10">
      <c r="A1225" s="4" t="str">
        <f t="shared" si="291"/>
        <v>21级橙手镯法力值</v>
      </c>
      <c r="B1225" s="4" t="s">
        <v>218</v>
      </c>
      <c r="C1225" s="4" t="s">
        <v>120</v>
      </c>
      <c r="D1225" s="4">
        <v>21</v>
      </c>
      <c r="E1225" s="4" t="s">
        <v>75</v>
      </c>
      <c r="F1225" s="4">
        <f>VLOOKUP(E1225,基础属性ID!A:B,2,0)</f>
        <v>2</v>
      </c>
      <c r="G1225" s="4">
        <f>VLOOKUP(E1225,基础属性ID!$A:$E,5,0)</f>
        <v>100</v>
      </c>
      <c r="H1225" s="4">
        <v>12</v>
      </c>
      <c r="I1225" s="4">
        <v>24</v>
      </c>
      <c r="J1225" s="4" t="str">
        <f t="shared" si="284"/>
        <v>2:100:12:24,</v>
      </c>
    </row>
    <row r="1226" spans="1:10">
      <c r="A1226" s="4" t="str">
        <f t="shared" si="291"/>
        <v>21级橙手镯物理攻击</v>
      </c>
      <c r="B1226" s="4" t="s">
        <v>218</v>
      </c>
      <c r="C1226" s="4" t="s">
        <v>120</v>
      </c>
      <c r="D1226" s="4">
        <v>21</v>
      </c>
      <c r="E1226" s="4" t="s">
        <v>13</v>
      </c>
      <c r="F1226" s="4">
        <f>VLOOKUP(E1226,基础属性ID!A:B,2,0)</f>
        <v>3</v>
      </c>
      <c r="G1226" s="4">
        <f>VLOOKUP(E1226,基础属性ID!$A:$E,5,0)</f>
        <v>100</v>
      </c>
      <c r="H1226" s="4">
        <v>6</v>
      </c>
      <c r="I1226" s="4">
        <f t="shared" ref="I1226:I1229" si="292">H1226*3</f>
        <v>18</v>
      </c>
      <c r="J1226" s="4" t="str">
        <f t="shared" si="284"/>
        <v>3:100:6:18,</v>
      </c>
    </row>
    <row r="1227" spans="1:10">
      <c r="A1227" s="4" t="str">
        <f t="shared" si="291"/>
        <v>21级橙手镯魔法攻击</v>
      </c>
      <c r="B1227" s="4" t="s">
        <v>218</v>
      </c>
      <c r="C1227" s="4" t="s">
        <v>120</v>
      </c>
      <c r="D1227" s="4">
        <v>21</v>
      </c>
      <c r="E1227" s="4" t="s">
        <v>14</v>
      </c>
      <c r="F1227" s="4">
        <f>VLOOKUP(E1227,基础属性ID!A:B,2,0)</f>
        <v>4</v>
      </c>
      <c r="G1227" s="4">
        <f>VLOOKUP(E1227,基础属性ID!$A:$E,5,0)</f>
        <v>100</v>
      </c>
      <c r="H1227" s="4">
        <v>6</v>
      </c>
      <c r="I1227" s="4">
        <f t="shared" si="292"/>
        <v>18</v>
      </c>
      <c r="J1227" s="4" t="str">
        <f t="shared" si="284"/>
        <v>4:100:6:18,</v>
      </c>
    </row>
    <row r="1228" spans="1:10">
      <c r="A1228" s="4" t="str">
        <f t="shared" si="291"/>
        <v>21级橙手镯道术攻击</v>
      </c>
      <c r="B1228" s="4" t="s">
        <v>218</v>
      </c>
      <c r="C1228" s="4" t="s">
        <v>120</v>
      </c>
      <c r="D1228" s="4">
        <v>21</v>
      </c>
      <c r="E1228" s="4" t="s">
        <v>15</v>
      </c>
      <c r="F1228" s="4">
        <f>VLOOKUP(E1228,基础属性ID!A:B,2,0)</f>
        <v>5</v>
      </c>
      <c r="G1228" s="4">
        <f>VLOOKUP(E1228,基础属性ID!$A:$E,5,0)</f>
        <v>100</v>
      </c>
      <c r="H1228" s="4">
        <v>6</v>
      </c>
      <c r="I1228" s="4">
        <f t="shared" si="292"/>
        <v>18</v>
      </c>
      <c r="J1228" s="4" t="str">
        <f t="shared" si="284"/>
        <v>5:100:6:18,</v>
      </c>
    </row>
    <row r="1229" spans="1:10">
      <c r="A1229" s="4" t="str">
        <f t="shared" si="291"/>
        <v>21级橙手镯防御</v>
      </c>
      <c r="B1229" s="4" t="s">
        <v>218</v>
      </c>
      <c r="C1229" s="4" t="s">
        <v>120</v>
      </c>
      <c r="D1229" s="4">
        <v>21</v>
      </c>
      <c r="E1229" s="4" t="s">
        <v>17</v>
      </c>
      <c r="F1229" s="4">
        <f>VLOOKUP(E1229,基础属性ID!A:B,2,0)</f>
        <v>6</v>
      </c>
      <c r="G1229" s="4">
        <f>VLOOKUP(E1229,基础属性ID!$A:$E,5,0)</f>
        <v>100</v>
      </c>
      <c r="H1229" s="4">
        <v>6</v>
      </c>
      <c r="I1229" s="4">
        <f t="shared" si="292"/>
        <v>18</v>
      </c>
      <c r="J1229" s="4" t="str">
        <f t="shared" si="284"/>
        <v>6:100:6:18,</v>
      </c>
    </row>
    <row r="1230" spans="1:10">
      <c r="A1230" s="4" t="str">
        <f t="shared" si="291"/>
        <v>21级橙手镯攻速</v>
      </c>
      <c r="B1230" s="4" t="s">
        <v>218</v>
      </c>
      <c r="C1230" s="4" t="s">
        <v>120</v>
      </c>
      <c r="D1230" s="4">
        <v>21</v>
      </c>
      <c r="E1230" s="4" t="s">
        <v>18</v>
      </c>
      <c r="F1230" s="4">
        <f>VLOOKUP(E1230,基础属性ID!A:B,2,0)</f>
        <v>7</v>
      </c>
      <c r="G1230" s="4">
        <f>VLOOKUP(E1230,基础属性ID!$A:$E,5,0)</f>
        <v>20</v>
      </c>
      <c r="H1230" s="4">
        <v>1</v>
      </c>
      <c r="I1230" s="4">
        <v>3</v>
      </c>
      <c r="J1230" s="4" t="str">
        <f t="shared" si="284"/>
        <v>7:20:1:3,</v>
      </c>
    </row>
    <row r="1231" spans="1:10">
      <c r="A1231" s="4" t="str">
        <f t="shared" si="291"/>
        <v>21级橙手镯固定伤害</v>
      </c>
      <c r="B1231" s="4" t="s">
        <v>218</v>
      </c>
      <c r="C1231" s="4" t="s">
        <v>120</v>
      </c>
      <c r="D1231" s="4">
        <v>21</v>
      </c>
      <c r="E1231" s="4" t="s">
        <v>24</v>
      </c>
      <c r="F1231" s="4">
        <f>VLOOKUP(E1231,基础属性ID!A:B,2,0)</f>
        <v>9</v>
      </c>
      <c r="G1231" s="4">
        <f>VLOOKUP(E1231,基础属性ID!$A:$E,5,0)</f>
        <v>50</v>
      </c>
      <c r="H1231" s="4">
        <v>5</v>
      </c>
      <c r="I1231" s="4">
        <f t="shared" ref="I1231:I1232" si="293">H1231*3</f>
        <v>15</v>
      </c>
      <c r="J1231" s="4" t="str">
        <f t="shared" si="284"/>
        <v>9:50:5:15,</v>
      </c>
    </row>
    <row r="1232" spans="1:10">
      <c r="A1232" s="4" t="str">
        <f t="shared" si="291"/>
        <v>21级橙手镯固定减伤</v>
      </c>
      <c r="B1232" s="4" t="s">
        <v>218</v>
      </c>
      <c r="C1232" s="4" t="s">
        <v>120</v>
      </c>
      <c r="D1232" s="4">
        <v>21</v>
      </c>
      <c r="E1232" s="4" t="s">
        <v>25</v>
      </c>
      <c r="F1232" s="4">
        <f>VLOOKUP(E1232,基础属性ID!A:B,2,0)</f>
        <v>10</v>
      </c>
      <c r="G1232" s="4">
        <f>VLOOKUP(E1232,基础属性ID!$A:$E,5,0)</f>
        <v>50</v>
      </c>
      <c r="H1232" s="4">
        <v>5</v>
      </c>
      <c r="I1232" s="4">
        <f t="shared" si="293"/>
        <v>15</v>
      </c>
      <c r="J1232" s="4" t="str">
        <f t="shared" si="284"/>
        <v>10:50:5:15,</v>
      </c>
    </row>
    <row r="1233" spans="1:10">
      <c r="A1233" s="4" t="str">
        <f t="shared" si="291"/>
        <v>21级橙手镯生命吸取</v>
      </c>
      <c r="B1233" s="4" t="s">
        <v>218</v>
      </c>
      <c r="C1233" s="4" t="s">
        <v>120</v>
      </c>
      <c r="D1233" s="4">
        <v>21</v>
      </c>
      <c r="E1233" s="4" t="s">
        <v>28</v>
      </c>
      <c r="F1233" s="4">
        <f>VLOOKUP(E1233,基础属性ID!A:B,2,0)</f>
        <v>11</v>
      </c>
      <c r="G1233" s="4">
        <f>VLOOKUP(E1233,基础属性ID!$A:$E,5,0)</f>
        <v>50</v>
      </c>
      <c r="H1233" s="4">
        <v>4</v>
      </c>
      <c r="I1233" s="4">
        <f t="shared" ref="I1233:I1234" si="294">H1233*3</f>
        <v>12</v>
      </c>
      <c r="J1233" s="4" t="str">
        <f t="shared" si="284"/>
        <v>11:50:4:12,</v>
      </c>
    </row>
    <row r="1234" spans="1:10">
      <c r="A1234" s="4" t="str">
        <f t="shared" si="291"/>
        <v>21级橙手镯法力吸取</v>
      </c>
      <c r="B1234" s="4" t="s">
        <v>218</v>
      </c>
      <c r="C1234" s="4" t="s">
        <v>120</v>
      </c>
      <c r="D1234" s="4">
        <v>21</v>
      </c>
      <c r="E1234" s="4" t="s">
        <v>29</v>
      </c>
      <c r="F1234" s="4">
        <f>VLOOKUP(E1234,基础属性ID!A:B,2,0)</f>
        <v>12</v>
      </c>
      <c r="G1234" s="4">
        <f>VLOOKUP(E1234,基础属性ID!$A:$E,5,0)</f>
        <v>50</v>
      </c>
      <c r="H1234" s="4">
        <v>4</v>
      </c>
      <c r="I1234" s="4">
        <f t="shared" si="294"/>
        <v>12</v>
      </c>
      <c r="J1234" s="4" t="str">
        <f t="shared" si="284"/>
        <v>12:50:4:12,</v>
      </c>
    </row>
    <row r="1235" spans="1:10">
      <c r="A1235" s="4" t="str">
        <f t="shared" si="291"/>
        <v>21级橙手镯暴击几率</v>
      </c>
      <c r="B1235" s="4" t="s">
        <v>218</v>
      </c>
      <c r="C1235" s="4" t="s">
        <v>120</v>
      </c>
      <c r="D1235" s="4">
        <v>21</v>
      </c>
      <c r="E1235" s="4" t="s">
        <v>21</v>
      </c>
      <c r="F1235" s="4">
        <f>VLOOKUP(E1235,基础属性ID!A:B,2,0)</f>
        <v>13</v>
      </c>
      <c r="G1235" s="4">
        <f>VLOOKUP(E1235,基础属性ID!$A:$E,5,0)</f>
        <v>20</v>
      </c>
      <c r="H1235" s="4">
        <v>150</v>
      </c>
      <c r="I1235" s="4">
        <v>300</v>
      </c>
      <c r="J1235" s="4" t="str">
        <f t="shared" si="284"/>
        <v>13:20:150:300,</v>
      </c>
    </row>
    <row r="1236" spans="1:10">
      <c r="A1236" s="4" t="str">
        <f t="shared" si="291"/>
        <v>21级橙手镯爆击伤害</v>
      </c>
      <c r="B1236" s="4" t="s">
        <v>218</v>
      </c>
      <c r="C1236" s="4" t="s">
        <v>120</v>
      </c>
      <c r="D1236" s="4">
        <v>21</v>
      </c>
      <c r="E1236" s="4" t="s">
        <v>76</v>
      </c>
      <c r="F1236" s="4">
        <f>VLOOKUP(E1236,基础属性ID!A:B,2,0)</f>
        <v>14</v>
      </c>
      <c r="G1236" s="4">
        <f>VLOOKUP(E1236,基础属性ID!$A:$E,5,0)</f>
        <v>20</v>
      </c>
      <c r="H1236" s="4">
        <v>5</v>
      </c>
      <c r="I1236" s="4">
        <v>10</v>
      </c>
      <c r="J1236" s="4" t="str">
        <f t="shared" si="284"/>
        <v>14:20:5:10,</v>
      </c>
    </row>
    <row r="1237" spans="1:10">
      <c r="A1237" s="4" t="str">
        <f t="shared" si="291"/>
        <v>21级橙手镯伤害增加</v>
      </c>
      <c r="B1237" s="4" t="s">
        <v>218</v>
      </c>
      <c r="C1237" s="4" t="s">
        <v>120</v>
      </c>
      <c r="D1237" s="4">
        <v>21</v>
      </c>
      <c r="E1237" s="4" t="s">
        <v>26</v>
      </c>
      <c r="F1237" s="4">
        <f>VLOOKUP(E1237,基础属性ID!A:B,2,0)</f>
        <v>15</v>
      </c>
      <c r="G1237" s="4">
        <f>VLOOKUP(E1237,基础属性ID!$A:$E,5,0)</f>
        <v>10</v>
      </c>
      <c r="H1237" s="4">
        <v>150</v>
      </c>
      <c r="I1237" s="4">
        <v>300</v>
      </c>
      <c r="J1237" s="4" t="str">
        <f t="shared" si="284"/>
        <v>15:10:150:300,</v>
      </c>
    </row>
    <row r="1238" spans="1:10">
      <c r="A1238" s="4" t="str">
        <f t="shared" si="291"/>
        <v>21级橙手镯伤害减免</v>
      </c>
      <c r="B1238" s="4" t="s">
        <v>218</v>
      </c>
      <c r="C1238" s="4" t="s">
        <v>120</v>
      </c>
      <c r="D1238" s="4">
        <v>21</v>
      </c>
      <c r="E1238" s="4" t="s">
        <v>27</v>
      </c>
      <c r="F1238" s="4">
        <f>VLOOKUP(E1238,基础属性ID!A:B,2,0)</f>
        <v>16</v>
      </c>
      <c r="G1238" s="4">
        <f>VLOOKUP(E1238,基础属性ID!$A:$E,5,0)</f>
        <v>10</v>
      </c>
      <c r="H1238" s="4">
        <v>150</v>
      </c>
      <c r="I1238" s="4">
        <v>300</v>
      </c>
      <c r="J1238" s="4" t="str">
        <f t="shared" si="284"/>
        <v>16:10:150:300,</v>
      </c>
    </row>
    <row r="1239" spans="1:10">
      <c r="A1239" s="4" t="str">
        <f t="shared" si="291"/>
        <v>21级橙手镯装备掉率</v>
      </c>
      <c r="B1239" s="4" t="s">
        <v>218</v>
      </c>
      <c r="C1239" s="4" t="s">
        <v>120</v>
      </c>
      <c r="D1239" s="4">
        <v>21</v>
      </c>
      <c r="E1239" s="4" t="s">
        <v>30</v>
      </c>
      <c r="F1239" s="4">
        <f>VLOOKUP(E1239,基础属性ID!A:B,2,0)</f>
        <v>17</v>
      </c>
      <c r="G1239" s="4">
        <f>VLOOKUP(E1239,基础属性ID!$A:$E,5,0)</f>
        <v>60</v>
      </c>
      <c r="H1239" s="4">
        <v>4</v>
      </c>
      <c r="I1239" s="4">
        <v>12</v>
      </c>
      <c r="J1239" s="4" t="str">
        <f t="shared" si="284"/>
        <v>17:60:4:12,</v>
      </c>
    </row>
    <row r="1240" spans="1:10">
      <c r="A1240" s="4" t="str">
        <f t="shared" si="291"/>
        <v>21级橙手镯极品掉率</v>
      </c>
      <c r="B1240" s="4" t="s">
        <v>218</v>
      </c>
      <c r="C1240" s="4" t="s">
        <v>120</v>
      </c>
      <c r="D1240" s="4">
        <v>21</v>
      </c>
      <c r="E1240" s="4" t="s">
        <v>31</v>
      </c>
      <c r="F1240" s="4">
        <f>VLOOKUP(E1240,基础属性ID!A:B,2,0)</f>
        <v>18</v>
      </c>
      <c r="G1240" s="4">
        <f>VLOOKUP(E1240,基础属性ID!$A:$E,5,0)</f>
        <v>60</v>
      </c>
      <c r="H1240" s="4">
        <v>4</v>
      </c>
      <c r="I1240" s="4">
        <v>12</v>
      </c>
      <c r="J1240" s="4" t="str">
        <f t="shared" si="284"/>
        <v>18:60:4:12,</v>
      </c>
    </row>
    <row r="1241" spans="1:10">
      <c r="A1241" s="4" t="str">
        <f t="shared" si="291"/>
        <v>41级橙手镯生命值</v>
      </c>
      <c r="B1241" s="4" t="s">
        <v>218</v>
      </c>
      <c r="C1241" s="4" t="s">
        <v>120</v>
      </c>
      <c r="D1241" s="4">
        <v>41</v>
      </c>
      <c r="E1241" s="4" t="s">
        <v>74</v>
      </c>
      <c r="F1241" s="4">
        <f>VLOOKUP(E1241,基础属性ID!A:B,2,0)</f>
        <v>1</v>
      </c>
      <c r="G1241" s="4">
        <f>VLOOKUP(E1241,基础属性ID!$A:$E,5,0)</f>
        <v>100</v>
      </c>
      <c r="H1241" s="4">
        <v>25</v>
      </c>
      <c r="I1241" s="4">
        <f>H1241*3</f>
        <v>75</v>
      </c>
      <c r="J1241" s="4" t="str">
        <f t="shared" si="284"/>
        <v>1:100:25:75,</v>
      </c>
    </row>
    <row r="1242" spans="1:10">
      <c r="A1242" s="4" t="str">
        <f t="shared" si="291"/>
        <v>41级橙手镯法力值</v>
      </c>
      <c r="B1242" s="4" t="s">
        <v>218</v>
      </c>
      <c r="C1242" s="4" t="s">
        <v>120</v>
      </c>
      <c r="D1242" s="4">
        <v>41</v>
      </c>
      <c r="E1242" s="4" t="s">
        <v>75</v>
      </c>
      <c r="F1242" s="4">
        <f>VLOOKUP(E1242,基础属性ID!A:B,2,0)</f>
        <v>2</v>
      </c>
      <c r="G1242" s="4">
        <f>VLOOKUP(E1242,基础属性ID!$A:$E,5,0)</f>
        <v>100</v>
      </c>
      <c r="H1242" s="4">
        <v>14</v>
      </c>
      <c r="I1242" s="4">
        <v>28</v>
      </c>
      <c r="J1242" s="4" t="str">
        <f t="shared" si="284"/>
        <v>2:100:14:28,</v>
      </c>
    </row>
    <row r="1243" spans="1:10">
      <c r="A1243" s="4" t="str">
        <f t="shared" si="291"/>
        <v>41级橙手镯物理攻击</v>
      </c>
      <c r="B1243" s="4" t="s">
        <v>218</v>
      </c>
      <c r="C1243" s="4" t="s">
        <v>120</v>
      </c>
      <c r="D1243" s="4">
        <v>41</v>
      </c>
      <c r="E1243" s="4" t="s">
        <v>13</v>
      </c>
      <c r="F1243" s="4">
        <f>VLOOKUP(E1243,基础属性ID!A:B,2,0)</f>
        <v>3</v>
      </c>
      <c r="G1243" s="4">
        <f>VLOOKUP(E1243,基础属性ID!$A:$E,5,0)</f>
        <v>100</v>
      </c>
      <c r="H1243" s="4">
        <v>8</v>
      </c>
      <c r="I1243" s="4">
        <f t="shared" ref="I1243:I1246" si="295">H1243*3</f>
        <v>24</v>
      </c>
      <c r="J1243" s="4" t="str">
        <f t="shared" si="284"/>
        <v>3:100:8:24,</v>
      </c>
    </row>
    <row r="1244" spans="1:10">
      <c r="A1244" s="4" t="str">
        <f t="shared" si="291"/>
        <v>41级橙手镯魔法攻击</v>
      </c>
      <c r="B1244" s="4" t="s">
        <v>218</v>
      </c>
      <c r="C1244" s="4" t="s">
        <v>120</v>
      </c>
      <c r="D1244" s="4">
        <v>41</v>
      </c>
      <c r="E1244" s="4" t="s">
        <v>14</v>
      </c>
      <c r="F1244" s="4">
        <f>VLOOKUP(E1244,基础属性ID!A:B,2,0)</f>
        <v>4</v>
      </c>
      <c r="G1244" s="4">
        <f>VLOOKUP(E1244,基础属性ID!$A:$E,5,0)</f>
        <v>100</v>
      </c>
      <c r="H1244" s="4">
        <v>8</v>
      </c>
      <c r="I1244" s="4">
        <f t="shared" si="295"/>
        <v>24</v>
      </c>
      <c r="J1244" s="4" t="str">
        <f t="shared" si="284"/>
        <v>4:100:8:24,</v>
      </c>
    </row>
    <row r="1245" spans="1:10">
      <c r="A1245" s="4" t="str">
        <f t="shared" si="291"/>
        <v>41级橙手镯道术攻击</v>
      </c>
      <c r="B1245" s="4" t="s">
        <v>218</v>
      </c>
      <c r="C1245" s="4" t="s">
        <v>120</v>
      </c>
      <c r="D1245" s="4">
        <v>41</v>
      </c>
      <c r="E1245" s="4" t="s">
        <v>15</v>
      </c>
      <c r="F1245" s="4">
        <f>VLOOKUP(E1245,基础属性ID!A:B,2,0)</f>
        <v>5</v>
      </c>
      <c r="G1245" s="4">
        <f>VLOOKUP(E1245,基础属性ID!$A:$E,5,0)</f>
        <v>100</v>
      </c>
      <c r="H1245" s="4">
        <v>8</v>
      </c>
      <c r="I1245" s="4">
        <f t="shared" si="295"/>
        <v>24</v>
      </c>
      <c r="J1245" s="4" t="str">
        <f t="shared" si="284"/>
        <v>5:100:8:24,</v>
      </c>
    </row>
    <row r="1246" spans="1:10">
      <c r="A1246" s="4" t="str">
        <f t="shared" si="291"/>
        <v>41级橙手镯防御</v>
      </c>
      <c r="B1246" s="4" t="s">
        <v>218</v>
      </c>
      <c r="C1246" s="4" t="s">
        <v>120</v>
      </c>
      <c r="D1246" s="4">
        <v>41</v>
      </c>
      <c r="E1246" s="4" t="s">
        <v>17</v>
      </c>
      <c r="F1246" s="4">
        <f>VLOOKUP(E1246,基础属性ID!A:B,2,0)</f>
        <v>6</v>
      </c>
      <c r="G1246" s="4">
        <f>VLOOKUP(E1246,基础属性ID!$A:$E,5,0)</f>
        <v>100</v>
      </c>
      <c r="H1246" s="4">
        <v>8</v>
      </c>
      <c r="I1246" s="4">
        <f t="shared" si="295"/>
        <v>24</v>
      </c>
      <c r="J1246" s="4" t="str">
        <f t="shared" si="284"/>
        <v>6:100:8:24,</v>
      </c>
    </row>
    <row r="1247" spans="1:10">
      <c r="A1247" s="4" t="str">
        <f t="shared" si="291"/>
        <v>41级橙手镯攻速</v>
      </c>
      <c r="B1247" s="4" t="s">
        <v>218</v>
      </c>
      <c r="C1247" s="4" t="s">
        <v>120</v>
      </c>
      <c r="D1247" s="4">
        <v>41</v>
      </c>
      <c r="E1247" s="4" t="s">
        <v>18</v>
      </c>
      <c r="F1247" s="4">
        <f>VLOOKUP(E1247,基础属性ID!A:B,2,0)</f>
        <v>7</v>
      </c>
      <c r="G1247" s="4">
        <f>VLOOKUP(E1247,基础属性ID!$A:$E,5,0)</f>
        <v>20</v>
      </c>
      <c r="H1247" s="4">
        <v>1</v>
      </c>
      <c r="I1247" s="4">
        <v>3</v>
      </c>
      <c r="J1247" s="4" t="str">
        <f t="shared" si="284"/>
        <v>7:20:1:3,</v>
      </c>
    </row>
    <row r="1248" spans="1:10">
      <c r="A1248" s="4" t="str">
        <f t="shared" si="291"/>
        <v>41级橙手镯固定伤害</v>
      </c>
      <c r="B1248" s="4" t="s">
        <v>218</v>
      </c>
      <c r="C1248" s="4" t="s">
        <v>120</v>
      </c>
      <c r="D1248" s="4">
        <v>41</v>
      </c>
      <c r="E1248" s="4" t="s">
        <v>24</v>
      </c>
      <c r="F1248" s="4">
        <f>VLOOKUP(E1248,基础属性ID!A:B,2,0)</f>
        <v>9</v>
      </c>
      <c r="G1248" s="4">
        <f>VLOOKUP(E1248,基础属性ID!$A:$E,5,0)</f>
        <v>50</v>
      </c>
      <c r="H1248" s="4">
        <v>6</v>
      </c>
      <c r="I1248" s="4">
        <f t="shared" ref="I1248:I1249" si="296">H1248*3</f>
        <v>18</v>
      </c>
      <c r="J1248" s="4" t="str">
        <f t="shared" si="284"/>
        <v>9:50:6:18,</v>
      </c>
    </row>
    <row r="1249" spans="1:10">
      <c r="A1249" s="4" t="str">
        <f t="shared" si="291"/>
        <v>41级橙手镯固定减伤</v>
      </c>
      <c r="B1249" s="4" t="s">
        <v>218</v>
      </c>
      <c r="C1249" s="4" t="s">
        <v>120</v>
      </c>
      <c r="D1249" s="4">
        <v>41</v>
      </c>
      <c r="E1249" s="4" t="s">
        <v>25</v>
      </c>
      <c r="F1249" s="4">
        <f>VLOOKUP(E1249,基础属性ID!A:B,2,0)</f>
        <v>10</v>
      </c>
      <c r="G1249" s="4">
        <f>VLOOKUP(E1249,基础属性ID!$A:$E,5,0)</f>
        <v>50</v>
      </c>
      <c r="H1249" s="4">
        <v>6</v>
      </c>
      <c r="I1249" s="4">
        <f t="shared" si="296"/>
        <v>18</v>
      </c>
      <c r="J1249" s="4" t="str">
        <f t="shared" si="284"/>
        <v>10:50:6:18,</v>
      </c>
    </row>
    <row r="1250" spans="1:10">
      <c r="A1250" s="4" t="str">
        <f t="shared" si="291"/>
        <v>41级橙手镯生命吸取</v>
      </c>
      <c r="B1250" s="4" t="s">
        <v>218</v>
      </c>
      <c r="C1250" s="4" t="s">
        <v>120</v>
      </c>
      <c r="D1250" s="4">
        <v>41</v>
      </c>
      <c r="E1250" s="4" t="s">
        <v>28</v>
      </c>
      <c r="F1250" s="4">
        <f>VLOOKUP(E1250,基础属性ID!A:B,2,0)</f>
        <v>11</v>
      </c>
      <c r="G1250" s="4">
        <f>VLOOKUP(E1250,基础属性ID!$A:$E,5,0)</f>
        <v>50</v>
      </c>
      <c r="H1250" s="4">
        <v>6</v>
      </c>
      <c r="I1250" s="4">
        <f t="shared" ref="I1250:I1251" si="297">H1250*3</f>
        <v>18</v>
      </c>
      <c r="J1250" s="4" t="str">
        <f t="shared" ref="J1250:J1310" si="298">F1250&amp;":"&amp;G1250&amp;":"&amp;H1250&amp;":"&amp;I1250&amp;","</f>
        <v>11:50:6:18,</v>
      </c>
    </row>
    <row r="1251" spans="1:10">
      <c r="A1251" s="4" t="str">
        <f t="shared" si="291"/>
        <v>41级橙手镯法力吸取</v>
      </c>
      <c r="B1251" s="4" t="s">
        <v>218</v>
      </c>
      <c r="C1251" s="4" t="s">
        <v>120</v>
      </c>
      <c r="D1251" s="4">
        <v>41</v>
      </c>
      <c r="E1251" s="4" t="s">
        <v>29</v>
      </c>
      <c r="F1251" s="4">
        <f>VLOOKUP(E1251,基础属性ID!A:B,2,0)</f>
        <v>12</v>
      </c>
      <c r="G1251" s="4">
        <f>VLOOKUP(E1251,基础属性ID!$A:$E,5,0)</f>
        <v>50</v>
      </c>
      <c r="H1251" s="4">
        <v>6</v>
      </c>
      <c r="I1251" s="4">
        <f t="shared" si="297"/>
        <v>18</v>
      </c>
      <c r="J1251" s="4" t="str">
        <f t="shared" si="298"/>
        <v>12:50:6:18,</v>
      </c>
    </row>
    <row r="1252" spans="1:10">
      <c r="A1252" s="4" t="str">
        <f t="shared" si="291"/>
        <v>41级橙手镯暴击几率</v>
      </c>
      <c r="B1252" s="4" t="s">
        <v>218</v>
      </c>
      <c r="C1252" s="4" t="s">
        <v>120</v>
      </c>
      <c r="D1252" s="4">
        <v>41</v>
      </c>
      <c r="E1252" s="4" t="s">
        <v>21</v>
      </c>
      <c r="F1252" s="4">
        <f>VLOOKUP(E1252,基础属性ID!A:B,2,0)</f>
        <v>13</v>
      </c>
      <c r="G1252" s="4">
        <f>VLOOKUP(E1252,基础属性ID!$A:$E,5,0)</f>
        <v>20</v>
      </c>
      <c r="H1252" s="4">
        <v>150</v>
      </c>
      <c r="I1252" s="4">
        <v>300</v>
      </c>
      <c r="J1252" s="4" t="str">
        <f t="shared" si="298"/>
        <v>13:20:150:300,</v>
      </c>
    </row>
    <row r="1253" spans="1:10">
      <c r="A1253" s="4" t="str">
        <f t="shared" si="291"/>
        <v>41级橙手镯爆击伤害</v>
      </c>
      <c r="B1253" s="4" t="s">
        <v>218</v>
      </c>
      <c r="C1253" s="4" t="s">
        <v>120</v>
      </c>
      <c r="D1253" s="4">
        <v>41</v>
      </c>
      <c r="E1253" s="4" t="s">
        <v>76</v>
      </c>
      <c r="F1253" s="4">
        <f>VLOOKUP(E1253,基础属性ID!A:B,2,0)</f>
        <v>14</v>
      </c>
      <c r="G1253" s="4">
        <f>VLOOKUP(E1253,基础属性ID!$A:$E,5,0)</f>
        <v>20</v>
      </c>
      <c r="H1253" s="4">
        <v>5</v>
      </c>
      <c r="I1253" s="4">
        <v>10</v>
      </c>
      <c r="J1253" s="4" t="str">
        <f t="shared" si="298"/>
        <v>14:20:5:10,</v>
      </c>
    </row>
    <row r="1254" spans="1:10">
      <c r="A1254" s="4" t="str">
        <f t="shared" si="291"/>
        <v>41级橙手镯伤害增加</v>
      </c>
      <c r="B1254" s="4" t="s">
        <v>218</v>
      </c>
      <c r="C1254" s="4" t="s">
        <v>120</v>
      </c>
      <c r="D1254" s="4">
        <v>41</v>
      </c>
      <c r="E1254" s="4" t="s">
        <v>26</v>
      </c>
      <c r="F1254" s="4">
        <f>VLOOKUP(E1254,基础属性ID!A:B,2,0)</f>
        <v>15</v>
      </c>
      <c r="G1254" s="4">
        <f>VLOOKUP(E1254,基础属性ID!$A:$E,5,0)</f>
        <v>10</v>
      </c>
      <c r="H1254" s="4">
        <v>150</v>
      </c>
      <c r="I1254" s="4">
        <v>300</v>
      </c>
      <c r="J1254" s="4" t="str">
        <f t="shared" si="298"/>
        <v>15:10:150:300,</v>
      </c>
    </row>
    <row r="1255" spans="1:10">
      <c r="A1255" s="4" t="str">
        <f t="shared" si="291"/>
        <v>41级橙手镯伤害减免</v>
      </c>
      <c r="B1255" s="4" t="s">
        <v>218</v>
      </c>
      <c r="C1255" s="4" t="s">
        <v>120</v>
      </c>
      <c r="D1255" s="4">
        <v>41</v>
      </c>
      <c r="E1255" s="4" t="s">
        <v>27</v>
      </c>
      <c r="F1255" s="4">
        <f>VLOOKUP(E1255,基础属性ID!A:B,2,0)</f>
        <v>16</v>
      </c>
      <c r="G1255" s="4">
        <f>VLOOKUP(E1255,基础属性ID!$A:$E,5,0)</f>
        <v>10</v>
      </c>
      <c r="H1255" s="4">
        <v>150</v>
      </c>
      <c r="I1255" s="4">
        <v>300</v>
      </c>
      <c r="J1255" s="4" t="str">
        <f t="shared" si="298"/>
        <v>16:10:150:300,</v>
      </c>
    </row>
    <row r="1256" spans="1:10">
      <c r="A1256" s="4" t="str">
        <f t="shared" si="291"/>
        <v>41级橙手镯装备掉率</v>
      </c>
      <c r="B1256" s="4" t="s">
        <v>218</v>
      </c>
      <c r="C1256" s="4" t="s">
        <v>120</v>
      </c>
      <c r="D1256" s="4">
        <v>41</v>
      </c>
      <c r="E1256" s="4" t="s">
        <v>30</v>
      </c>
      <c r="F1256" s="4">
        <f>VLOOKUP(E1256,基础属性ID!A:B,2,0)</f>
        <v>17</v>
      </c>
      <c r="G1256" s="4">
        <f>VLOOKUP(E1256,基础属性ID!$A:$E,5,0)</f>
        <v>60</v>
      </c>
      <c r="H1256" s="4">
        <v>4</v>
      </c>
      <c r="I1256" s="4">
        <v>12</v>
      </c>
      <c r="J1256" s="4" t="str">
        <f t="shared" si="298"/>
        <v>17:60:4:12,</v>
      </c>
    </row>
    <row r="1257" spans="1:10">
      <c r="A1257" s="4" t="str">
        <f t="shared" si="291"/>
        <v>41级橙手镯极品掉率</v>
      </c>
      <c r="B1257" s="4" t="s">
        <v>218</v>
      </c>
      <c r="C1257" s="4" t="s">
        <v>120</v>
      </c>
      <c r="D1257" s="4">
        <v>41</v>
      </c>
      <c r="E1257" s="4" t="s">
        <v>31</v>
      </c>
      <c r="F1257" s="4">
        <f>VLOOKUP(E1257,基础属性ID!A:B,2,0)</f>
        <v>18</v>
      </c>
      <c r="G1257" s="4">
        <f>VLOOKUP(E1257,基础属性ID!$A:$E,5,0)</f>
        <v>60</v>
      </c>
      <c r="H1257" s="4">
        <v>4</v>
      </c>
      <c r="I1257" s="4">
        <v>12</v>
      </c>
      <c r="J1257" s="4" t="str">
        <f t="shared" si="298"/>
        <v>18:60:4:12,</v>
      </c>
    </row>
    <row r="1258" spans="1:10">
      <c r="A1258" s="4" t="str">
        <f t="shared" si="291"/>
        <v>61级橙手镯生命值</v>
      </c>
      <c r="B1258" s="4" t="s">
        <v>218</v>
      </c>
      <c r="C1258" s="4" t="s">
        <v>120</v>
      </c>
      <c r="D1258" s="4">
        <v>61</v>
      </c>
      <c r="E1258" s="4" t="s">
        <v>74</v>
      </c>
      <c r="F1258" s="4">
        <f>VLOOKUP(E1258,基础属性ID!A:B,2,0)</f>
        <v>1</v>
      </c>
      <c r="G1258" s="4">
        <f>VLOOKUP(E1258,基础属性ID!$A:$E,5,0)</f>
        <v>100</v>
      </c>
      <c r="H1258" s="4">
        <v>40</v>
      </c>
      <c r="I1258" s="4">
        <f>H1258*3</f>
        <v>120</v>
      </c>
      <c r="J1258" s="4" t="str">
        <f t="shared" si="298"/>
        <v>1:100:40:120,</v>
      </c>
    </row>
    <row r="1259" spans="1:10">
      <c r="A1259" s="4" t="str">
        <f t="shared" si="291"/>
        <v>61级橙手镯法力值</v>
      </c>
      <c r="B1259" s="4" t="s">
        <v>218</v>
      </c>
      <c r="C1259" s="4" t="s">
        <v>120</v>
      </c>
      <c r="D1259" s="4">
        <v>61</v>
      </c>
      <c r="E1259" s="4" t="s">
        <v>75</v>
      </c>
      <c r="F1259" s="4">
        <f>VLOOKUP(E1259,基础属性ID!A:B,2,0)</f>
        <v>2</v>
      </c>
      <c r="G1259" s="4">
        <f>VLOOKUP(E1259,基础属性ID!$A:$E,5,0)</f>
        <v>100</v>
      </c>
      <c r="H1259" s="4">
        <v>16</v>
      </c>
      <c r="I1259" s="4">
        <v>32</v>
      </c>
      <c r="J1259" s="4" t="str">
        <f t="shared" si="298"/>
        <v>2:100:16:32,</v>
      </c>
    </row>
    <row r="1260" spans="1:10">
      <c r="A1260" s="4" t="str">
        <f t="shared" si="291"/>
        <v>61级橙手镯物理攻击</v>
      </c>
      <c r="B1260" s="4" t="s">
        <v>218</v>
      </c>
      <c r="C1260" s="4" t="s">
        <v>120</v>
      </c>
      <c r="D1260" s="4">
        <v>61</v>
      </c>
      <c r="E1260" s="4" t="s">
        <v>13</v>
      </c>
      <c r="F1260" s="4">
        <f>VLOOKUP(E1260,基础属性ID!A:B,2,0)</f>
        <v>3</v>
      </c>
      <c r="G1260" s="4">
        <f>VLOOKUP(E1260,基础属性ID!$A:$E,5,0)</f>
        <v>100</v>
      </c>
      <c r="H1260" s="4">
        <v>12</v>
      </c>
      <c r="I1260" s="4">
        <f t="shared" ref="I1260:I1263" si="299">H1260*3</f>
        <v>36</v>
      </c>
      <c r="J1260" s="4" t="str">
        <f t="shared" si="298"/>
        <v>3:100:12:36,</v>
      </c>
    </row>
    <row r="1261" spans="1:10">
      <c r="A1261" s="4" t="str">
        <f t="shared" si="291"/>
        <v>61级橙手镯魔法攻击</v>
      </c>
      <c r="B1261" s="4" t="s">
        <v>218</v>
      </c>
      <c r="C1261" s="4" t="s">
        <v>120</v>
      </c>
      <c r="D1261" s="4">
        <v>61</v>
      </c>
      <c r="E1261" s="4" t="s">
        <v>14</v>
      </c>
      <c r="F1261" s="4">
        <f>VLOOKUP(E1261,基础属性ID!A:B,2,0)</f>
        <v>4</v>
      </c>
      <c r="G1261" s="4">
        <f>VLOOKUP(E1261,基础属性ID!$A:$E,5,0)</f>
        <v>100</v>
      </c>
      <c r="H1261" s="4">
        <v>12</v>
      </c>
      <c r="I1261" s="4">
        <f t="shared" si="299"/>
        <v>36</v>
      </c>
      <c r="J1261" s="4" t="str">
        <f t="shared" si="298"/>
        <v>4:100:12:36,</v>
      </c>
    </row>
    <row r="1262" spans="1:10">
      <c r="A1262" s="4" t="str">
        <f t="shared" si="291"/>
        <v>61级橙手镯道术攻击</v>
      </c>
      <c r="B1262" s="4" t="s">
        <v>218</v>
      </c>
      <c r="C1262" s="4" t="s">
        <v>120</v>
      </c>
      <c r="D1262" s="4">
        <v>61</v>
      </c>
      <c r="E1262" s="4" t="s">
        <v>15</v>
      </c>
      <c r="F1262" s="4">
        <f>VLOOKUP(E1262,基础属性ID!A:B,2,0)</f>
        <v>5</v>
      </c>
      <c r="G1262" s="4">
        <f>VLOOKUP(E1262,基础属性ID!$A:$E,5,0)</f>
        <v>100</v>
      </c>
      <c r="H1262" s="4">
        <v>12</v>
      </c>
      <c r="I1262" s="4">
        <f t="shared" si="299"/>
        <v>36</v>
      </c>
      <c r="J1262" s="4" t="str">
        <f t="shared" si="298"/>
        <v>5:100:12:36,</v>
      </c>
    </row>
    <row r="1263" spans="1:10">
      <c r="A1263" s="4" t="str">
        <f t="shared" si="291"/>
        <v>61级橙手镯防御</v>
      </c>
      <c r="B1263" s="4" t="s">
        <v>218</v>
      </c>
      <c r="C1263" s="4" t="s">
        <v>120</v>
      </c>
      <c r="D1263" s="4">
        <v>61</v>
      </c>
      <c r="E1263" s="4" t="s">
        <v>17</v>
      </c>
      <c r="F1263" s="4">
        <f>VLOOKUP(E1263,基础属性ID!A:B,2,0)</f>
        <v>6</v>
      </c>
      <c r="G1263" s="4">
        <f>VLOOKUP(E1263,基础属性ID!$A:$E,5,0)</f>
        <v>100</v>
      </c>
      <c r="H1263" s="4">
        <v>12</v>
      </c>
      <c r="I1263" s="4">
        <f t="shared" si="299"/>
        <v>36</v>
      </c>
      <c r="J1263" s="4" t="str">
        <f t="shared" si="298"/>
        <v>6:100:12:36,</v>
      </c>
    </row>
    <row r="1264" spans="1:10">
      <c r="A1264" s="4" t="str">
        <f t="shared" si="291"/>
        <v>61级橙手镯攻速</v>
      </c>
      <c r="B1264" s="4" t="s">
        <v>218</v>
      </c>
      <c r="C1264" s="4" t="s">
        <v>120</v>
      </c>
      <c r="D1264" s="4">
        <v>61</v>
      </c>
      <c r="E1264" s="4" t="s">
        <v>18</v>
      </c>
      <c r="F1264" s="4">
        <f>VLOOKUP(E1264,基础属性ID!A:B,2,0)</f>
        <v>7</v>
      </c>
      <c r="G1264" s="4">
        <f>VLOOKUP(E1264,基础属性ID!$A:$E,5,0)</f>
        <v>20</v>
      </c>
      <c r="H1264" s="4">
        <v>1</v>
      </c>
      <c r="I1264" s="4">
        <v>3</v>
      </c>
      <c r="J1264" s="4" t="str">
        <f t="shared" si="298"/>
        <v>7:20:1:3,</v>
      </c>
    </row>
    <row r="1265" spans="1:10">
      <c r="A1265" s="4" t="str">
        <f t="shared" si="291"/>
        <v>61级橙手镯固定伤害</v>
      </c>
      <c r="B1265" s="4" t="s">
        <v>218</v>
      </c>
      <c r="C1265" s="4" t="s">
        <v>120</v>
      </c>
      <c r="D1265" s="4">
        <v>61</v>
      </c>
      <c r="E1265" s="4" t="s">
        <v>24</v>
      </c>
      <c r="F1265" s="4">
        <f>VLOOKUP(E1265,基础属性ID!A:B,2,0)</f>
        <v>9</v>
      </c>
      <c r="G1265" s="4">
        <f>VLOOKUP(E1265,基础属性ID!$A:$E,5,0)</f>
        <v>50</v>
      </c>
      <c r="H1265" s="4">
        <v>7</v>
      </c>
      <c r="I1265" s="4">
        <f t="shared" ref="I1265:I1266" si="300">H1265*3</f>
        <v>21</v>
      </c>
      <c r="J1265" s="4" t="str">
        <f t="shared" si="298"/>
        <v>9:50:7:21,</v>
      </c>
    </row>
    <row r="1266" spans="1:10">
      <c r="A1266" s="4" t="str">
        <f t="shared" si="291"/>
        <v>61级橙手镯固定减伤</v>
      </c>
      <c r="B1266" s="4" t="s">
        <v>218</v>
      </c>
      <c r="C1266" s="4" t="s">
        <v>120</v>
      </c>
      <c r="D1266" s="4">
        <v>61</v>
      </c>
      <c r="E1266" s="4" t="s">
        <v>25</v>
      </c>
      <c r="F1266" s="4">
        <f>VLOOKUP(E1266,基础属性ID!A:B,2,0)</f>
        <v>10</v>
      </c>
      <c r="G1266" s="4">
        <f>VLOOKUP(E1266,基础属性ID!$A:$E,5,0)</f>
        <v>50</v>
      </c>
      <c r="H1266" s="4">
        <v>7</v>
      </c>
      <c r="I1266" s="4">
        <f t="shared" si="300"/>
        <v>21</v>
      </c>
      <c r="J1266" s="4" t="str">
        <f t="shared" si="298"/>
        <v>10:50:7:21,</v>
      </c>
    </row>
    <row r="1267" spans="1:10">
      <c r="A1267" s="4" t="str">
        <f t="shared" si="291"/>
        <v>61级橙手镯生命吸取</v>
      </c>
      <c r="B1267" s="4" t="s">
        <v>218</v>
      </c>
      <c r="C1267" s="4" t="s">
        <v>120</v>
      </c>
      <c r="D1267" s="4">
        <v>61</v>
      </c>
      <c r="E1267" s="4" t="s">
        <v>28</v>
      </c>
      <c r="F1267" s="4">
        <f>VLOOKUP(E1267,基础属性ID!A:B,2,0)</f>
        <v>11</v>
      </c>
      <c r="G1267" s="4">
        <f>VLOOKUP(E1267,基础属性ID!$A:$E,5,0)</f>
        <v>50</v>
      </c>
      <c r="H1267" s="4">
        <v>8</v>
      </c>
      <c r="I1267" s="4">
        <f t="shared" ref="I1267:I1268" si="301">H1267*3</f>
        <v>24</v>
      </c>
      <c r="J1267" s="4" t="str">
        <f t="shared" si="298"/>
        <v>11:50:8:24,</v>
      </c>
    </row>
    <row r="1268" spans="1:10">
      <c r="A1268" s="4" t="str">
        <f t="shared" si="291"/>
        <v>61级橙手镯法力吸取</v>
      </c>
      <c r="B1268" s="4" t="s">
        <v>218</v>
      </c>
      <c r="C1268" s="4" t="s">
        <v>120</v>
      </c>
      <c r="D1268" s="4">
        <v>61</v>
      </c>
      <c r="E1268" s="4" t="s">
        <v>29</v>
      </c>
      <c r="F1268" s="4">
        <f>VLOOKUP(E1268,基础属性ID!A:B,2,0)</f>
        <v>12</v>
      </c>
      <c r="G1268" s="4">
        <f>VLOOKUP(E1268,基础属性ID!$A:$E,5,0)</f>
        <v>50</v>
      </c>
      <c r="H1268" s="4">
        <v>8</v>
      </c>
      <c r="I1268" s="4">
        <f t="shared" si="301"/>
        <v>24</v>
      </c>
      <c r="J1268" s="4" t="str">
        <f t="shared" si="298"/>
        <v>12:50:8:24,</v>
      </c>
    </row>
    <row r="1269" spans="1:10">
      <c r="A1269" s="4" t="str">
        <f t="shared" si="291"/>
        <v>61级橙手镯暴击几率</v>
      </c>
      <c r="B1269" s="4" t="s">
        <v>218</v>
      </c>
      <c r="C1269" s="4" t="s">
        <v>120</v>
      </c>
      <c r="D1269" s="4">
        <v>61</v>
      </c>
      <c r="E1269" s="4" t="s">
        <v>21</v>
      </c>
      <c r="F1269" s="4">
        <f>VLOOKUP(E1269,基础属性ID!A:B,2,0)</f>
        <v>13</v>
      </c>
      <c r="G1269" s="4">
        <f>VLOOKUP(E1269,基础属性ID!$A:$E,5,0)</f>
        <v>20</v>
      </c>
      <c r="H1269" s="4">
        <v>150</v>
      </c>
      <c r="I1269" s="4">
        <v>300</v>
      </c>
      <c r="J1269" s="4" t="str">
        <f t="shared" si="298"/>
        <v>13:20:150:300,</v>
      </c>
    </row>
    <row r="1270" spans="1:10">
      <c r="A1270" s="4" t="str">
        <f t="shared" si="291"/>
        <v>61级橙手镯爆击伤害</v>
      </c>
      <c r="B1270" s="4" t="s">
        <v>218</v>
      </c>
      <c r="C1270" s="4" t="s">
        <v>120</v>
      </c>
      <c r="D1270" s="4">
        <v>61</v>
      </c>
      <c r="E1270" s="4" t="s">
        <v>76</v>
      </c>
      <c r="F1270" s="4">
        <f>VLOOKUP(E1270,基础属性ID!A:B,2,0)</f>
        <v>14</v>
      </c>
      <c r="G1270" s="4">
        <f>VLOOKUP(E1270,基础属性ID!$A:$E,5,0)</f>
        <v>20</v>
      </c>
      <c r="H1270" s="4">
        <v>5</v>
      </c>
      <c r="I1270" s="4">
        <v>10</v>
      </c>
      <c r="J1270" s="4" t="str">
        <f t="shared" si="298"/>
        <v>14:20:5:10,</v>
      </c>
    </row>
    <row r="1271" spans="1:10">
      <c r="A1271" s="4" t="str">
        <f t="shared" si="291"/>
        <v>61级橙手镯伤害增加</v>
      </c>
      <c r="B1271" s="4" t="s">
        <v>218</v>
      </c>
      <c r="C1271" s="4" t="s">
        <v>120</v>
      </c>
      <c r="D1271" s="4">
        <v>61</v>
      </c>
      <c r="E1271" s="4" t="s">
        <v>26</v>
      </c>
      <c r="F1271" s="4">
        <f>VLOOKUP(E1271,基础属性ID!A:B,2,0)</f>
        <v>15</v>
      </c>
      <c r="G1271" s="4">
        <f>VLOOKUP(E1271,基础属性ID!$A:$E,5,0)</f>
        <v>10</v>
      </c>
      <c r="H1271" s="4">
        <v>150</v>
      </c>
      <c r="I1271" s="4">
        <v>300</v>
      </c>
      <c r="J1271" s="4" t="str">
        <f t="shared" si="298"/>
        <v>15:10:150:300,</v>
      </c>
    </row>
    <row r="1272" spans="1:10">
      <c r="A1272" s="4" t="str">
        <f t="shared" si="291"/>
        <v>61级橙手镯伤害减免</v>
      </c>
      <c r="B1272" s="4" t="s">
        <v>218</v>
      </c>
      <c r="C1272" s="4" t="s">
        <v>120</v>
      </c>
      <c r="D1272" s="4">
        <v>61</v>
      </c>
      <c r="E1272" s="4" t="s">
        <v>27</v>
      </c>
      <c r="F1272" s="4">
        <f>VLOOKUP(E1272,基础属性ID!A:B,2,0)</f>
        <v>16</v>
      </c>
      <c r="G1272" s="4">
        <f>VLOOKUP(E1272,基础属性ID!$A:$E,5,0)</f>
        <v>10</v>
      </c>
      <c r="H1272" s="4">
        <v>150</v>
      </c>
      <c r="I1272" s="4">
        <v>300</v>
      </c>
      <c r="J1272" s="4" t="str">
        <f t="shared" si="298"/>
        <v>16:10:150:300,</v>
      </c>
    </row>
    <row r="1273" spans="1:10">
      <c r="A1273" s="4" t="str">
        <f t="shared" si="291"/>
        <v>61级橙手镯装备掉率</v>
      </c>
      <c r="B1273" s="4" t="s">
        <v>218</v>
      </c>
      <c r="C1273" s="4" t="s">
        <v>120</v>
      </c>
      <c r="D1273" s="4">
        <v>61</v>
      </c>
      <c r="E1273" s="4" t="s">
        <v>30</v>
      </c>
      <c r="F1273" s="4">
        <f>VLOOKUP(E1273,基础属性ID!A:B,2,0)</f>
        <v>17</v>
      </c>
      <c r="G1273" s="4">
        <f>VLOOKUP(E1273,基础属性ID!$A:$E,5,0)</f>
        <v>60</v>
      </c>
      <c r="H1273" s="4">
        <v>4</v>
      </c>
      <c r="I1273" s="4">
        <v>12</v>
      </c>
      <c r="J1273" s="4" t="str">
        <f t="shared" si="298"/>
        <v>17:60:4:12,</v>
      </c>
    </row>
    <row r="1274" spans="1:10">
      <c r="A1274" s="4" t="str">
        <f t="shared" si="291"/>
        <v>61级橙手镯极品掉率</v>
      </c>
      <c r="B1274" s="4" t="s">
        <v>218</v>
      </c>
      <c r="C1274" s="4" t="s">
        <v>120</v>
      </c>
      <c r="D1274" s="4">
        <v>61</v>
      </c>
      <c r="E1274" s="4" t="s">
        <v>31</v>
      </c>
      <c r="F1274" s="4">
        <f>VLOOKUP(E1274,基础属性ID!A:B,2,0)</f>
        <v>18</v>
      </c>
      <c r="G1274" s="4">
        <f>VLOOKUP(E1274,基础属性ID!$A:$E,5,0)</f>
        <v>60</v>
      </c>
      <c r="H1274" s="4">
        <v>4</v>
      </c>
      <c r="I1274" s="4">
        <v>12</v>
      </c>
      <c r="J1274" s="4" t="str">
        <f t="shared" si="298"/>
        <v>18:60:4:12,</v>
      </c>
    </row>
    <row r="1275" spans="1:10">
      <c r="A1275" s="4" t="str">
        <f t="shared" si="291"/>
        <v>21级橙戒指生命值</v>
      </c>
      <c r="B1275" s="4" t="s">
        <v>221</v>
      </c>
      <c r="C1275" s="4" t="s">
        <v>120</v>
      </c>
      <c r="D1275" s="4">
        <v>21</v>
      </c>
      <c r="E1275" s="4" t="s">
        <v>74</v>
      </c>
      <c r="F1275" s="4">
        <f>VLOOKUP(E1275,基础属性ID!A:B,2,0)</f>
        <v>1</v>
      </c>
      <c r="G1275" s="4">
        <f>VLOOKUP(E1275,基础属性ID!$A:$E,5,0)</f>
        <v>100</v>
      </c>
      <c r="H1275" s="4">
        <v>15</v>
      </c>
      <c r="I1275" s="4">
        <f>H1275*3</f>
        <v>45</v>
      </c>
      <c r="J1275" s="4" t="str">
        <f t="shared" si="298"/>
        <v>1:100:15:45,</v>
      </c>
    </row>
    <row r="1276" spans="1:10">
      <c r="A1276" s="4" t="str">
        <f t="shared" si="291"/>
        <v>21级橙戒指法力值</v>
      </c>
      <c r="B1276" s="4" t="s">
        <v>221</v>
      </c>
      <c r="C1276" s="4" t="s">
        <v>120</v>
      </c>
      <c r="D1276" s="4">
        <v>21</v>
      </c>
      <c r="E1276" s="4" t="s">
        <v>75</v>
      </c>
      <c r="F1276" s="4">
        <f>VLOOKUP(E1276,基础属性ID!A:B,2,0)</f>
        <v>2</v>
      </c>
      <c r="G1276" s="4">
        <f>VLOOKUP(E1276,基础属性ID!$A:$E,5,0)</f>
        <v>100</v>
      </c>
      <c r="H1276" s="4">
        <v>12</v>
      </c>
      <c r="I1276" s="4">
        <v>24</v>
      </c>
      <c r="J1276" s="4" t="str">
        <f t="shared" si="298"/>
        <v>2:100:12:24,</v>
      </c>
    </row>
    <row r="1277" spans="1:10">
      <c r="A1277" s="4" t="str">
        <f t="shared" si="291"/>
        <v>21级橙戒指物理攻击</v>
      </c>
      <c r="B1277" s="4" t="s">
        <v>221</v>
      </c>
      <c r="C1277" s="4" t="s">
        <v>120</v>
      </c>
      <c r="D1277" s="4">
        <v>21</v>
      </c>
      <c r="E1277" s="4" t="s">
        <v>13</v>
      </c>
      <c r="F1277" s="4">
        <f>VLOOKUP(E1277,基础属性ID!A:B,2,0)</f>
        <v>3</v>
      </c>
      <c r="G1277" s="4">
        <f>VLOOKUP(E1277,基础属性ID!$A:$E,5,0)</f>
        <v>100</v>
      </c>
      <c r="H1277" s="4">
        <v>6</v>
      </c>
      <c r="I1277" s="4">
        <f t="shared" ref="I1277:I1280" si="302">H1277*3</f>
        <v>18</v>
      </c>
      <c r="J1277" s="4" t="str">
        <f t="shared" si="298"/>
        <v>3:100:6:18,</v>
      </c>
    </row>
    <row r="1278" spans="1:10">
      <c r="A1278" s="4" t="str">
        <f t="shared" si="291"/>
        <v>21级橙戒指魔法攻击</v>
      </c>
      <c r="B1278" s="4" t="s">
        <v>221</v>
      </c>
      <c r="C1278" s="4" t="s">
        <v>120</v>
      </c>
      <c r="D1278" s="4">
        <v>21</v>
      </c>
      <c r="E1278" s="4" t="s">
        <v>14</v>
      </c>
      <c r="F1278" s="4">
        <f>VLOOKUP(E1278,基础属性ID!A:B,2,0)</f>
        <v>4</v>
      </c>
      <c r="G1278" s="4">
        <f>VLOOKUP(E1278,基础属性ID!$A:$E,5,0)</f>
        <v>100</v>
      </c>
      <c r="H1278" s="4">
        <v>6</v>
      </c>
      <c r="I1278" s="4">
        <f t="shared" si="302"/>
        <v>18</v>
      </c>
      <c r="J1278" s="4" t="str">
        <f t="shared" si="298"/>
        <v>4:100:6:18,</v>
      </c>
    </row>
    <row r="1279" spans="1:10">
      <c r="A1279" s="4" t="str">
        <f t="shared" si="291"/>
        <v>21级橙戒指道术攻击</v>
      </c>
      <c r="B1279" s="4" t="s">
        <v>221</v>
      </c>
      <c r="C1279" s="4" t="s">
        <v>120</v>
      </c>
      <c r="D1279" s="4">
        <v>21</v>
      </c>
      <c r="E1279" s="4" t="s">
        <v>15</v>
      </c>
      <c r="F1279" s="4">
        <f>VLOOKUP(E1279,基础属性ID!A:B,2,0)</f>
        <v>5</v>
      </c>
      <c r="G1279" s="4">
        <f>VLOOKUP(E1279,基础属性ID!$A:$E,5,0)</f>
        <v>100</v>
      </c>
      <c r="H1279" s="4">
        <v>6</v>
      </c>
      <c r="I1279" s="4">
        <f t="shared" si="302"/>
        <v>18</v>
      </c>
      <c r="J1279" s="4" t="str">
        <f t="shared" si="298"/>
        <v>5:100:6:18,</v>
      </c>
    </row>
    <row r="1280" spans="1:10">
      <c r="A1280" s="4" t="str">
        <f t="shared" si="291"/>
        <v>21级橙戒指防御</v>
      </c>
      <c r="B1280" s="4" t="s">
        <v>221</v>
      </c>
      <c r="C1280" s="4" t="s">
        <v>120</v>
      </c>
      <c r="D1280" s="4">
        <v>21</v>
      </c>
      <c r="E1280" s="4" t="s">
        <v>17</v>
      </c>
      <c r="F1280" s="4">
        <f>VLOOKUP(E1280,基础属性ID!A:B,2,0)</f>
        <v>6</v>
      </c>
      <c r="G1280" s="4">
        <f>VLOOKUP(E1280,基础属性ID!$A:$E,5,0)</f>
        <v>100</v>
      </c>
      <c r="H1280" s="4">
        <v>6</v>
      </c>
      <c r="I1280" s="4">
        <f t="shared" si="302"/>
        <v>18</v>
      </c>
      <c r="J1280" s="4" t="str">
        <f t="shared" si="298"/>
        <v>6:100:6:18,</v>
      </c>
    </row>
    <row r="1281" spans="1:10">
      <c r="A1281" s="4" t="str">
        <f t="shared" si="291"/>
        <v>21级橙戒指攻速</v>
      </c>
      <c r="B1281" s="4" t="s">
        <v>221</v>
      </c>
      <c r="C1281" s="4" t="s">
        <v>120</v>
      </c>
      <c r="D1281" s="4">
        <v>21</v>
      </c>
      <c r="E1281" s="4" t="s">
        <v>18</v>
      </c>
      <c r="F1281" s="4">
        <f>VLOOKUP(E1281,基础属性ID!A:B,2,0)</f>
        <v>7</v>
      </c>
      <c r="G1281" s="4">
        <f>VLOOKUP(E1281,基础属性ID!$A:$E,5,0)</f>
        <v>20</v>
      </c>
      <c r="H1281" s="4">
        <v>1</v>
      </c>
      <c r="I1281" s="4">
        <v>3</v>
      </c>
      <c r="J1281" s="4" t="str">
        <f t="shared" si="298"/>
        <v>7:20:1:3,</v>
      </c>
    </row>
    <row r="1282" spans="1:10">
      <c r="A1282" s="4" t="str">
        <f t="shared" si="291"/>
        <v>21级橙戒指固定伤害</v>
      </c>
      <c r="B1282" s="4" t="s">
        <v>221</v>
      </c>
      <c r="C1282" s="4" t="s">
        <v>120</v>
      </c>
      <c r="D1282" s="4">
        <v>21</v>
      </c>
      <c r="E1282" s="4" t="s">
        <v>24</v>
      </c>
      <c r="F1282" s="4">
        <f>VLOOKUP(E1282,基础属性ID!A:B,2,0)</f>
        <v>9</v>
      </c>
      <c r="G1282" s="4">
        <f>VLOOKUP(E1282,基础属性ID!$A:$E,5,0)</f>
        <v>50</v>
      </c>
      <c r="H1282" s="4">
        <v>5</v>
      </c>
      <c r="I1282" s="4">
        <f t="shared" ref="I1282:I1283" si="303">H1282*3</f>
        <v>15</v>
      </c>
      <c r="J1282" s="4" t="str">
        <f t="shared" si="298"/>
        <v>9:50:5:15,</v>
      </c>
    </row>
    <row r="1283" spans="1:10">
      <c r="A1283" s="4" t="str">
        <f t="shared" ref="A1283:A1346" si="304">D1283&amp;"级"&amp;C1283&amp;B1283&amp;E1283</f>
        <v>21级橙戒指固定减伤</v>
      </c>
      <c r="B1283" s="4" t="s">
        <v>221</v>
      </c>
      <c r="C1283" s="4" t="s">
        <v>120</v>
      </c>
      <c r="D1283" s="4">
        <v>21</v>
      </c>
      <c r="E1283" s="4" t="s">
        <v>25</v>
      </c>
      <c r="F1283" s="4">
        <f>VLOOKUP(E1283,基础属性ID!A:B,2,0)</f>
        <v>10</v>
      </c>
      <c r="G1283" s="4">
        <f>VLOOKUP(E1283,基础属性ID!$A:$E,5,0)</f>
        <v>50</v>
      </c>
      <c r="H1283" s="4">
        <v>5</v>
      </c>
      <c r="I1283" s="4">
        <f t="shared" si="303"/>
        <v>15</v>
      </c>
      <c r="J1283" s="4" t="str">
        <f t="shared" si="298"/>
        <v>10:50:5:15,</v>
      </c>
    </row>
    <row r="1284" spans="1:10">
      <c r="A1284" s="4" t="str">
        <f t="shared" si="304"/>
        <v>21级橙戒指生命吸取</v>
      </c>
      <c r="B1284" s="4" t="s">
        <v>221</v>
      </c>
      <c r="C1284" s="4" t="s">
        <v>120</v>
      </c>
      <c r="D1284" s="4">
        <v>21</v>
      </c>
      <c r="E1284" s="4" t="s">
        <v>28</v>
      </c>
      <c r="F1284" s="4">
        <f>VLOOKUP(E1284,基础属性ID!A:B,2,0)</f>
        <v>11</v>
      </c>
      <c r="G1284" s="4">
        <f>VLOOKUP(E1284,基础属性ID!$A:$E,5,0)</f>
        <v>50</v>
      </c>
      <c r="H1284" s="4">
        <v>4</v>
      </c>
      <c r="I1284" s="4">
        <f t="shared" ref="I1284:I1285" si="305">H1284*3</f>
        <v>12</v>
      </c>
      <c r="J1284" s="4" t="str">
        <f t="shared" si="298"/>
        <v>11:50:4:12,</v>
      </c>
    </row>
    <row r="1285" spans="1:10">
      <c r="A1285" s="4" t="str">
        <f t="shared" si="304"/>
        <v>21级橙戒指法力吸取</v>
      </c>
      <c r="B1285" s="4" t="s">
        <v>221</v>
      </c>
      <c r="C1285" s="4" t="s">
        <v>120</v>
      </c>
      <c r="D1285" s="4">
        <v>21</v>
      </c>
      <c r="E1285" s="4" t="s">
        <v>29</v>
      </c>
      <c r="F1285" s="4">
        <f>VLOOKUP(E1285,基础属性ID!A:B,2,0)</f>
        <v>12</v>
      </c>
      <c r="G1285" s="4">
        <f>VLOOKUP(E1285,基础属性ID!$A:$E,5,0)</f>
        <v>50</v>
      </c>
      <c r="H1285" s="4">
        <v>4</v>
      </c>
      <c r="I1285" s="4">
        <f t="shared" si="305"/>
        <v>12</v>
      </c>
      <c r="J1285" s="4" t="str">
        <f t="shared" si="298"/>
        <v>12:50:4:12,</v>
      </c>
    </row>
    <row r="1286" spans="1:10">
      <c r="A1286" s="4" t="str">
        <f t="shared" si="304"/>
        <v>21级橙戒指暴击几率</v>
      </c>
      <c r="B1286" s="4" t="s">
        <v>221</v>
      </c>
      <c r="C1286" s="4" t="s">
        <v>120</v>
      </c>
      <c r="D1286" s="4">
        <v>21</v>
      </c>
      <c r="E1286" s="4" t="s">
        <v>21</v>
      </c>
      <c r="F1286" s="4">
        <f>VLOOKUP(E1286,基础属性ID!A:B,2,0)</f>
        <v>13</v>
      </c>
      <c r="G1286" s="4">
        <f>VLOOKUP(E1286,基础属性ID!$A:$E,5,0)</f>
        <v>20</v>
      </c>
      <c r="H1286" s="4">
        <v>150</v>
      </c>
      <c r="I1286" s="4">
        <v>300</v>
      </c>
      <c r="J1286" s="4" t="str">
        <f t="shared" si="298"/>
        <v>13:20:150:300,</v>
      </c>
    </row>
    <row r="1287" spans="1:10">
      <c r="A1287" s="4" t="str">
        <f t="shared" si="304"/>
        <v>21级橙戒指爆击伤害</v>
      </c>
      <c r="B1287" s="4" t="s">
        <v>221</v>
      </c>
      <c r="C1287" s="4" t="s">
        <v>120</v>
      </c>
      <c r="D1287" s="4">
        <v>21</v>
      </c>
      <c r="E1287" s="4" t="s">
        <v>76</v>
      </c>
      <c r="F1287" s="4">
        <f>VLOOKUP(E1287,基础属性ID!A:B,2,0)</f>
        <v>14</v>
      </c>
      <c r="G1287" s="4">
        <f>VLOOKUP(E1287,基础属性ID!$A:$E,5,0)</f>
        <v>20</v>
      </c>
      <c r="H1287" s="4">
        <v>5</v>
      </c>
      <c r="I1287" s="4">
        <v>10</v>
      </c>
      <c r="J1287" s="4" t="str">
        <f t="shared" si="298"/>
        <v>14:20:5:10,</v>
      </c>
    </row>
    <row r="1288" spans="1:10">
      <c r="A1288" s="4" t="str">
        <f t="shared" si="304"/>
        <v>21级橙戒指伤害增加</v>
      </c>
      <c r="B1288" s="4" t="s">
        <v>221</v>
      </c>
      <c r="C1288" s="4" t="s">
        <v>120</v>
      </c>
      <c r="D1288" s="4">
        <v>21</v>
      </c>
      <c r="E1288" s="4" t="s">
        <v>26</v>
      </c>
      <c r="F1288" s="4">
        <f>VLOOKUP(E1288,基础属性ID!A:B,2,0)</f>
        <v>15</v>
      </c>
      <c r="G1288" s="4">
        <f>VLOOKUP(E1288,基础属性ID!$A:$E,5,0)</f>
        <v>10</v>
      </c>
      <c r="H1288" s="4">
        <v>150</v>
      </c>
      <c r="I1288" s="4">
        <v>300</v>
      </c>
      <c r="J1288" s="4" t="str">
        <f t="shared" si="298"/>
        <v>15:10:150:300,</v>
      </c>
    </row>
    <row r="1289" spans="1:10">
      <c r="A1289" s="4" t="str">
        <f t="shared" si="304"/>
        <v>21级橙戒指伤害减免</v>
      </c>
      <c r="B1289" s="4" t="s">
        <v>221</v>
      </c>
      <c r="C1289" s="4" t="s">
        <v>120</v>
      </c>
      <c r="D1289" s="4">
        <v>21</v>
      </c>
      <c r="E1289" s="4" t="s">
        <v>27</v>
      </c>
      <c r="F1289" s="4">
        <f>VLOOKUP(E1289,基础属性ID!A:B,2,0)</f>
        <v>16</v>
      </c>
      <c r="G1289" s="4">
        <f>VLOOKUP(E1289,基础属性ID!$A:$E,5,0)</f>
        <v>10</v>
      </c>
      <c r="H1289" s="4">
        <v>150</v>
      </c>
      <c r="I1289" s="4">
        <v>300</v>
      </c>
      <c r="J1289" s="4" t="str">
        <f t="shared" si="298"/>
        <v>16:10:150:300,</v>
      </c>
    </row>
    <row r="1290" spans="1:10">
      <c r="A1290" s="4" t="str">
        <f t="shared" si="304"/>
        <v>21级橙戒指装备掉率</v>
      </c>
      <c r="B1290" s="4" t="s">
        <v>221</v>
      </c>
      <c r="C1290" s="4" t="s">
        <v>120</v>
      </c>
      <c r="D1290" s="4">
        <v>21</v>
      </c>
      <c r="E1290" s="4" t="s">
        <v>30</v>
      </c>
      <c r="F1290" s="4">
        <f>VLOOKUP(E1290,基础属性ID!A:B,2,0)</f>
        <v>17</v>
      </c>
      <c r="G1290" s="4">
        <f>VLOOKUP(E1290,基础属性ID!$A:$E,5,0)</f>
        <v>60</v>
      </c>
      <c r="H1290" s="4">
        <v>4</v>
      </c>
      <c r="I1290" s="4">
        <v>12</v>
      </c>
      <c r="J1290" s="4" t="str">
        <f t="shared" si="298"/>
        <v>17:60:4:12,</v>
      </c>
    </row>
    <row r="1291" spans="1:10">
      <c r="A1291" s="4" t="str">
        <f t="shared" si="304"/>
        <v>21级橙戒指极品掉率</v>
      </c>
      <c r="B1291" s="4" t="s">
        <v>221</v>
      </c>
      <c r="C1291" s="4" t="s">
        <v>120</v>
      </c>
      <c r="D1291" s="4">
        <v>21</v>
      </c>
      <c r="E1291" s="4" t="s">
        <v>31</v>
      </c>
      <c r="F1291" s="4">
        <f>VLOOKUP(E1291,基础属性ID!A:B,2,0)</f>
        <v>18</v>
      </c>
      <c r="G1291" s="4">
        <f>VLOOKUP(E1291,基础属性ID!$A:$E,5,0)</f>
        <v>60</v>
      </c>
      <c r="H1291" s="4">
        <v>4</v>
      </c>
      <c r="I1291" s="4">
        <v>12</v>
      </c>
      <c r="J1291" s="4" t="str">
        <f t="shared" si="298"/>
        <v>18:60:4:12,</v>
      </c>
    </row>
    <row r="1292" spans="1:10">
      <c r="A1292" s="4" t="str">
        <f t="shared" si="304"/>
        <v>41级橙戒指生命值</v>
      </c>
      <c r="B1292" s="4" t="s">
        <v>221</v>
      </c>
      <c r="C1292" s="4" t="s">
        <v>120</v>
      </c>
      <c r="D1292" s="4">
        <v>41</v>
      </c>
      <c r="E1292" s="4" t="s">
        <v>74</v>
      </c>
      <c r="F1292" s="4">
        <f>VLOOKUP(E1292,基础属性ID!A:B,2,0)</f>
        <v>1</v>
      </c>
      <c r="G1292" s="4">
        <f>VLOOKUP(E1292,基础属性ID!$A:$E,5,0)</f>
        <v>100</v>
      </c>
      <c r="H1292" s="4">
        <v>25</v>
      </c>
      <c r="I1292" s="4">
        <f>H1292*3</f>
        <v>75</v>
      </c>
      <c r="J1292" s="4" t="str">
        <f t="shared" si="298"/>
        <v>1:100:25:75,</v>
      </c>
    </row>
    <row r="1293" spans="1:10">
      <c r="A1293" s="4" t="str">
        <f t="shared" si="304"/>
        <v>41级橙戒指法力值</v>
      </c>
      <c r="B1293" s="4" t="s">
        <v>221</v>
      </c>
      <c r="C1293" s="4" t="s">
        <v>120</v>
      </c>
      <c r="D1293" s="4">
        <v>41</v>
      </c>
      <c r="E1293" s="4" t="s">
        <v>75</v>
      </c>
      <c r="F1293" s="4">
        <f>VLOOKUP(E1293,基础属性ID!A:B,2,0)</f>
        <v>2</v>
      </c>
      <c r="G1293" s="4">
        <f>VLOOKUP(E1293,基础属性ID!$A:$E,5,0)</f>
        <v>100</v>
      </c>
      <c r="H1293" s="4">
        <v>14</v>
      </c>
      <c r="I1293" s="4">
        <v>28</v>
      </c>
      <c r="J1293" s="4" t="str">
        <f t="shared" si="298"/>
        <v>2:100:14:28,</v>
      </c>
    </row>
    <row r="1294" spans="1:10">
      <c r="A1294" s="4" t="str">
        <f t="shared" si="304"/>
        <v>41级橙戒指物理攻击</v>
      </c>
      <c r="B1294" s="4" t="s">
        <v>221</v>
      </c>
      <c r="C1294" s="4" t="s">
        <v>120</v>
      </c>
      <c r="D1294" s="4">
        <v>41</v>
      </c>
      <c r="E1294" s="4" t="s">
        <v>13</v>
      </c>
      <c r="F1294" s="4">
        <f>VLOOKUP(E1294,基础属性ID!A:B,2,0)</f>
        <v>3</v>
      </c>
      <c r="G1294" s="4">
        <f>VLOOKUP(E1294,基础属性ID!$A:$E,5,0)</f>
        <v>100</v>
      </c>
      <c r="H1294" s="4">
        <v>8</v>
      </c>
      <c r="I1294" s="4">
        <f t="shared" ref="I1294:I1297" si="306">H1294*3</f>
        <v>24</v>
      </c>
      <c r="J1294" s="4" t="str">
        <f t="shared" si="298"/>
        <v>3:100:8:24,</v>
      </c>
    </row>
    <row r="1295" spans="1:10">
      <c r="A1295" s="4" t="str">
        <f t="shared" si="304"/>
        <v>41级橙戒指魔法攻击</v>
      </c>
      <c r="B1295" s="4" t="s">
        <v>221</v>
      </c>
      <c r="C1295" s="4" t="s">
        <v>120</v>
      </c>
      <c r="D1295" s="4">
        <v>41</v>
      </c>
      <c r="E1295" s="4" t="s">
        <v>14</v>
      </c>
      <c r="F1295" s="4">
        <f>VLOOKUP(E1295,基础属性ID!A:B,2,0)</f>
        <v>4</v>
      </c>
      <c r="G1295" s="4">
        <f>VLOOKUP(E1295,基础属性ID!$A:$E,5,0)</f>
        <v>100</v>
      </c>
      <c r="H1295" s="4">
        <v>8</v>
      </c>
      <c r="I1295" s="4">
        <f t="shared" si="306"/>
        <v>24</v>
      </c>
      <c r="J1295" s="4" t="str">
        <f t="shared" si="298"/>
        <v>4:100:8:24,</v>
      </c>
    </row>
    <row r="1296" spans="1:10">
      <c r="A1296" s="4" t="str">
        <f t="shared" si="304"/>
        <v>41级橙戒指道术攻击</v>
      </c>
      <c r="B1296" s="4" t="s">
        <v>221</v>
      </c>
      <c r="C1296" s="4" t="s">
        <v>120</v>
      </c>
      <c r="D1296" s="4">
        <v>41</v>
      </c>
      <c r="E1296" s="4" t="s">
        <v>15</v>
      </c>
      <c r="F1296" s="4">
        <f>VLOOKUP(E1296,基础属性ID!A:B,2,0)</f>
        <v>5</v>
      </c>
      <c r="G1296" s="4">
        <f>VLOOKUP(E1296,基础属性ID!$A:$E,5,0)</f>
        <v>100</v>
      </c>
      <c r="H1296" s="4">
        <v>8</v>
      </c>
      <c r="I1296" s="4">
        <f t="shared" si="306"/>
        <v>24</v>
      </c>
      <c r="J1296" s="4" t="str">
        <f t="shared" si="298"/>
        <v>5:100:8:24,</v>
      </c>
    </row>
    <row r="1297" spans="1:10">
      <c r="A1297" s="4" t="str">
        <f t="shared" si="304"/>
        <v>41级橙戒指防御</v>
      </c>
      <c r="B1297" s="4" t="s">
        <v>221</v>
      </c>
      <c r="C1297" s="4" t="s">
        <v>120</v>
      </c>
      <c r="D1297" s="4">
        <v>41</v>
      </c>
      <c r="E1297" s="4" t="s">
        <v>17</v>
      </c>
      <c r="F1297" s="4">
        <f>VLOOKUP(E1297,基础属性ID!A:B,2,0)</f>
        <v>6</v>
      </c>
      <c r="G1297" s="4">
        <f>VLOOKUP(E1297,基础属性ID!$A:$E,5,0)</f>
        <v>100</v>
      </c>
      <c r="H1297" s="4">
        <v>8</v>
      </c>
      <c r="I1297" s="4">
        <f t="shared" si="306"/>
        <v>24</v>
      </c>
      <c r="J1297" s="4" t="str">
        <f t="shared" si="298"/>
        <v>6:100:8:24,</v>
      </c>
    </row>
    <row r="1298" spans="1:10">
      <c r="A1298" s="4" t="str">
        <f t="shared" si="304"/>
        <v>41级橙戒指攻速</v>
      </c>
      <c r="B1298" s="4" t="s">
        <v>221</v>
      </c>
      <c r="C1298" s="4" t="s">
        <v>120</v>
      </c>
      <c r="D1298" s="4">
        <v>41</v>
      </c>
      <c r="E1298" s="4" t="s">
        <v>18</v>
      </c>
      <c r="F1298" s="4">
        <f>VLOOKUP(E1298,基础属性ID!A:B,2,0)</f>
        <v>7</v>
      </c>
      <c r="G1298" s="4">
        <f>VLOOKUP(E1298,基础属性ID!$A:$E,5,0)</f>
        <v>20</v>
      </c>
      <c r="H1298" s="4">
        <v>1</v>
      </c>
      <c r="I1298" s="4">
        <v>3</v>
      </c>
      <c r="J1298" s="4" t="str">
        <f t="shared" si="298"/>
        <v>7:20:1:3,</v>
      </c>
    </row>
    <row r="1299" spans="1:10">
      <c r="A1299" s="4" t="str">
        <f t="shared" si="304"/>
        <v>41级橙戒指固定伤害</v>
      </c>
      <c r="B1299" s="4" t="s">
        <v>221</v>
      </c>
      <c r="C1299" s="4" t="s">
        <v>120</v>
      </c>
      <c r="D1299" s="4">
        <v>41</v>
      </c>
      <c r="E1299" s="4" t="s">
        <v>24</v>
      </c>
      <c r="F1299" s="4">
        <f>VLOOKUP(E1299,基础属性ID!A:B,2,0)</f>
        <v>9</v>
      </c>
      <c r="G1299" s="4">
        <f>VLOOKUP(E1299,基础属性ID!$A:$E,5,0)</f>
        <v>50</v>
      </c>
      <c r="H1299" s="4">
        <v>6</v>
      </c>
      <c r="I1299" s="4">
        <f t="shared" ref="I1299:I1300" si="307">H1299*3</f>
        <v>18</v>
      </c>
      <c r="J1299" s="4" t="str">
        <f t="shared" si="298"/>
        <v>9:50:6:18,</v>
      </c>
    </row>
    <row r="1300" spans="1:10">
      <c r="A1300" s="4" t="str">
        <f t="shared" si="304"/>
        <v>41级橙戒指固定减伤</v>
      </c>
      <c r="B1300" s="4" t="s">
        <v>221</v>
      </c>
      <c r="C1300" s="4" t="s">
        <v>120</v>
      </c>
      <c r="D1300" s="4">
        <v>41</v>
      </c>
      <c r="E1300" s="4" t="s">
        <v>25</v>
      </c>
      <c r="F1300" s="4">
        <f>VLOOKUP(E1300,基础属性ID!A:B,2,0)</f>
        <v>10</v>
      </c>
      <c r="G1300" s="4">
        <f>VLOOKUP(E1300,基础属性ID!$A:$E,5,0)</f>
        <v>50</v>
      </c>
      <c r="H1300" s="4">
        <v>6</v>
      </c>
      <c r="I1300" s="4">
        <f t="shared" si="307"/>
        <v>18</v>
      </c>
      <c r="J1300" s="4" t="str">
        <f t="shared" si="298"/>
        <v>10:50:6:18,</v>
      </c>
    </row>
    <row r="1301" spans="1:10">
      <c r="A1301" s="4" t="str">
        <f t="shared" si="304"/>
        <v>41级橙戒指生命吸取</v>
      </c>
      <c r="B1301" s="4" t="s">
        <v>221</v>
      </c>
      <c r="C1301" s="4" t="s">
        <v>120</v>
      </c>
      <c r="D1301" s="4">
        <v>41</v>
      </c>
      <c r="E1301" s="4" t="s">
        <v>28</v>
      </c>
      <c r="F1301" s="4">
        <f>VLOOKUP(E1301,基础属性ID!A:B,2,0)</f>
        <v>11</v>
      </c>
      <c r="G1301" s="4">
        <f>VLOOKUP(E1301,基础属性ID!$A:$E,5,0)</f>
        <v>50</v>
      </c>
      <c r="H1301" s="4">
        <v>6</v>
      </c>
      <c r="I1301" s="4">
        <f t="shared" ref="I1301:I1302" si="308">H1301*3</f>
        <v>18</v>
      </c>
      <c r="J1301" s="4" t="str">
        <f t="shared" si="298"/>
        <v>11:50:6:18,</v>
      </c>
    </row>
    <row r="1302" spans="1:10">
      <c r="A1302" s="4" t="str">
        <f t="shared" si="304"/>
        <v>41级橙戒指法力吸取</v>
      </c>
      <c r="B1302" s="4" t="s">
        <v>221</v>
      </c>
      <c r="C1302" s="4" t="s">
        <v>120</v>
      </c>
      <c r="D1302" s="4">
        <v>41</v>
      </c>
      <c r="E1302" s="4" t="s">
        <v>29</v>
      </c>
      <c r="F1302" s="4">
        <f>VLOOKUP(E1302,基础属性ID!A:B,2,0)</f>
        <v>12</v>
      </c>
      <c r="G1302" s="4">
        <f>VLOOKUP(E1302,基础属性ID!$A:$E,5,0)</f>
        <v>50</v>
      </c>
      <c r="H1302" s="4">
        <v>6</v>
      </c>
      <c r="I1302" s="4">
        <f t="shared" si="308"/>
        <v>18</v>
      </c>
      <c r="J1302" s="4" t="str">
        <f t="shared" si="298"/>
        <v>12:50:6:18,</v>
      </c>
    </row>
    <row r="1303" spans="1:10">
      <c r="A1303" s="4" t="str">
        <f t="shared" si="304"/>
        <v>41级橙戒指暴击几率</v>
      </c>
      <c r="B1303" s="4" t="s">
        <v>221</v>
      </c>
      <c r="C1303" s="4" t="s">
        <v>120</v>
      </c>
      <c r="D1303" s="4">
        <v>41</v>
      </c>
      <c r="E1303" s="4" t="s">
        <v>21</v>
      </c>
      <c r="F1303" s="4">
        <f>VLOOKUP(E1303,基础属性ID!A:B,2,0)</f>
        <v>13</v>
      </c>
      <c r="G1303" s="4">
        <f>VLOOKUP(E1303,基础属性ID!$A:$E,5,0)</f>
        <v>20</v>
      </c>
      <c r="H1303" s="4">
        <v>150</v>
      </c>
      <c r="I1303" s="4">
        <v>300</v>
      </c>
      <c r="J1303" s="4" t="str">
        <f t="shared" si="298"/>
        <v>13:20:150:300,</v>
      </c>
    </row>
    <row r="1304" spans="1:10">
      <c r="A1304" s="4" t="str">
        <f t="shared" si="304"/>
        <v>41级橙戒指爆击伤害</v>
      </c>
      <c r="B1304" s="4" t="s">
        <v>221</v>
      </c>
      <c r="C1304" s="4" t="s">
        <v>120</v>
      </c>
      <c r="D1304" s="4">
        <v>41</v>
      </c>
      <c r="E1304" s="4" t="s">
        <v>76</v>
      </c>
      <c r="F1304" s="4">
        <f>VLOOKUP(E1304,基础属性ID!A:B,2,0)</f>
        <v>14</v>
      </c>
      <c r="G1304" s="4">
        <f>VLOOKUP(E1304,基础属性ID!$A:$E,5,0)</f>
        <v>20</v>
      </c>
      <c r="H1304" s="4">
        <v>5</v>
      </c>
      <c r="I1304" s="4">
        <v>10</v>
      </c>
      <c r="J1304" s="4" t="str">
        <f t="shared" si="298"/>
        <v>14:20:5:10,</v>
      </c>
    </row>
    <row r="1305" spans="1:10">
      <c r="A1305" s="4" t="str">
        <f t="shared" si="304"/>
        <v>41级橙戒指伤害增加</v>
      </c>
      <c r="B1305" s="4" t="s">
        <v>221</v>
      </c>
      <c r="C1305" s="4" t="s">
        <v>120</v>
      </c>
      <c r="D1305" s="4">
        <v>41</v>
      </c>
      <c r="E1305" s="4" t="s">
        <v>26</v>
      </c>
      <c r="F1305" s="4">
        <f>VLOOKUP(E1305,基础属性ID!A:B,2,0)</f>
        <v>15</v>
      </c>
      <c r="G1305" s="4">
        <f>VLOOKUP(E1305,基础属性ID!$A:$E,5,0)</f>
        <v>10</v>
      </c>
      <c r="H1305" s="4">
        <v>150</v>
      </c>
      <c r="I1305" s="4">
        <v>300</v>
      </c>
      <c r="J1305" s="4" t="str">
        <f t="shared" si="298"/>
        <v>15:10:150:300,</v>
      </c>
    </row>
    <row r="1306" spans="1:10">
      <c r="A1306" s="4" t="str">
        <f t="shared" si="304"/>
        <v>41级橙戒指伤害减免</v>
      </c>
      <c r="B1306" s="4" t="s">
        <v>221</v>
      </c>
      <c r="C1306" s="4" t="s">
        <v>120</v>
      </c>
      <c r="D1306" s="4">
        <v>41</v>
      </c>
      <c r="E1306" s="4" t="s">
        <v>27</v>
      </c>
      <c r="F1306" s="4">
        <f>VLOOKUP(E1306,基础属性ID!A:B,2,0)</f>
        <v>16</v>
      </c>
      <c r="G1306" s="4">
        <f>VLOOKUP(E1306,基础属性ID!$A:$E,5,0)</f>
        <v>10</v>
      </c>
      <c r="H1306" s="4">
        <v>150</v>
      </c>
      <c r="I1306" s="4">
        <v>300</v>
      </c>
      <c r="J1306" s="4" t="str">
        <f t="shared" si="298"/>
        <v>16:10:150:300,</v>
      </c>
    </row>
    <row r="1307" spans="1:10">
      <c r="A1307" s="4" t="str">
        <f t="shared" si="304"/>
        <v>41级橙戒指装备掉率</v>
      </c>
      <c r="B1307" s="4" t="s">
        <v>221</v>
      </c>
      <c r="C1307" s="4" t="s">
        <v>120</v>
      </c>
      <c r="D1307" s="4">
        <v>41</v>
      </c>
      <c r="E1307" s="4" t="s">
        <v>30</v>
      </c>
      <c r="F1307" s="4">
        <f>VLOOKUP(E1307,基础属性ID!A:B,2,0)</f>
        <v>17</v>
      </c>
      <c r="G1307" s="4">
        <f>VLOOKUP(E1307,基础属性ID!$A:$E,5,0)</f>
        <v>60</v>
      </c>
      <c r="H1307" s="4">
        <v>4</v>
      </c>
      <c r="I1307" s="4">
        <v>12</v>
      </c>
      <c r="J1307" s="4" t="str">
        <f t="shared" si="298"/>
        <v>17:60:4:12,</v>
      </c>
    </row>
    <row r="1308" spans="1:10">
      <c r="A1308" s="4" t="str">
        <f t="shared" si="304"/>
        <v>41级橙戒指极品掉率</v>
      </c>
      <c r="B1308" s="4" t="s">
        <v>221</v>
      </c>
      <c r="C1308" s="4" t="s">
        <v>120</v>
      </c>
      <c r="D1308" s="4">
        <v>41</v>
      </c>
      <c r="E1308" s="4" t="s">
        <v>31</v>
      </c>
      <c r="F1308" s="4">
        <f>VLOOKUP(E1308,基础属性ID!A:B,2,0)</f>
        <v>18</v>
      </c>
      <c r="G1308" s="4">
        <f>VLOOKUP(E1308,基础属性ID!$A:$E,5,0)</f>
        <v>60</v>
      </c>
      <c r="H1308" s="4">
        <v>4</v>
      </c>
      <c r="I1308" s="4">
        <v>12</v>
      </c>
      <c r="J1308" s="4" t="str">
        <f t="shared" si="298"/>
        <v>18:60:4:12,</v>
      </c>
    </row>
    <row r="1309" spans="1:10">
      <c r="A1309" s="4" t="str">
        <f t="shared" si="304"/>
        <v>61级橙戒指生命值</v>
      </c>
      <c r="B1309" s="4" t="s">
        <v>221</v>
      </c>
      <c r="C1309" s="4" t="s">
        <v>120</v>
      </c>
      <c r="D1309" s="4">
        <v>61</v>
      </c>
      <c r="E1309" s="4" t="s">
        <v>74</v>
      </c>
      <c r="F1309" s="4">
        <f>VLOOKUP(E1309,基础属性ID!A:B,2,0)</f>
        <v>1</v>
      </c>
      <c r="G1309" s="4">
        <f>VLOOKUP(E1309,基础属性ID!$A:$E,5,0)</f>
        <v>100</v>
      </c>
      <c r="H1309" s="4">
        <v>70</v>
      </c>
      <c r="I1309" s="4">
        <f>H1309*3</f>
        <v>210</v>
      </c>
      <c r="J1309" s="4" t="str">
        <f t="shared" si="298"/>
        <v>1:100:70:210,</v>
      </c>
    </row>
    <row r="1310" spans="1:10">
      <c r="A1310" s="4" t="str">
        <f t="shared" si="304"/>
        <v>61级橙戒指法力值</v>
      </c>
      <c r="B1310" s="4" t="s">
        <v>221</v>
      </c>
      <c r="C1310" s="4" t="s">
        <v>120</v>
      </c>
      <c r="D1310" s="4">
        <v>61</v>
      </c>
      <c r="E1310" s="4" t="s">
        <v>75</v>
      </c>
      <c r="F1310" s="4">
        <f>VLOOKUP(E1310,基础属性ID!A:B,2,0)</f>
        <v>2</v>
      </c>
      <c r="G1310" s="4">
        <f>VLOOKUP(E1310,基础属性ID!$A:$E,5,0)</f>
        <v>100</v>
      </c>
      <c r="H1310" s="4">
        <v>16</v>
      </c>
      <c r="I1310" s="4">
        <v>32</v>
      </c>
      <c r="J1310" s="4" t="str">
        <f t="shared" si="298"/>
        <v>2:100:16:32,</v>
      </c>
    </row>
    <row r="1311" spans="1:10">
      <c r="A1311" s="4" t="str">
        <f t="shared" si="304"/>
        <v>61级橙戒指物理攻击</v>
      </c>
      <c r="B1311" s="4" t="s">
        <v>221</v>
      </c>
      <c r="C1311" s="4" t="s">
        <v>120</v>
      </c>
      <c r="D1311" s="4">
        <v>61</v>
      </c>
      <c r="E1311" s="4" t="s">
        <v>13</v>
      </c>
      <c r="F1311" s="4">
        <f>VLOOKUP(E1311,基础属性ID!A:B,2,0)</f>
        <v>3</v>
      </c>
      <c r="G1311" s="4">
        <f>VLOOKUP(E1311,基础属性ID!$A:$E,5,0)</f>
        <v>100</v>
      </c>
      <c r="H1311" s="4">
        <v>12</v>
      </c>
      <c r="I1311" s="4">
        <f t="shared" ref="I1311:I1314" si="309">H1311*3</f>
        <v>36</v>
      </c>
      <c r="J1311" s="4" t="str">
        <f t="shared" ref="J1311:J1373" si="310">F1311&amp;":"&amp;G1311&amp;":"&amp;H1311&amp;":"&amp;I1311&amp;","</f>
        <v>3:100:12:36,</v>
      </c>
    </row>
    <row r="1312" spans="1:10">
      <c r="A1312" s="4" t="str">
        <f t="shared" si="304"/>
        <v>61级橙戒指魔法攻击</v>
      </c>
      <c r="B1312" s="4" t="s">
        <v>221</v>
      </c>
      <c r="C1312" s="4" t="s">
        <v>120</v>
      </c>
      <c r="D1312" s="4">
        <v>61</v>
      </c>
      <c r="E1312" s="4" t="s">
        <v>14</v>
      </c>
      <c r="F1312" s="4">
        <f>VLOOKUP(E1312,基础属性ID!A:B,2,0)</f>
        <v>4</v>
      </c>
      <c r="G1312" s="4">
        <f>VLOOKUP(E1312,基础属性ID!$A:$E,5,0)</f>
        <v>100</v>
      </c>
      <c r="H1312" s="4">
        <v>12</v>
      </c>
      <c r="I1312" s="4">
        <f t="shared" si="309"/>
        <v>36</v>
      </c>
      <c r="J1312" s="4" t="str">
        <f t="shared" si="310"/>
        <v>4:100:12:36,</v>
      </c>
    </row>
    <row r="1313" spans="1:10">
      <c r="A1313" s="4" t="str">
        <f t="shared" si="304"/>
        <v>61级橙戒指道术攻击</v>
      </c>
      <c r="B1313" s="4" t="s">
        <v>221</v>
      </c>
      <c r="C1313" s="4" t="s">
        <v>120</v>
      </c>
      <c r="D1313" s="4">
        <v>61</v>
      </c>
      <c r="E1313" s="4" t="s">
        <v>15</v>
      </c>
      <c r="F1313" s="4">
        <f>VLOOKUP(E1313,基础属性ID!A:B,2,0)</f>
        <v>5</v>
      </c>
      <c r="G1313" s="4">
        <f>VLOOKUP(E1313,基础属性ID!$A:$E,5,0)</f>
        <v>100</v>
      </c>
      <c r="H1313" s="4">
        <v>12</v>
      </c>
      <c r="I1313" s="4">
        <f t="shared" si="309"/>
        <v>36</v>
      </c>
      <c r="J1313" s="4" t="str">
        <f t="shared" si="310"/>
        <v>5:100:12:36,</v>
      </c>
    </row>
    <row r="1314" spans="1:10">
      <c r="A1314" s="4" t="str">
        <f t="shared" si="304"/>
        <v>61级橙戒指防御</v>
      </c>
      <c r="B1314" s="4" t="s">
        <v>221</v>
      </c>
      <c r="C1314" s="4" t="s">
        <v>120</v>
      </c>
      <c r="D1314" s="4">
        <v>61</v>
      </c>
      <c r="E1314" s="4" t="s">
        <v>17</v>
      </c>
      <c r="F1314" s="4">
        <f>VLOOKUP(E1314,基础属性ID!A:B,2,0)</f>
        <v>6</v>
      </c>
      <c r="G1314" s="4">
        <f>VLOOKUP(E1314,基础属性ID!$A:$E,5,0)</f>
        <v>100</v>
      </c>
      <c r="H1314" s="4">
        <v>12</v>
      </c>
      <c r="I1314" s="4">
        <f t="shared" si="309"/>
        <v>36</v>
      </c>
      <c r="J1314" s="4" t="str">
        <f t="shared" si="310"/>
        <v>6:100:12:36,</v>
      </c>
    </row>
    <row r="1315" spans="1:10">
      <c r="A1315" s="4" t="str">
        <f t="shared" si="304"/>
        <v>61级橙戒指攻速</v>
      </c>
      <c r="B1315" s="4" t="s">
        <v>221</v>
      </c>
      <c r="C1315" s="4" t="s">
        <v>120</v>
      </c>
      <c r="D1315" s="4">
        <v>61</v>
      </c>
      <c r="E1315" s="4" t="s">
        <v>18</v>
      </c>
      <c r="F1315" s="4">
        <f>VLOOKUP(E1315,基础属性ID!A:B,2,0)</f>
        <v>7</v>
      </c>
      <c r="G1315" s="4">
        <f>VLOOKUP(E1315,基础属性ID!$A:$E,5,0)</f>
        <v>20</v>
      </c>
      <c r="H1315" s="4">
        <v>1</v>
      </c>
      <c r="I1315" s="4">
        <v>3</v>
      </c>
      <c r="J1315" s="4" t="str">
        <f t="shared" si="310"/>
        <v>7:20:1:3,</v>
      </c>
    </row>
    <row r="1316" spans="1:10">
      <c r="A1316" s="4" t="str">
        <f t="shared" si="304"/>
        <v>61级橙戒指固定伤害</v>
      </c>
      <c r="B1316" s="4" t="s">
        <v>221</v>
      </c>
      <c r="C1316" s="4" t="s">
        <v>120</v>
      </c>
      <c r="D1316" s="4">
        <v>61</v>
      </c>
      <c r="E1316" s="4" t="s">
        <v>24</v>
      </c>
      <c r="F1316" s="4">
        <f>VLOOKUP(E1316,基础属性ID!A:B,2,0)</f>
        <v>9</v>
      </c>
      <c r="G1316" s="4">
        <f>VLOOKUP(E1316,基础属性ID!$A:$E,5,0)</f>
        <v>50</v>
      </c>
      <c r="H1316" s="4">
        <v>7</v>
      </c>
      <c r="I1316" s="4">
        <f t="shared" ref="I1316:I1317" si="311">H1316*3</f>
        <v>21</v>
      </c>
      <c r="J1316" s="4" t="str">
        <f t="shared" si="310"/>
        <v>9:50:7:21,</v>
      </c>
    </row>
    <row r="1317" spans="1:10">
      <c r="A1317" s="4" t="str">
        <f t="shared" si="304"/>
        <v>61级橙戒指固定减伤</v>
      </c>
      <c r="B1317" s="4" t="s">
        <v>221</v>
      </c>
      <c r="C1317" s="4" t="s">
        <v>120</v>
      </c>
      <c r="D1317" s="4">
        <v>61</v>
      </c>
      <c r="E1317" s="4" t="s">
        <v>25</v>
      </c>
      <c r="F1317" s="4">
        <f>VLOOKUP(E1317,基础属性ID!A:B,2,0)</f>
        <v>10</v>
      </c>
      <c r="G1317" s="4">
        <f>VLOOKUP(E1317,基础属性ID!$A:$E,5,0)</f>
        <v>50</v>
      </c>
      <c r="H1317" s="4">
        <v>7</v>
      </c>
      <c r="I1317" s="4">
        <f t="shared" si="311"/>
        <v>21</v>
      </c>
      <c r="J1317" s="4" t="str">
        <f t="shared" si="310"/>
        <v>10:50:7:21,</v>
      </c>
    </row>
    <row r="1318" spans="1:10">
      <c r="A1318" s="4" t="str">
        <f t="shared" si="304"/>
        <v>61级橙戒指生命吸取</v>
      </c>
      <c r="B1318" s="4" t="s">
        <v>221</v>
      </c>
      <c r="C1318" s="4" t="s">
        <v>120</v>
      </c>
      <c r="D1318" s="4">
        <v>61</v>
      </c>
      <c r="E1318" s="4" t="s">
        <v>28</v>
      </c>
      <c r="F1318" s="4">
        <f>VLOOKUP(E1318,基础属性ID!A:B,2,0)</f>
        <v>11</v>
      </c>
      <c r="G1318" s="4">
        <f>VLOOKUP(E1318,基础属性ID!$A:$E,5,0)</f>
        <v>50</v>
      </c>
      <c r="H1318" s="4">
        <v>8</v>
      </c>
      <c r="I1318" s="4">
        <f t="shared" ref="I1318:I1319" si="312">H1318*3</f>
        <v>24</v>
      </c>
      <c r="J1318" s="4" t="str">
        <f t="shared" si="310"/>
        <v>11:50:8:24,</v>
      </c>
    </row>
    <row r="1319" spans="1:10">
      <c r="A1319" s="4" t="str">
        <f t="shared" si="304"/>
        <v>61级橙戒指法力吸取</v>
      </c>
      <c r="B1319" s="4" t="s">
        <v>221</v>
      </c>
      <c r="C1319" s="4" t="s">
        <v>120</v>
      </c>
      <c r="D1319" s="4">
        <v>61</v>
      </c>
      <c r="E1319" s="4" t="s">
        <v>29</v>
      </c>
      <c r="F1319" s="4">
        <f>VLOOKUP(E1319,基础属性ID!A:B,2,0)</f>
        <v>12</v>
      </c>
      <c r="G1319" s="4">
        <f>VLOOKUP(E1319,基础属性ID!$A:$E,5,0)</f>
        <v>50</v>
      </c>
      <c r="H1319" s="4">
        <v>8</v>
      </c>
      <c r="I1319" s="4">
        <f t="shared" si="312"/>
        <v>24</v>
      </c>
      <c r="J1319" s="4" t="str">
        <f t="shared" si="310"/>
        <v>12:50:8:24,</v>
      </c>
    </row>
    <row r="1320" spans="1:10">
      <c r="A1320" s="4" t="str">
        <f t="shared" si="304"/>
        <v>61级橙戒指暴击几率</v>
      </c>
      <c r="B1320" s="4" t="s">
        <v>221</v>
      </c>
      <c r="C1320" s="4" t="s">
        <v>120</v>
      </c>
      <c r="D1320" s="4">
        <v>61</v>
      </c>
      <c r="E1320" s="4" t="s">
        <v>21</v>
      </c>
      <c r="F1320" s="4">
        <f>VLOOKUP(E1320,基础属性ID!A:B,2,0)</f>
        <v>13</v>
      </c>
      <c r="G1320" s="4">
        <f>VLOOKUP(E1320,基础属性ID!$A:$E,5,0)</f>
        <v>20</v>
      </c>
      <c r="H1320" s="4">
        <v>150</v>
      </c>
      <c r="I1320" s="4">
        <v>300</v>
      </c>
      <c r="J1320" s="4" t="str">
        <f t="shared" si="310"/>
        <v>13:20:150:300,</v>
      </c>
    </row>
    <row r="1321" spans="1:10">
      <c r="A1321" s="4" t="str">
        <f t="shared" si="304"/>
        <v>61级橙戒指爆击伤害</v>
      </c>
      <c r="B1321" s="4" t="s">
        <v>221</v>
      </c>
      <c r="C1321" s="4" t="s">
        <v>120</v>
      </c>
      <c r="D1321" s="4">
        <v>61</v>
      </c>
      <c r="E1321" s="4" t="s">
        <v>76</v>
      </c>
      <c r="F1321" s="4">
        <f>VLOOKUP(E1321,基础属性ID!A:B,2,0)</f>
        <v>14</v>
      </c>
      <c r="G1321" s="4">
        <f>VLOOKUP(E1321,基础属性ID!$A:$E,5,0)</f>
        <v>20</v>
      </c>
      <c r="H1321" s="4">
        <v>5</v>
      </c>
      <c r="I1321" s="4">
        <v>10</v>
      </c>
      <c r="J1321" s="4" t="str">
        <f t="shared" si="310"/>
        <v>14:20:5:10,</v>
      </c>
    </row>
    <row r="1322" spans="1:10">
      <c r="A1322" s="4" t="str">
        <f t="shared" si="304"/>
        <v>61级橙戒指伤害增加</v>
      </c>
      <c r="B1322" s="4" t="s">
        <v>221</v>
      </c>
      <c r="C1322" s="4" t="s">
        <v>120</v>
      </c>
      <c r="D1322" s="4">
        <v>61</v>
      </c>
      <c r="E1322" s="4" t="s">
        <v>26</v>
      </c>
      <c r="F1322" s="4">
        <f>VLOOKUP(E1322,基础属性ID!A:B,2,0)</f>
        <v>15</v>
      </c>
      <c r="G1322" s="4">
        <f>VLOOKUP(E1322,基础属性ID!$A:$E,5,0)</f>
        <v>10</v>
      </c>
      <c r="H1322" s="4">
        <v>150</v>
      </c>
      <c r="I1322" s="4">
        <v>300</v>
      </c>
      <c r="J1322" s="4" t="str">
        <f t="shared" si="310"/>
        <v>15:10:150:300,</v>
      </c>
    </row>
    <row r="1323" spans="1:10">
      <c r="A1323" s="4" t="str">
        <f t="shared" si="304"/>
        <v>61级橙戒指伤害减免</v>
      </c>
      <c r="B1323" s="4" t="s">
        <v>221</v>
      </c>
      <c r="C1323" s="4" t="s">
        <v>120</v>
      </c>
      <c r="D1323" s="4">
        <v>61</v>
      </c>
      <c r="E1323" s="4" t="s">
        <v>27</v>
      </c>
      <c r="F1323" s="4">
        <f>VLOOKUP(E1323,基础属性ID!A:B,2,0)</f>
        <v>16</v>
      </c>
      <c r="G1323" s="4">
        <f>VLOOKUP(E1323,基础属性ID!$A:$E,5,0)</f>
        <v>10</v>
      </c>
      <c r="H1323" s="4">
        <v>150</v>
      </c>
      <c r="I1323" s="4">
        <v>300</v>
      </c>
      <c r="J1323" s="4" t="str">
        <f t="shared" si="310"/>
        <v>16:10:150:300,</v>
      </c>
    </row>
    <row r="1324" spans="1:10">
      <c r="A1324" s="4" t="str">
        <f t="shared" si="304"/>
        <v>61级橙戒指装备掉率</v>
      </c>
      <c r="B1324" s="4" t="s">
        <v>221</v>
      </c>
      <c r="C1324" s="4" t="s">
        <v>120</v>
      </c>
      <c r="D1324" s="4">
        <v>61</v>
      </c>
      <c r="E1324" s="4" t="s">
        <v>30</v>
      </c>
      <c r="F1324" s="4">
        <f>VLOOKUP(E1324,基础属性ID!A:B,2,0)</f>
        <v>17</v>
      </c>
      <c r="G1324" s="4">
        <f>VLOOKUP(E1324,基础属性ID!$A:$E,5,0)</f>
        <v>60</v>
      </c>
      <c r="H1324" s="4">
        <v>4</v>
      </c>
      <c r="I1324" s="4">
        <v>12</v>
      </c>
      <c r="J1324" s="4" t="str">
        <f t="shared" si="310"/>
        <v>17:60:4:12,</v>
      </c>
    </row>
    <row r="1325" spans="1:10">
      <c r="A1325" s="4" t="str">
        <f t="shared" si="304"/>
        <v>61级橙戒指极品掉率</v>
      </c>
      <c r="B1325" s="4" t="s">
        <v>221</v>
      </c>
      <c r="C1325" s="4" t="s">
        <v>120</v>
      </c>
      <c r="D1325" s="4">
        <v>61</v>
      </c>
      <c r="E1325" s="4" t="s">
        <v>31</v>
      </c>
      <c r="F1325" s="4">
        <f>VLOOKUP(E1325,基础属性ID!A:B,2,0)</f>
        <v>18</v>
      </c>
      <c r="G1325" s="4">
        <f>VLOOKUP(E1325,基础属性ID!$A:$E,5,0)</f>
        <v>60</v>
      </c>
      <c r="H1325" s="4">
        <v>4</v>
      </c>
      <c r="I1325" s="4">
        <v>12</v>
      </c>
      <c r="J1325" s="4" t="str">
        <f t="shared" si="310"/>
        <v>18:60:4:12,</v>
      </c>
    </row>
    <row r="1326" spans="1:10">
      <c r="A1326" s="4" t="str">
        <f t="shared" si="304"/>
        <v>1级红武器生命值</v>
      </c>
      <c r="B1326" s="4" t="s">
        <v>198</v>
      </c>
      <c r="C1326" s="4" t="s">
        <v>121</v>
      </c>
      <c r="D1326" s="4">
        <v>1</v>
      </c>
      <c r="E1326" s="4" t="s">
        <v>74</v>
      </c>
      <c r="F1326" s="4">
        <f>VLOOKUP(E1326,基础属性ID!A:B,2,0)</f>
        <v>1</v>
      </c>
      <c r="G1326" s="4">
        <f>VLOOKUP(E1326,基础属性ID!$A:$E,5,0)</f>
        <v>100</v>
      </c>
      <c r="H1326" s="4">
        <v>15</v>
      </c>
      <c r="I1326" s="4">
        <f>H1326*3</f>
        <v>45</v>
      </c>
      <c r="J1326" s="4" t="str">
        <f t="shared" si="310"/>
        <v>1:100:15:45,</v>
      </c>
    </row>
    <row r="1327" spans="1:10">
      <c r="A1327" s="4" t="str">
        <f t="shared" si="304"/>
        <v>1级红武器法力值</v>
      </c>
      <c r="B1327" s="4" t="s">
        <v>198</v>
      </c>
      <c r="C1327" s="4" t="s">
        <v>121</v>
      </c>
      <c r="D1327" s="4">
        <v>1</v>
      </c>
      <c r="E1327" s="4" t="s">
        <v>75</v>
      </c>
      <c r="F1327" s="4">
        <f>VLOOKUP(E1327,基础属性ID!A:B,2,0)</f>
        <v>2</v>
      </c>
      <c r="G1327" s="4">
        <f>VLOOKUP(E1327,基础属性ID!$A:$E,5,0)</f>
        <v>100</v>
      </c>
      <c r="H1327" s="4">
        <v>15</v>
      </c>
      <c r="I1327" s="4">
        <v>30</v>
      </c>
      <c r="J1327" s="4" t="str">
        <f t="shared" si="310"/>
        <v>2:100:15:30,</v>
      </c>
    </row>
    <row r="1328" spans="1:10">
      <c r="A1328" s="4" t="str">
        <f t="shared" si="304"/>
        <v>1级红武器物理攻击</v>
      </c>
      <c r="B1328" s="4" t="s">
        <v>198</v>
      </c>
      <c r="C1328" s="4" t="s">
        <v>121</v>
      </c>
      <c r="D1328" s="4">
        <v>1</v>
      </c>
      <c r="E1328" s="4" t="s">
        <v>13</v>
      </c>
      <c r="F1328" s="4">
        <f>VLOOKUP(E1328,基础属性ID!A:B,2,0)</f>
        <v>3</v>
      </c>
      <c r="G1328" s="4">
        <f>VLOOKUP(E1328,基础属性ID!$A:$E,5,0)</f>
        <v>100</v>
      </c>
      <c r="H1328" s="4">
        <v>5</v>
      </c>
      <c r="I1328" s="4">
        <f t="shared" ref="I1328:I1333" si="313">H1328*3</f>
        <v>15</v>
      </c>
      <c r="J1328" s="4" t="str">
        <f t="shared" si="310"/>
        <v>3:100:5:15,</v>
      </c>
    </row>
    <row r="1329" spans="1:10">
      <c r="A1329" s="4" t="str">
        <f t="shared" si="304"/>
        <v>1级红武器魔法攻击</v>
      </c>
      <c r="B1329" s="4" t="s">
        <v>198</v>
      </c>
      <c r="C1329" s="4" t="s">
        <v>121</v>
      </c>
      <c r="D1329" s="4">
        <v>1</v>
      </c>
      <c r="E1329" s="4" t="s">
        <v>14</v>
      </c>
      <c r="F1329" s="4">
        <f>VLOOKUP(E1329,基础属性ID!A:B,2,0)</f>
        <v>4</v>
      </c>
      <c r="G1329" s="4">
        <f>VLOOKUP(E1329,基础属性ID!$A:$E,5,0)</f>
        <v>100</v>
      </c>
      <c r="H1329" s="4">
        <v>5</v>
      </c>
      <c r="I1329" s="4">
        <f t="shared" si="313"/>
        <v>15</v>
      </c>
      <c r="J1329" s="4" t="str">
        <f t="shared" si="310"/>
        <v>4:100:5:15,</v>
      </c>
    </row>
    <row r="1330" spans="1:10">
      <c r="A1330" s="4" t="str">
        <f t="shared" si="304"/>
        <v>1级红武器道术攻击</v>
      </c>
      <c r="B1330" s="4" t="s">
        <v>198</v>
      </c>
      <c r="C1330" s="4" t="s">
        <v>121</v>
      </c>
      <c r="D1330" s="4">
        <v>1</v>
      </c>
      <c r="E1330" s="4" t="s">
        <v>15</v>
      </c>
      <c r="F1330" s="4">
        <f>VLOOKUP(E1330,基础属性ID!A:B,2,0)</f>
        <v>5</v>
      </c>
      <c r="G1330" s="4">
        <f>VLOOKUP(E1330,基础属性ID!$A:$E,5,0)</f>
        <v>100</v>
      </c>
      <c r="H1330" s="4">
        <v>5</v>
      </c>
      <c r="I1330" s="4">
        <f t="shared" si="313"/>
        <v>15</v>
      </c>
      <c r="J1330" s="4" t="str">
        <f t="shared" si="310"/>
        <v>5:100:5:15,</v>
      </c>
    </row>
    <row r="1331" spans="1:10">
      <c r="A1331" s="4" t="str">
        <f t="shared" si="304"/>
        <v>1级红武器防御</v>
      </c>
      <c r="B1331" s="4" t="s">
        <v>198</v>
      </c>
      <c r="C1331" s="4" t="s">
        <v>121</v>
      </c>
      <c r="D1331" s="4">
        <v>1</v>
      </c>
      <c r="E1331" s="4" t="s">
        <v>17</v>
      </c>
      <c r="F1331" s="4">
        <f>VLOOKUP(E1331,基础属性ID!A:B,2,0)</f>
        <v>6</v>
      </c>
      <c r="G1331" s="4">
        <f>VLOOKUP(E1331,基础属性ID!$A:$E,5,0)</f>
        <v>100</v>
      </c>
      <c r="H1331" s="4">
        <v>5</v>
      </c>
      <c r="I1331" s="4">
        <f t="shared" si="313"/>
        <v>15</v>
      </c>
      <c r="J1331" s="4" t="str">
        <f t="shared" si="310"/>
        <v>6:100:5:15,</v>
      </c>
    </row>
    <row r="1332" spans="1:10">
      <c r="A1332" s="4" t="str">
        <f t="shared" si="304"/>
        <v>1级红武器固定伤害</v>
      </c>
      <c r="B1332" s="4" t="s">
        <v>198</v>
      </c>
      <c r="C1332" s="4" t="s">
        <v>121</v>
      </c>
      <c r="D1332" s="4">
        <v>1</v>
      </c>
      <c r="E1332" s="4" t="s">
        <v>24</v>
      </c>
      <c r="F1332" s="4">
        <f>VLOOKUP(E1332,基础属性ID!A:B,2,0)</f>
        <v>9</v>
      </c>
      <c r="G1332" s="4">
        <f>VLOOKUP(E1332,基础属性ID!$A:$E,5,0)</f>
        <v>50</v>
      </c>
      <c r="H1332" s="4">
        <v>5</v>
      </c>
      <c r="I1332" s="4">
        <f t="shared" si="313"/>
        <v>15</v>
      </c>
      <c r="J1332" s="4" t="str">
        <f t="shared" si="310"/>
        <v>9:50:5:15,</v>
      </c>
    </row>
    <row r="1333" spans="1:10">
      <c r="A1333" s="4" t="str">
        <f t="shared" si="304"/>
        <v>1级红武器固定减伤</v>
      </c>
      <c r="B1333" s="4" t="s">
        <v>198</v>
      </c>
      <c r="C1333" s="4" t="s">
        <v>121</v>
      </c>
      <c r="D1333" s="4">
        <v>1</v>
      </c>
      <c r="E1333" s="4" t="s">
        <v>25</v>
      </c>
      <c r="F1333" s="4">
        <f>VLOOKUP(E1333,基础属性ID!A:B,2,0)</f>
        <v>10</v>
      </c>
      <c r="G1333" s="4">
        <f>VLOOKUP(E1333,基础属性ID!$A:$E,5,0)</f>
        <v>50</v>
      </c>
      <c r="H1333" s="4">
        <v>5</v>
      </c>
      <c r="I1333" s="4">
        <f t="shared" si="313"/>
        <v>15</v>
      </c>
      <c r="J1333" s="4" t="str">
        <f t="shared" si="310"/>
        <v>10:50:5:15,</v>
      </c>
    </row>
    <row r="1334" spans="1:10">
      <c r="A1334" s="4" t="str">
        <f t="shared" si="304"/>
        <v>1级红武器生命吸取</v>
      </c>
      <c r="B1334" s="4" t="s">
        <v>198</v>
      </c>
      <c r="C1334" s="4" t="s">
        <v>121</v>
      </c>
      <c r="D1334" s="4">
        <v>1</v>
      </c>
      <c r="E1334" s="4" t="s">
        <v>28</v>
      </c>
      <c r="F1334" s="4">
        <f>VLOOKUP(E1334,基础属性ID!A:B,2,0)</f>
        <v>11</v>
      </c>
      <c r="G1334" s="4">
        <f>VLOOKUP(E1334,基础属性ID!$A:$E,5,0)</f>
        <v>50</v>
      </c>
      <c r="H1334" s="4">
        <v>4</v>
      </c>
      <c r="I1334" s="4">
        <f t="shared" ref="I1334:I1335" si="314">H1334*3</f>
        <v>12</v>
      </c>
      <c r="J1334" s="4" t="str">
        <f t="shared" si="310"/>
        <v>11:50:4:12,</v>
      </c>
    </row>
    <row r="1335" spans="1:10">
      <c r="A1335" s="4" t="str">
        <f t="shared" si="304"/>
        <v>1级红武器法力吸取</v>
      </c>
      <c r="B1335" s="4" t="s">
        <v>198</v>
      </c>
      <c r="C1335" s="4" t="s">
        <v>121</v>
      </c>
      <c r="D1335" s="4">
        <v>1</v>
      </c>
      <c r="E1335" s="4" t="s">
        <v>29</v>
      </c>
      <c r="F1335" s="4">
        <f>VLOOKUP(E1335,基础属性ID!A:B,2,0)</f>
        <v>12</v>
      </c>
      <c r="G1335" s="4">
        <f>VLOOKUP(E1335,基础属性ID!$A:$E,5,0)</f>
        <v>50</v>
      </c>
      <c r="H1335" s="4">
        <v>4</v>
      </c>
      <c r="I1335" s="4">
        <f t="shared" si="314"/>
        <v>12</v>
      </c>
      <c r="J1335" s="4" t="str">
        <f t="shared" si="310"/>
        <v>12:50:4:12,</v>
      </c>
    </row>
    <row r="1336" spans="1:10">
      <c r="A1336" s="4" t="str">
        <f t="shared" si="304"/>
        <v>1级红武器暴击几率</v>
      </c>
      <c r="B1336" s="4" t="s">
        <v>198</v>
      </c>
      <c r="C1336" s="4" t="s">
        <v>121</v>
      </c>
      <c r="D1336" s="4">
        <v>1</v>
      </c>
      <c r="E1336" s="4" t="s">
        <v>21</v>
      </c>
      <c r="F1336" s="4">
        <f>VLOOKUP(E1336,基础属性ID!A:B,2,0)</f>
        <v>13</v>
      </c>
      <c r="G1336" s="4">
        <f>VLOOKUP(E1336,基础属性ID!$A:$E,5,0)</f>
        <v>20</v>
      </c>
      <c r="H1336" s="4">
        <v>300</v>
      </c>
      <c r="I1336" s="4">
        <v>500</v>
      </c>
      <c r="J1336" s="4" t="str">
        <f t="shared" si="310"/>
        <v>13:20:300:500,</v>
      </c>
    </row>
    <row r="1337" spans="1:10">
      <c r="A1337" s="4" t="str">
        <f t="shared" si="304"/>
        <v>1级红武器爆击伤害</v>
      </c>
      <c r="B1337" s="4" t="s">
        <v>198</v>
      </c>
      <c r="C1337" s="4" t="s">
        <v>121</v>
      </c>
      <c r="D1337" s="4">
        <v>1</v>
      </c>
      <c r="E1337" s="4" t="s">
        <v>76</v>
      </c>
      <c r="F1337" s="4">
        <f>VLOOKUP(E1337,基础属性ID!A:B,2,0)</f>
        <v>14</v>
      </c>
      <c r="G1337" s="4">
        <f>VLOOKUP(E1337,基础属性ID!$A:$E,5,0)</f>
        <v>20</v>
      </c>
      <c r="H1337" s="4">
        <v>10</v>
      </c>
      <c r="I1337" s="4">
        <v>20</v>
      </c>
      <c r="J1337" s="4" t="str">
        <f t="shared" si="310"/>
        <v>14:20:10:20,</v>
      </c>
    </row>
    <row r="1338" spans="1:10">
      <c r="A1338" s="4" t="str">
        <f t="shared" si="304"/>
        <v>1级红武器装备掉率</v>
      </c>
      <c r="B1338" s="4" t="s">
        <v>198</v>
      </c>
      <c r="C1338" s="4" t="s">
        <v>121</v>
      </c>
      <c r="D1338" s="4">
        <v>1</v>
      </c>
      <c r="E1338" s="4" t="s">
        <v>30</v>
      </c>
      <c r="F1338" s="4">
        <f>VLOOKUP(E1338,基础属性ID!A:B,2,0)</f>
        <v>17</v>
      </c>
      <c r="G1338" s="4">
        <f>VLOOKUP(E1338,基础属性ID!$A:$E,5,0)</f>
        <v>60</v>
      </c>
      <c r="H1338" s="4">
        <v>5</v>
      </c>
      <c r="I1338" s="4">
        <v>15</v>
      </c>
      <c r="J1338" s="4" t="str">
        <f t="shared" si="310"/>
        <v>17:60:5:15,</v>
      </c>
    </row>
    <row r="1339" spans="1:10">
      <c r="A1339" s="4" t="str">
        <f t="shared" si="304"/>
        <v>1级红武器极品掉率</v>
      </c>
      <c r="B1339" s="4" t="s">
        <v>198</v>
      </c>
      <c r="C1339" s="4" t="s">
        <v>121</v>
      </c>
      <c r="D1339" s="4">
        <v>1</v>
      </c>
      <c r="E1339" s="4" t="s">
        <v>31</v>
      </c>
      <c r="F1339" s="4">
        <f>VLOOKUP(E1339,基础属性ID!A:B,2,0)</f>
        <v>18</v>
      </c>
      <c r="G1339" s="4">
        <f>VLOOKUP(E1339,基础属性ID!$A:$E,5,0)</f>
        <v>60</v>
      </c>
      <c r="H1339" s="4">
        <v>5</v>
      </c>
      <c r="I1339" s="4">
        <v>15</v>
      </c>
      <c r="J1339" s="4" t="str">
        <f t="shared" si="310"/>
        <v>18:60:5:15,</v>
      </c>
    </row>
    <row r="1340" spans="1:10">
      <c r="A1340" s="4" t="str">
        <f t="shared" si="304"/>
        <v>1级红护甲生命值</v>
      </c>
      <c r="B1340" s="4" t="s">
        <v>203</v>
      </c>
      <c r="C1340" s="4" t="s">
        <v>121</v>
      </c>
      <c r="D1340" s="4">
        <v>1</v>
      </c>
      <c r="E1340" s="4" t="s">
        <v>74</v>
      </c>
      <c r="F1340" s="4">
        <f>VLOOKUP(E1340,基础属性ID!A:B,2,0)</f>
        <v>1</v>
      </c>
      <c r="G1340" s="4">
        <f>VLOOKUP(E1340,基础属性ID!$A:$E,5,0)</f>
        <v>100</v>
      </c>
      <c r="H1340" s="4">
        <v>15</v>
      </c>
      <c r="I1340" s="4">
        <f>H1340*3</f>
        <v>45</v>
      </c>
      <c r="J1340" s="4" t="str">
        <f t="shared" si="310"/>
        <v>1:100:15:45,</v>
      </c>
    </row>
    <row r="1341" spans="1:10">
      <c r="A1341" s="4" t="str">
        <f t="shared" si="304"/>
        <v>1级红护甲法力值</v>
      </c>
      <c r="B1341" s="4" t="s">
        <v>203</v>
      </c>
      <c r="C1341" s="4" t="s">
        <v>121</v>
      </c>
      <c r="D1341" s="4">
        <v>1</v>
      </c>
      <c r="E1341" s="4" t="s">
        <v>75</v>
      </c>
      <c r="F1341" s="4">
        <f>VLOOKUP(E1341,基础属性ID!A:B,2,0)</f>
        <v>2</v>
      </c>
      <c r="G1341" s="4">
        <f>VLOOKUP(E1341,基础属性ID!$A:$E,5,0)</f>
        <v>100</v>
      </c>
      <c r="H1341" s="4">
        <v>15</v>
      </c>
      <c r="I1341" s="4">
        <v>30</v>
      </c>
      <c r="J1341" s="4" t="str">
        <f t="shared" si="310"/>
        <v>2:100:15:30,</v>
      </c>
    </row>
    <row r="1342" spans="1:10">
      <c r="A1342" s="4" t="str">
        <f t="shared" si="304"/>
        <v>1级红护甲物理攻击</v>
      </c>
      <c r="B1342" s="4" t="s">
        <v>203</v>
      </c>
      <c r="C1342" s="4" t="s">
        <v>121</v>
      </c>
      <c r="D1342" s="4">
        <v>1</v>
      </c>
      <c r="E1342" s="4" t="s">
        <v>13</v>
      </c>
      <c r="F1342" s="4">
        <f>VLOOKUP(E1342,基础属性ID!A:B,2,0)</f>
        <v>3</v>
      </c>
      <c r="G1342" s="4">
        <f>VLOOKUP(E1342,基础属性ID!$A:$E,5,0)</f>
        <v>100</v>
      </c>
      <c r="H1342" s="4">
        <v>5</v>
      </c>
      <c r="I1342" s="4">
        <f t="shared" ref="I1342:I1347" si="315">H1342*3</f>
        <v>15</v>
      </c>
      <c r="J1342" s="4" t="str">
        <f t="shared" si="310"/>
        <v>3:100:5:15,</v>
      </c>
    </row>
    <row r="1343" spans="1:10">
      <c r="A1343" s="4" t="str">
        <f t="shared" si="304"/>
        <v>1级红护甲魔法攻击</v>
      </c>
      <c r="B1343" s="4" t="s">
        <v>203</v>
      </c>
      <c r="C1343" s="4" t="s">
        <v>121</v>
      </c>
      <c r="D1343" s="4">
        <v>1</v>
      </c>
      <c r="E1343" s="4" t="s">
        <v>14</v>
      </c>
      <c r="F1343" s="4">
        <f>VLOOKUP(E1343,基础属性ID!A:B,2,0)</f>
        <v>4</v>
      </c>
      <c r="G1343" s="4">
        <f>VLOOKUP(E1343,基础属性ID!$A:$E,5,0)</f>
        <v>100</v>
      </c>
      <c r="H1343" s="4">
        <v>5</v>
      </c>
      <c r="I1343" s="4">
        <f t="shared" si="315"/>
        <v>15</v>
      </c>
      <c r="J1343" s="4" t="str">
        <f t="shared" si="310"/>
        <v>4:100:5:15,</v>
      </c>
    </row>
    <row r="1344" spans="1:10">
      <c r="A1344" s="4" t="str">
        <f t="shared" si="304"/>
        <v>1级红护甲道术攻击</v>
      </c>
      <c r="B1344" s="4" t="s">
        <v>203</v>
      </c>
      <c r="C1344" s="4" t="s">
        <v>121</v>
      </c>
      <c r="D1344" s="4">
        <v>1</v>
      </c>
      <c r="E1344" s="4" t="s">
        <v>15</v>
      </c>
      <c r="F1344" s="4">
        <f>VLOOKUP(E1344,基础属性ID!A:B,2,0)</f>
        <v>5</v>
      </c>
      <c r="G1344" s="4">
        <f>VLOOKUP(E1344,基础属性ID!$A:$E,5,0)</f>
        <v>100</v>
      </c>
      <c r="H1344" s="4">
        <v>5</v>
      </c>
      <c r="I1344" s="4">
        <f t="shared" si="315"/>
        <v>15</v>
      </c>
      <c r="J1344" s="4" t="str">
        <f t="shared" si="310"/>
        <v>5:100:5:15,</v>
      </c>
    </row>
    <row r="1345" spans="1:10">
      <c r="A1345" s="4" t="str">
        <f t="shared" si="304"/>
        <v>1级红护甲防御</v>
      </c>
      <c r="B1345" s="4" t="s">
        <v>203</v>
      </c>
      <c r="C1345" s="4" t="s">
        <v>121</v>
      </c>
      <c r="D1345" s="4">
        <v>1</v>
      </c>
      <c r="E1345" s="4" t="s">
        <v>17</v>
      </c>
      <c r="F1345" s="4">
        <f>VLOOKUP(E1345,基础属性ID!A:B,2,0)</f>
        <v>6</v>
      </c>
      <c r="G1345" s="4">
        <f>VLOOKUP(E1345,基础属性ID!$A:$E,5,0)</f>
        <v>100</v>
      </c>
      <c r="H1345" s="4">
        <v>5</v>
      </c>
      <c r="I1345" s="4">
        <f t="shared" si="315"/>
        <v>15</v>
      </c>
      <c r="J1345" s="4" t="str">
        <f t="shared" si="310"/>
        <v>6:100:5:15,</v>
      </c>
    </row>
    <row r="1346" spans="1:10">
      <c r="A1346" s="4" t="str">
        <f t="shared" si="304"/>
        <v>1级红护甲固定伤害</v>
      </c>
      <c r="B1346" s="4" t="s">
        <v>203</v>
      </c>
      <c r="C1346" s="4" t="s">
        <v>121</v>
      </c>
      <c r="D1346" s="4">
        <v>1</v>
      </c>
      <c r="E1346" s="4" t="s">
        <v>24</v>
      </c>
      <c r="F1346" s="4">
        <f>VLOOKUP(E1346,基础属性ID!A:B,2,0)</f>
        <v>9</v>
      </c>
      <c r="G1346" s="4">
        <f>VLOOKUP(E1346,基础属性ID!$A:$E,5,0)</f>
        <v>50</v>
      </c>
      <c r="H1346" s="4">
        <v>5</v>
      </c>
      <c r="I1346" s="4">
        <f t="shared" si="315"/>
        <v>15</v>
      </c>
      <c r="J1346" s="4" t="str">
        <f t="shared" si="310"/>
        <v>9:50:5:15,</v>
      </c>
    </row>
    <row r="1347" spans="1:10">
      <c r="A1347" s="4" t="str">
        <f t="shared" ref="A1347:A1410" si="316">D1347&amp;"级"&amp;C1347&amp;B1347&amp;E1347</f>
        <v>1级红护甲固定减伤</v>
      </c>
      <c r="B1347" s="4" t="s">
        <v>203</v>
      </c>
      <c r="C1347" s="4" t="s">
        <v>121</v>
      </c>
      <c r="D1347" s="4">
        <v>1</v>
      </c>
      <c r="E1347" s="4" t="s">
        <v>25</v>
      </c>
      <c r="F1347" s="4">
        <f>VLOOKUP(E1347,基础属性ID!A:B,2,0)</f>
        <v>10</v>
      </c>
      <c r="G1347" s="4">
        <f>VLOOKUP(E1347,基础属性ID!$A:$E,5,0)</f>
        <v>50</v>
      </c>
      <c r="H1347" s="4">
        <v>5</v>
      </c>
      <c r="I1347" s="4">
        <f t="shared" si="315"/>
        <v>15</v>
      </c>
      <c r="J1347" s="4" t="str">
        <f t="shared" si="310"/>
        <v>10:50:5:15,</v>
      </c>
    </row>
    <row r="1348" spans="1:10">
      <c r="A1348" s="4" t="str">
        <f t="shared" si="316"/>
        <v>1级红护甲生命吸取</v>
      </c>
      <c r="B1348" s="4" t="s">
        <v>203</v>
      </c>
      <c r="C1348" s="4" t="s">
        <v>121</v>
      </c>
      <c r="D1348" s="4">
        <v>1</v>
      </c>
      <c r="E1348" s="4" t="s">
        <v>28</v>
      </c>
      <c r="F1348" s="4">
        <f>VLOOKUP(E1348,基础属性ID!A:B,2,0)</f>
        <v>11</v>
      </c>
      <c r="G1348" s="4">
        <f>VLOOKUP(E1348,基础属性ID!$A:$E,5,0)</f>
        <v>50</v>
      </c>
      <c r="H1348" s="4">
        <v>4</v>
      </c>
      <c r="I1348" s="4">
        <f t="shared" ref="I1348:I1349" si="317">H1348*3</f>
        <v>12</v>
      </c>
      <c r="J1348" s="4" t="str">
        <f t="shared" si="310"/>
        <v>11:50:4:12,</v>
      </c>
    </row>
    <row r="1349" spans="1:10">
      <c r="A1349" s="4" t="str">
        <f t="shared" si="316"/>
        <v>1级红护甲法力吸取</v>
      </c>
      <c r="B1349" s="4" t="s">
        <v>203</v>
      </c>
      <c r="C1349" s="4" t="s">
        <v>121</v>
      </c>
      <c r="D1349" s="4">
        <v>1</v>
      </c>
      <c r="E1349" s="4" t="s">
        <v>29</v>
      </c>
      <c r="F1349" s="4">
        <f>VLOOKUP(E1349,基础属性ID!A:B,2,0)</f>
        <v>12</v>
      </c>
      <c r="G1349" s="4">
        <f>VLOOKUP(E1349,基础属性ID!$A:$E,5,0)</f>
        <v>50</v>
      </c>
      <c r="H1349" s="4">
        <v>4</v>
      </c>
      <c r="I1349" s="4">
        <f t="shared" si="317"/>
        <v>12</v>
      </c>
      <c r="J1349" s="4" t="str">
        <f t="shared" si="310"/>
        <v>12:50:4:12,</v>
      </c>
    </row>
    <row r="1350" spans="1:10">
      <c r="A1350" s="4" t="str">
        <f t="shared" si="316"/>
        <v>1级红护甲暴击几率</v>
      </c>
      <c r="B1350" s="4" t="s">
        <v>203</v>
      </c>
      <c r="C1350" s="4" t="s">
        <v>121</v>
      </c>
      <c r="D1350" s="4">
        <v>1</v>
      </c>
      <c r="E1350" s="4" t="s">
        <v>21</v>
      </c>
      <c r="F1350" s="4">
        <f>VLOOKUP(E1350,基础属性ID!A:B,2,0)</f>
        <v>13</v>
      </c>
      <c r="G1350" s="4">
        <f>VLOOKUP(E1350,基础属性ID!$A:$E,5,0)</f>
        <v>20</v>
      </c>
      <c r="H1350" s="4">
        <v>300</v>
      </c>
      <c r="I1350" s="4">
        <v>500</v>
      </c>
      <c r="J1350" s="4" t="str">
        <f t="shared" si="310"/>
        <v>13:20:300:500,</v>
      </c>
    </row>
    <row r="1351" spans="1:10">
      <c r="A1351" s="4" t="str">
        <f t="shared" si="316"/>
        <v>1级红护甲爆击伤害</v>
      </c>
      <c r="B1351" s="4" t="s">
        <v>203</v>
      </c>
      <c r="C1351" s="4" t="s">
        <v>121</v>
      </c>
      <c r="D1351" s="4">
        <v>1</v>
      </c>
      <c r="E1351" s="4" t="s">
        <v>76</v>
      </c>
      <c r="F1351" s="4">
        <f>VLOOKUP(E1351,基础属性ID!A:B,2,0)</f>
        <v>14</v>
      </c>
      <c r="G1351" s="4">
        <f>VLOOKUP(E1351,基础属性ID!$A:$E,5,0)</f>
        <v>20</v>
      </c>
      <c r="H1351" s="4">
        <v>10</v>
      </c>
      <c r="I1351" s="4">
        <v>20</v>
      </c>
      <c r="J1351" s="4" t="str">
        <f t="shared" si="310"/>
        <v>14:20:10:20,</v>
      </c>
    </row>
    <row r="1352" spans="1:10">
      <c r="A1352" s="4" t="str">
        <f t="shared" si="316"/>
        <v>1级红护甲装备掉率</v>
      </c>
      <c r="B1352" s="4" t="s">
        <v>203</v>
      </c>
      <c r="C1352" s="4" t="s">
        <v>121</v>
      </c>
      <c r="D1352" s="4">
        <v>1</v>
      </c>
      <c r="E1352" s="4" t="s">
        <v>30</v>
      </c>
      <c r="F1352" s="4">
        <f>VLOOKUP(E1352,基础属性ID!A:B,2,0)</f>
        <v>17</v>
      </c>
      <c r="G1352" s="4">
        <f>VLOOKUP(E1352,基础属性ID!$A:$E,5,0)</f>
        <v>60</v>
      </c>
      <c r="H1352" s="4">
        <v>5</v>
      </c>
      <c r="I1352" s="4">
        <v>15</v>
      </c>
      <c r="J1352" s="4" t="str">
        <f t="shared" si="310"/>
        <v>17:60:5:15,</v>
      </c>
    </row>
    <row r="1353" spans="1:10">
      <c r="A1353" s="4" t="str">
        <f t="shared" si="316"/>
        <v>1级红护甲极品掉率</v>
      </c>
      <c r="B1353" s="4" t="s">
        <v>203</v>
      </c>
      <c r="C1353" s="4" t="s">
        <v>121</v>
      </c>
      <c r="D1353" s="4">
        <v>1</v>
      </c>
      <c r="E1353" s="4" t="s">
        <v>31</v>
      </c>
      <c r="F1353" s="4">
        <f>VLOOKUP(E1353,基础属性ID!A:B,2,0)</f>
        <v>18</v>
      </c>
      <c r="G1353" s="4">
        <f>VLOOKUP(E1353,基础属性ID!$A:$E,5,0)</f>
        <v>60</v>
      </c>
      <c r="H1353" s="4">
        <v>5</v>
      </c>
      <c r="I1353" s="4">
        <v>15</v>
      </c>
      <c r="J1353" s="4" t="str">
        <f t="shared" si="310"/>
        <v>18:60:5:15,</v>
      </c>
    </row>
    <row r="1354" spans="1:10">
      <c r="A1354" s="4" t="str">
        <f t="shared" si="316"/>
        <v>1级红项链生命值</v>
      </c>
      <c r="B1354" s="4" t="s">
        <v>215</v>
      </c>
      <c r="C1354" s="4" t="s">
        <v>121</v>
      </c>
      <c r="D1354" s="4">
        <v>1</v>
      </c>
      <c r="E1354" s="4" t="s">
        <v>74</v>
      </c>
      <c r="F1354" s="4">
        <f>VLOOKUP(E1354,基础属性ID!A:B,2,0)</f>
        <v>1</v>
      </c>
      <c r="G1354" s="4">
        <f>VLOOKUP(E1354,基础属性ID!$A:$E,5,0)</f>
        <v>100</v>
      </c>
      <c r="H1354" s="4">
        <v>15</v>
      </c>
      <c r="I1354" s="4">
        <f>H1354*3</f>
        <v>45</v>
      </c>
      <c r="J1354" s="4" t="str">
        <f t="shared" si="310"/>
        <v>1:100:15:45,</v>
      </c>
    </row>
    <row r="1355" spans="1:10">
      <c r="A1355" s="4" t="str">
        <f t="shared" si="316"/>
        <v>1级红项链法力值</v>
      </c>
      <c r="B1355" s="4" t="s">
        <v>215</v>
      </c>
      <c r="C1355" s="4" t="s">
        <v>121</v>
      </c>
      <c r="D1355" s="4">
        <v>1</v>
      </c>
      <c r="E1355" s="4" t="s">
        <v>75</v>
      </c>
      <c r="F1355" s="4">
        <f>VLOOKUP(E1355,基础属性ID!A:B,2,0)</f>
        <v>2</v>
      </c>
      <c r="G1355" s="4">
        <f>VLOOKUP(E1355,基础属性ID!$A:$E,5,0)</f>
        <v>100</v>
      </c>
      <c r="H1355" s="4">
        <v>15</v>
      </c>
      <c r="I1355" s="4">
        <v>30</v>
      </c>
      <c r="J1355" s="4" t="str">
        <f t="shared" si="310"/>
        <v>2:100:15:30,</v>
      </c>
    </row>
    <row r="1356" spans="1:10">
      <c r="A1356" s="4" t="str">
        <f t="shared" si="316"/>
        <v>1级红项链物理攻击</v>
      </c>
      <c r="B1356" s="4" t="s">
        <v>215</v>
      </c>
      <c r="C1356" s="4" t="s">
        <v>121</v>
      </c>
      <c r="D1356" s="4">
        <v>1</v>
      </c>
      <c r="E1356" s="4" t="s">
        <v>13</v>
      </c>
      <c r="F1356" s="4">
        <f>VLOOKUP(E1356,基础属性ID!A:B,2,0)</f>
        <v>3</v>
      </c>
      <c r="G1356" s="4">
        <f>VLOOKUP(E1356,基础属性ID!$A:$E,5,0)</f>
        <v>100</v>
      </c>
      <c r="H1356" s="4">
        <v>5</v>
      </c>
      <c r="I1356" s="4">
        <f t="shared" ref="I1356:I1361" si="318">H1356*3</f>
        <v>15</v>
      </c>
      <c r="J1356" s="4" t="str">
        <f t="shared" si="310"/>
        <v>3:100:5:15,</v>
      </c>
    </row>
    <row r="1357" spans="1:10">
      <c r="A1357" s="4" t="str">
        <f t="shared" si="316"/>
        <v>1级红项链魔法攻击</v>
      </c>
      <c r="B1357" s="4" t="s">
        <v>215</v>
      </c>
      <c r="C1357" s="4" t="s">
        <v>121</v>
      </c>
      <c r="D1357" s="4">
        <v>1</v>
      </c>
      <c r="E1357" s="4" t="s">
        <v>14</v>
      </c>
      <c r="F1357" s="4">
        <f>VLOOKUP(E1357,基础属性ID!A:B,2,0)</f>
        <v>4</v>
      </c>
      <c r="G1357" s="4">
        <f>VLOOKUP(E1357,基础属性ID!$A:$E,5,0)</f>
        <v>100</v>
      </c>
      <c r="H1357" s="4">
        <v>5</v>
      </c>
      <c r="I1357" s="4">
        <f t="shared" si="318"/>
        <v>15</v>
      </c>
      <c r="J1357" s="4" t="str">
        <f t="shared" si="310"/>
        <v>4:100:5:15,</v>
      </c>
    </row>
    <row r="1358" spans="1:10">
      <c r="A1358" s="4" t="str">
        <f t="shared" si="316"/>
        <v>1级红项链道术攻击</v>
      </c>
      <c r="B1358" s="4" t="s">
        <v>215</v>
      </c>
      <c r="C1358" s="4" t="s">
        <v>121</v>
      </c>
      <c r="D1358" s="4">
        <v>1</v>
      </c>
      <c r="E1358" s="4" t="s">
        <v>15</v>
      </c>
      <c r="F1358" s="4">
        <f>VLOOKUP(E1358,基础属性ID!A:B,2,0)</f>
        <v>5</v>
      </c>
      <c r="G1358" s="4">
        <f>VLOOKUP(E1358,基础属性ID!$A:$E,5,0)</f>
        <v>100</v>
      </c>
      <c r="H1358" s="4">
        <v>5</v>
      </c>
      <c r="I1358" s="4">
        <f t="shared" si="318"/>
        <v>15</v>
      </c>
      <c r="J1358" s="4" t="str">
        <f t="shared" si="310"/>
        <v>5:100:5:15,</v>
      </c>
    </row>
    <row r="1359" spans="1:10">
      <c r="A1359" s="4" t="str">
        <f t="shared" si="316"/>
        <v>1级红项链防御</v>
      </c>
      <c r="B1359" s="4" t="s">
        <v>215</v>
      </c>
      <c r="C1359" s="4" t="s">
        <v>121</v>
      </c>
      <c r="D1359" s="4">
        <v>1</v>
      </c>
      <c r="E1359" s="4" t="s">
        <v>17</v>
      </c>
      <c r="F1359" s="4">
        <f>VLOOKUP(E1359,基础属性ID!A:B,2,0)</f>
        <v>6</v>
      </c>
      <c r="G1359" s="4">
        <f>VLOOKUP(E1359,基础属性ID!$A:$E,5,0)</f>
        <v>100</v>
      </c>
      <c r="H1359" s="4">
        <v>5</v>
      </c>
      <c r="I1359" s="4">
        <f t="shared" si="318"/>
        <v>15</v>
      </c>
      <c r="J1359" s="4" t="str">
        <f t="shared" si="310"/>
        <v>6:100:5:15,</v>
      </c>
    </row>
    <row r="1360" spans="1:10">
      <c r="A1360" s="4" t="str">
        <f t="shared" si="316"/>
        <v>1级红项链固定伤害</v>
      </c>
      <c r="B1360" s="4" t="s">
        <v>215</v>
      </c>
      <c r="C1360" s="4" t="s">
        <v>121</v>
      </c>
      <c r="D1360" s="4">
        <v>1</v>
      </c>
      <c r="E1360" s="4" t="s">
        <v>24</v>
      </c>
      <c r="F1360" s="4">
        <f>VLOOKUP(E1360,基础属性ID!A:B,2,0)</f>
        <v>9</v>
      </c>
      <c r="G1360" s="4">
        <f>VLOOKUP(E1360,基础属性ID!$A:$E,5,0)</f>
        <v>50</v>
      </c>
      <c r="H1360" s="4">
        <v>5</v>
      </c>
      <c r="I1360" s="4">
        <f t="shared" si="318"/>
        <v>15</v>
      </c>
      <c r="J1360" s="4" t="str">
        <f t="shared" si="310"/>
        <v>9:50:5:15,</v>
      </c>
    </row>
    <row r="1361" spans="1:10">
      <c r="A1361" s="4" t="str">
        <f t="shared" si="316"/>
        <v>1级红项链固定减伤</v>
      </c>
      <c r="B1361" s="4" t="s">
        <v>215</v>
      </c>
      <c r="C1361" s="4" t="s">
        <v>121</v>
      </c>
      <c r="D1361" s="4">
        <v>1</v>
      </c>
      <c r="E1361" s="4" t="s">
        <v>25</v>
      </c>
      <c r="F1361" s="4">
        <f>VLOOKUP(E1361,基础属性ID!A:B,2,0)</f>
        <v>10</v>
      </c>
      <c r="G1361" s="4">
        <f>VLOOKUP(E1361,基础属性ID!$A:$E,5,0)</f>
        <v>50</v>
      </c>
      <c r="H1361" s="4">
        <v>5</v>
      </c>
      <c r="I1361" s="4">
        <f t="shared" si="318"/>
        <v>15</v>
      </c>
      <c r="J1361" s="4" t="str">
        <f t="shared" si="310"/>
        <v>10:50:5:15,</v>
      </c>
    </row>
    <row r="1362" spans="1:10">
      <c r="A1362" s="4" t="str">
        <f t="shared" si="316"/>
        <v>1级红项链生命吸取</v>
      </c>
      <c r="B1362" s="4" t="s">
        <v>215</v>
      </c>
      <c r="C1362" s="4" t="s">
        <v>121</v>
      </c>
      <c r="D1362" s="4">
        <v>1</v>
      </c>
      <c r="E1362" s="4" t="s">
        <v>28</v>
      </c>
      <c r="F1362" s="4">
        <f>VLOOKUP(E1362,基础属性ID!A:B,2,0)</f>
        <v>11</v>
      </c>
      <c r="G1362" s="4">
        <f>VLOOKUP(E1362,基础属性ID!$A:$E,5,0)</f>
        <v>50</v>
      </c>
      <c r="H1362" s="4">
        <v>4</v>
      </c>
      <c r="I1362" s="4">
        <f t="shared" ref="I1362:I1363" si="319">H1362*3</f>
        <v>12</v>
      </c>
      <c r="J1362" s="4" t="str">
        <f t="shared" si="310"/>
        <v>11:50:4:12,</v>
      </c>
    </row>
    <row r="1363" spans="1:10">
      <c r="A1363" s="4" t="str">
        <f t="shared" si="316"/>
        <v>1级红项链法力吸取</v>
      </c>
      <c r="B1363" s="4" t="s">
        <v>215</v>
      </c>
      <c r="C1363" s="4" t="s">
        <v>121</v>
      </c>
      <c r="D1363" s="4">
        <v>1</v>
      </c>
      <c r="E1363" s="4" t="s">
        <v>29</v>
      </c>
      <c r="F1363" s="4">
        <f>VLOOKUP(E1363,基础属性ID!A:B,2,0)</f>
        <v>12</v>
      </c>
      <c r="G1363" s="4">
        <f>VLOOKUP(E1363,基础属性ID!$A:$E,5,0)</f>
        <v>50</v>
      </c>
      <c r="H1363" s="4">
        <v>4</v>
      </c>
      <c r="I1363" s="4">
        <f t="shared" si="319"/>
        <v>12</v>
      </c>
      <c r="J1363" s="4" t="str">
        <f t="shared" si="310"/>
        <v>12:50:4:12,</v>
      </c>
    </row>
    <row r="1364" spans="1:10">
      <c r="A1364" s="4" t="str">
        <f t="shared" si="316"/>
        <v>1级红项链暴击几率</v>
      </c>
      <c r="B1364" s="4" t="s">
        <v>215</v>
      </c>
      <c r="C1364" s="4" t="s">
        <v>121</v>
      </c>
      <c r="D1364" s="4">
        <v>1</v>
      </c>
      <c r="E1364" s="4" t="s">
        <v>21</v>
      </c>
      <c r="F1364" s="4">
        <f>VLOOKUP(E1364,基础属性ID!A:B,2,0)</f>
        <v>13</v>
      </c>
      <c r="G1364" s="4">
        <f>VLOOKUP(E1364,基础属性ID!$A:$E,5,0)</f>
        <v>20</v>
      </c>
      <c r="H1364" s="4">
        <v>300</v>
      </c>
      <c r="I1364" s="4">
        <v>500</v>
      </c>
      <c r="J1364" s="4" t="str">
        <f t="shared" si="310"/>
        <v>13:20:300:500,</v>
      </c>
    </row>
    <row r="1365" spans="1:10">
      <c r="A1365" s="4" t="str">
        <f t="shared" si="316"/>
        <v>1级红项链爆击伤害</v>
      </c>
      <c r="B1365" s="4" t="s">
        <v>215</v>
      </c>
      <c r="C1365" s="4" t="s">
        <v>121</v>
      </c>
      <c r="D1365" s="4">
        <v>1</v>
      </c>
      <c r="E1365" s="4" t="s">
        <v>76</v>
      </c>
      <c r="F1365" s="4">
        <f>VLOOKUP(E1365,基础属性ID!A:B,2,0)</f>
        <v>14</v>
      </c>
      <c r="G1365" s="4">
        <f>VLOOKUP(E1365,基础属性ID!$A:$E,5,0)</f>
        <v>20</v>
      </c>
      <c r="H1365" s="4">
        <v>10</v>
      </c>
      <c r="I1365" s="4">
        <v>20</v>
      </c>
      <c r="J1365" s="4" t="str">
        <f t="shared" si="310"/>
        <v>14:20:10:20,</v>
      </c>
    </row>
    <row r="1366" spans="1:10">
      <c r="A1366" s="4" t="str">
        <f t="shared" si="316"/>
        <v>1级红项链装备掉率</v>
      </c>
      <c r="B1366" s="4" t="s">
        <v>215</v>
      </c>
      <c r="C1366" s="4" t="s">
        <v>121</v>
      </c>
      <c r="D1366" s="4">
        <v>1</v>
      </c>
      <c r="E1366" s="4" t="s">
        <v>30</v>
      </c>
      <c r="F1366" s="4">
        <f>VLOOKUP(E1366,基础属性ID!A:B,2,0)</f>
        <v>17</v>
      </c>
      <c r="G1366" s="4">
        <f>VLOOKUP(E1366,基础属性ID!$A:$E,5,0)</f>
        <v>60</v>
      </c>
      <c r="H1366" s="4">
        <v>5</v>
      </c>
      <c r="I1366" s="4">
        <v>15</v>
      </c>
      <c r="J1366" s="4" t="str">
        <f t="shared" si="310"/>
        <v>17:60:5:15,</v>
      </c>
    </row>
    <row r="1367" spans="1:10">
      <c r="A1367" s="4" t="str">
        <f t="shared" si="316"/>
        <v>1级红项链极品掉率</v>
      </c>
      <c r="B1367" s="4" t="s">
        <v>215</v>
      </c>
      <c r="C1367" s="4" t="s">
        <v>121</v>
      </c>
      <c r="D1367" s="4">
        <v>1</v>
      </c>
      <c r="E1367" s="4" t="s">
        <v>31</v>
      </c>
      <c r="F1367" s="4">
        <f>VLOOKUP(E1367,基础属性ID!A:B,2,0)</f>
        <v>18</v>
      </c>
      <c r="G1367" s="4">
        <f>VLOOKUP(E1367,基础属性ID!$A:$E,5,0)</f>
        <v>60</v>
      </c>
      <c r="H1367" s="4">
        <v>5</v>
      </c>
      <c r="I1367" s="4">
        <v>15</v>
      </c>
      <c r="J1367" s="4" t="str">
        <f t="shared" si="310"/>
        <v>18:60:5:15,</v>
      </c>
    </row>
    <row r="1368" spans="1:10">
      <c r="A1368" s="4" t="str">
        <f t="shared" si="316"/>
        <v>1级红手镯生命值</v>
      </c>
      <c r="B1368" s="4" t="s">
        <v>218</v>
      </c>
      <c r="C1368" s="4" t="s">
        <v>121</v>
      </c>
      <c r="D1368" s="4">
        <v>1</v>
      </c>
      <c r="E1368" s="4" t="s">
        <v>74</v>
      </c>
      <c r="F1368" s="4">
        <f>VLOOKUP(E1368,基础属性ID!A:B,2,0)</f>
        <v>1</v>
      </c>
      <c r="G1368" s="4">
        <f>VLOOKUP(E1368,基础属性ID!$A:$E,5,0)</f>
        <v>100</v>
      </c>
      <c r="H1368" s="4">
        <v>15</v>
      </c>
      <c r="I1368" s="4">
        <f>H1368*3</f>
        <v>45</v>
      </c>
      <c r="J1368" s="4" t="str">
        <f t="shared" si="310"/>
        <v>1:100:15:45,</v>
      </c>
    </row>
    <row r="1369" spans="1:10">
      <c r="A1369" s="4" t="str">
        <f t="shared" si="316"/>
        <v>1级红手镯法力值</v>
      </c>
      <c r="B1369" s="4" t="s">
        <v>218</v>
      </c>
      <c r="C1369" s="4" t="s">
        <v>121</v>
      </c>
      <c r="D1369" s="4">
        <v>1</v>
      </c>
      <c r="E1369" s="4" t="s">
        <v>75</v>
      </c>
      <c r="F1369" s="4">
        <f>VLOOKUP(E1369,基础属性ID!A:B,2,0)</f>
        <v>2</v>
      </c>
      <c r="G1369" s="4">
        <f>VLOOKUP(E1369,基础属性ID!$A:$E,5,0)</f>
        <v>100</v>
      </c>
      <c r="H1369" s="4">
        <v>15</v>
      </c>
      <c r="I1369" s="4">
        <v>30</v>
      </c>
      <c r="J1369" s="4" t="str">
        <f t="shared" si="310"/>
        <v>2:100:15:30,</v>
      </c>
    </row>
    <row r="1370" spans="1:10">
      <c r="A1370" s="4" t="str">
        <f t="shared" si="316"/>
        <v>1级红手镯物理攻击</v>
      </c>
      <c r="B1370" s="4" t="s">
        <v>218</v>
      </c>
      <c r="C1370" s="4" t="s">
        <v>121</v>
      </c>
      <c r="D1370" s="4">
        <v>1</v>
      </c>
      <c r="E1370" s="4" t="s">
        <v>13</v>
      </c>
      <c r="F1370" s="4">
        <f>VLOOKUP(E1370,基础属性ID!A:B,2,0)</f>
        <v>3</v>
      </c>
      <c r="G1370" s="4">
        <f>VLOOKUP(E1370,基础属性ID!$A:$E,5,0)</f>
        <v>100</v>
      </c>
      <c r="H1370" s="4">
        <v>5</v>
      </c>
      <c r="I1370" s="4">
        <f t="shared" ref="I1370:I1375" si="320">H1370*3</f>
        <v>15</v>
      </c>
      <c r="J1370" s="4" t="str">
        <f t="shared" si="310"/>
        <v>3:100:5:15,</v>
      </c>
    </row>
    <row r="1371" spans="1:10">
      <c r="A1371" s="4" t="str">
        <f t="shared" si="316"/>
        <v>1级红手镯魔法攻击</v>
      </c>
      <c r="B1371" s="4" t="s">
        <v>218</v>
      </c>
      <c r="C1371" s="4" t="s">
        <v>121</v>
      </c>
      <c r="D1371" s="4">
        <v>1</v>
      </c>
      <c r="E1371" s="4" t="s">
        <v>14</v>
      </c>
      <c r="F1371" s="4">
        <f>VLOOKUP(E1371,基础属性ID!A:B,2,0)</f>
        <v>4</v>
      </c>
      <c r="G1371" s="4">
        <f>VLOOKUP(E1371,基础属性ID!$A:$E,5,0)</f>
        <v>100</v>
      </c>
      <c r="H1371" s="4">
        <v>5</v>
      </c>
      <c r="I1371" s="4">
        <f t="shared" si="320"/>
        <v>15</v>
      </c>
      <c r="J1371" s="4" t="str">
        <f t="shared" si="310"/>
        <v>4:100:5:15,</v>
      </c>
    </row>
    <row r="1372" spans="1:10">
      <c r="A1372" s="4" t="str">
        <f t="shared" si="316"/>
        <v>1级红手镯道术攻击</v>
      </c>
      <c r="B1372" s="4" t="s">
        <v>218</v>
      </c>
      <c r="C1372" s="4" t="s">
        <v>121</v>
      </c>
      <c r="D1372" s="4">
        <v>1</v>
      </c>
      <c r="E1372" s="4" t="s">
        <v>15</v>
      </c>
      <c r="F1372" s="4">
        <f>VLOOKUP(E1372,基础属性ID!A:B,2,0)</f>
        <v>5</v>
      </c>
      <c r="G1372" s="4">
        <f>VLOOKUP(E1372,基础属性ID!$A:$E,5,0)</f>
        <v>100</v>
      </c>
      <c r="H1372" s="4">
        <v>5</v>
      </c>
      <c r="I1372" s="4">
        <f t="shared" si="320"/>
        <v>15</v>
      </c>
      <c r="J1372" s="4" t="str">
        <f t="shared" si="310"/>
        <v>5:100:5:15,</v>
      </c>
    </row>
    <row r="1373" spans="1:10">
      <c r="A1373" s="4" t="str">
        <f t="shared" si="316"/>
        <v>1级红手镯防御</v>
      </c>
      <c r="B1373" s="4" t="s">
        <v>218</v>
      </c>
      <c r="C1373" s="4" t="s">
        <v>121</v>
      </c>
      <c r="D1373" s="4">
        <v>1</v>
      </c>
      <c r="E1373" s="4" t="s">
        <v>17</v>
      </c>
      <c r="F1373" s="4">
        <f>VLOOKUP(E1373,基础属性ID!A:B,2,0)</f>
        <v>6</v>
      </c>
      <c r="G1373" s="4">
        <f>VLOOKUP(E1373,基础属性ID!$A:$E,5,0)</f>
        <v>100</v>
      </c>
      <c r="H1373" s="4">
        <v>5</v>
      </c>
      <c r="I1373" s="4">
        <f t="shared" si="320"/>
        <v>15</v>
      </c>
      <c r="J1373" s="4" t="str">
        <f t="shared" si="310"/>
        <v>6:100:5:15,</v>
      </c>
    </row>
    <row r="1374" spans="1:10">
      <c r="A1374" s="4" t="str">
        <f t="shared" si="316"/>
        <v>1级红手镯固定伤害</v>
      </c>
      <c r="B1374" s="4" t="s">
        <v>218</v>
      </c>
      <c r="C1374" s="4" t="s">
        <v>121</v>
      </c>
      <c r="D1374" s="4">
        <v>1</v>
      </c>
      <c r="E1374" s="4" t="s">
        <v>24</v>
      </c>
      <c r="F1374" s="4">
        <f>VLOOKUP(E1374,基础属性ID!A:B,2,0)</f>
        <v>9</v>
      </c>
      <c r="G1374" s="4">
        <f>VLOOKUP(E1374,基础属性ID!$A:$E,5,0)</f>
        <v>50</v>
      </c>
      <c r="H1374" s="4">
        <v>5</v>
      </c>
      <c r="I1374" s="4">
        <f t="shared" si="320"/>
        <v>15</v>
      </c>
      <c r="J1374" s="4" t="str">
        <f t="shared" ref="J1374:J1437" si="321">F1374&amp;":"&amp;G1374&amp;":"&amp;H1374&amp;":"&amp;I1374&amp;","</f>
        <v>9:50:5:15,</v>
      </c>
    </row>
    <row r="1375" spans="1:10">
      <c r="A1375" s="4" t="str">
        <f t="shared" si="316"/>
        <v>1级红手镯固定减伤</v>
      </c>
      <c r="B1375" s="4" t="s">
        <v>218</v>
      </c>
      <c r="C1375" s="4" t="s">
        <v>121</v>
      </c>
      <c r="D1375" s="4">
        <v>1</v>
      </c>
      <c r="E1375" s="4" t="s">
        <v>25</v>
      </c>
      <c r="F1375" s="4">
        <f>VLOOKUP(E1375,基础属性ID!A:B,2,0)</f>
        <v>10</v>
      </c>
      <c r="G1375" s="4">
        <f>VLOOKUP(E1375,基础属性ID!$A:$E,5,0)</f>
        <v>50</v>
      </c>
      <c r="H1375" s="4">
        <v>5</v>
      </c>
      <c r="I1375" s="4">
        <f t="shared" si="320"/>
        <v>15</v>
      </c>
      <c r="J1375" s="4" t="str">
        <f t="shared" si="321"/>
        <v>10:50:5:15,</v>
      </c>
    </row>
    <row r="1376" spans="1:10">
      <c r="A1376" s="4" t="str">
        <f t="shared" si="316"/>
        <v>1级红手镯生命吸取</v>
      </c>
      <c r="B1376" s="4" t="s">
        <v>218</v>
      </c>
      <c r="C1376" s="4" t="s">
        <v>121</v>
      </c>
      <c r="D1376" s="4">
        <v>1</v>
      </c>
      <c r="E1376" s="4" t="s">
        <v>28</v>
      </c>
      <c r="F1376" s="4">
        <f>VLOOKUP(E1376,基础属性ID!A:B,2,0)</f>
        <v>11</v>
      </c>
      <c r="G1376" s="4">
        <f>VLOOKUP(E1376,基础属性ID!$A:$E,5,0)</f>
        <v>50</v>
      </c>
      <c r="H1376" s="4">
        <v>4</v>
      </c>
      <c r="I1376" s="4">
        <f t="shared" ref="I1376:I1377" si="322">H1376*3</f>
        <v>12</v>
      </c>
      <c r="J1376" s="4" t="str">
        <f t="shared" si="321"/>
        <v>11:50:4:12,</v>
      </c>
    </row>
    <row r="1377" spans="1:10">
      <c r="A1377" s="4" t="str">
        <f t="shared" si="316"/>
        <v>1级红手镯法力吸取</v>
      </c>
      <c r="B1377" s="4" t="s">
        <v>218</v>
      </c>
      <c r="C1377" s="4" t="s">
        <v>121</v>
      </c>
      <c r="D1377" s="4">
        <v>1</v>
      </c>
      <c r="E1377" s="4" t="s">
        <v>29</v>
      </c>
      <c r="F1377" s="4">
        <f>VLOOKUP(E1377,基础属性ID!A:B,2,0)</f>
        <v>12</v>
      </c>
      <c r="G1377" s="4">
        <f>VLOOKUP(E1377,基础属性ID!$A:$E,5,0)</f>
        <v>50</v>
      </c>
      <c r="H1377" s="4">
        <v>4</v>
      </c>
      <c r="I1377" s="4">
        <f t="shared" si="322"/>
        <v>12</v>
      </c>
      <c r="J1377" s="4" t="str">
        <f t="shared" si="321"/>
        <v>12:50:4:12,</v>
      </c>
    </row>
    <row r="1378" spans="1:10">
      <c r="A1378" s="4" t="str">
        <f t="shared" si="316"/>
        <v>1级红手镯暴击几率</v>
      </c>
      <c r="B1378" s="4" t="s">
        <v>218</v>
      </c>
      <c r="C1378" s="4" t="s">
        <v>121</v>
      </c>
      <c r="D1378" s="4">
        <v>1</v>
      </c>
      <c r="E1378" s="4" t="s">
        <v>21</v>
      </c>
      <c r="F1378" s="4">
        <f>VLOOKUP(E1378,基础属性ID!A:B,2,0)</f>
        <v>13</v>
      </c>
      <c r="G1378" s="4">
        <f>VLOOKUP(E1378,基础属性ID!$A:$E,5,0)</f>
        <v>20</v>
      </c>
      <c r="H1378" s="4">
        <v>300</v>
      </c>
      <c r="I1378" s="4">
        <v>500</v>
      </c>
      <c r="J1378" s="4" t="str">
        <f t="shared" si="321"/>
        <v>13:20:300:500,</v>
      </c>
    </row>
    <row r="1379" spans="1:10">
      <c r="A1379" s="4" t="str">
        <f t="shared" si="316"/>
        <v>1级红手镯爆击伤害</v>
      </c>
      <c r="B1379" s="4" t="s">
        <v>218</v>
      </c>
      <c r="C1379" s="4" t="s">
        <v>121</v>
      </c>
      <c r="D1379" s="4">
        <v>1</v>
      </c>
      <c r="E1379" s="4" t="s">
        <v>76</v>
      </c>
      <c r="F1379" s="4">
        <f>VLOOKUP(E1379,基础属性ID!A:B,2,0)</f>
        <v>14</v>
      </c>
      <c r="G1379" s="4">
        <f>VLOOKUP(E1379,基础属性ID!$A:$E,5,0)</f>
        <v>20</v>
      </c>
      <c r="H1379" s="4">
        <v>10</v>
      </c>
      <c r="I1379" s="4">
        <v>20</v>
      </c>
      <c r="J1379" s="4" t="str">
        <f t="shared" si="321"/>
        <v>14:20:10:20,</v>
      </c>
    </row>
    <row r="1380" spans="1:10">
      <c r="A1380" s="4" t="str">
        <f t="shared" si="316"/>
        <v>1级红手镯装备掉率</v>
      </c>
      <c r="B1380" s="4" t="s">
        <v>218</v>
      </c>
      <c r="C1380" s="4" t="s">
        <v>121</v>
      </c>
      <c r="D1380" s="4">
        <v>1</v>
      </c>
      <c r="E1380" s="4" t="s">
        <v>30</v>
      </c>
      <c r="F1380" s="4">
        <f>VLOOKUP(E1380,基础属性ID!A:B,2,0)</f>
        <v>17</v>
      </c>
      <c r="G1380" s="4">
        <f>VLOOKUP(E1380,基础属性ID!$A:$E,5,0)</f>
        <v>60</v>
      </c>
      <c r="H1380" s="4">
        <v>5</v>
      </c>
      <c r="I1380" s="4">
        <v>15</v>
      </c>
      <c r="J1380" s="4" t="str">
        <f t="shared" si="321"/>
        <v>17:60:5:15,</v>
      </c>
    </row>
    <row r="1381" spans="1:10">
      <c r="A1381" s="4" t="str">
        <f t="shared" si="316"/>
        <v>1级红手镯极品掉率</v>
      </c>
      <c r="B1381" s="4" t="s">
        <v>218</v>
      </c>
      <c r="C1381" s="4" t="s">
        <v>121</v>
      </c>
      <c r="D1381" s="4">
        <v>1</v>
      </c>
      <c r="E1381" s="4" t="s">
        <v>31</v>
      </c>
      <c r="F1381" s="4">
        <f>VLOOKUP(E1381,基础属性ID!A:B,2,0)</f>
        <v>18</v>
      </c>
      <c r="G1381" s="4">
        <f>VLOOKUP(E1381,基础属性ID!$A:$E,5,0)</f>
        <v>60</v>
      </c>
      <c r="H1381" s="4">
        <v>5</v>
      </c>
      <c r="I1381" s="4">
        <v>15</v>
      </c>
      <c r="J1381" s="4" t="str">
        <f t="shared" si="321"/>
        <v>18:60:5:15,</v>
      </c>
    </row>
    <row r="1382" spans="1:10">
      <c r="A1382" s="4" t="str">
        <f t="shared" si="316"/>
        <v>1级红戒指生命值</v>
      </c>
      <c r="B1382" s="4" t="s">
        <v>221</v>
      </c>
      <c r="C1382" s="4" t="s">
        <v>121</v>
      </c>
      <c r="D1382" s="4">
        <v>1</v>
      </c>
      <c r="E1382" s="4" t="s">
        <v>74</v>
      </c>
      <c r="F1382" s="4">
        <f>VLOOKUP(E1382,基础属性ID!A:B,2,0)</f>
        <v>1</v>
      </c>
      <c r="G1382" s="4">
        <f>VLOOKUP(E1382,基础属性ID!$A:$E,5,0)</f>
        <v>100</v>
      </c>
      <c r="H1382" s="4">
        <v>15</v>
      </c>
      <c r="I1382" s="4">
        <f>H1382*3</f>
        <v>45</v>
      </c>
      <c r="J1382" s="4" t="str">
        <f t="shared" si="321"/>
        <v>1:100:15:45,</v>
      </c>
    </row>
    <row r="1383" spans="1:10">
      <c r="A1383" s="4" t="str">
        <f t="shared" si="316"/>
        <v>1级红戒指法力值</v>
      </c>
      <c r="B1383" s="4" t="s">
        <v>221</v>
      </c>
      <c r="C1383" s="4" t="s">
        <v>121</v>
      </c>
      <c r="D1383" s="4">
        <v>1</v>
      </c>
      <c r="E1383" s="4" t="s">
        <v>75</v>
      </c>
      <c r="F1383" s="4">
        <f>VLOOKUP(E1383,基础属性ID!A:B,2,0)</f>
        <v>2</v>
      </c>
      <c r="G1383" s="4">
        <f>VLOOKUP(E1383,基础属性ID!$A:$E,5,0)</f>
        <v>100</v>
      </c>
      <c r="H1383" s="4">
        <v>15</v>
      </c>
      <c r="I1383" s="4">
        <v>30</v>
      </c>
      <c r="J1383" s="4" t="str">
        <f t="shared" si="321"/>
        <v>2:100:15:30,</v>
      </c>
    </row>
    <row r="1384" spans="1:10">
      <c r="A1384" s="4" t="str">
        <f t="shared" si="316"/>
        <v>1级红戒指物理攻击</v>
      </c>
      <c r="B1384" s="4" t="s">
        <v>221</v>
      </c>
      <c r="C1384" s="4" t="s">
        <v>121</v>
      </c>
      <c r="D1384" s="4">
        <v>1</v>
      </c>
      <c r="E1384" s="4" t="s">
        <v>13</v>
      </c>
      <c r="F1384" s="4">
        <f>VLOOKUP(E1384,基础属性ID!A:B,2,0)</f>
        <v>3</v>
      </c>
      <c r="G1384" s="4">
        <f>VLOOKUP(E1384,基础属性ID!$A:$E,5,0)</f>
        <v>100</v>
      </c>
      <c r="H1384" s="4">
        <v>5</v>
      </c>
      <c r="I1384" s="4">
        <f t="shared" ref="I1384:I1389" si="323">H1384*3</f>
        <v>15</v>
      </c>
      <c r="J1384" s="4" t="str">
        <f t="shared" si="321"/>
        <v>3:100:5:15,</v>
      </c>
    </row>
    <row r="1385" spans="1:10">
      <c r="A1385" s="4" t="str">
        <f t="shared" si="316"/>
        <v>1级红戒指魔法攻击</v>
      </c>
      <c r="B1385" s="4" t="s">
        <v>221</v>
      </c>
      <c r="C1385" s="4" t="s">
        <v>121</v>
      </c>
      <c r="D1385" s="4">
        <v>1</v>
      </c>
      <c r="E1385" s="4" t="s">
        <v>14</v>
      </c>
      <c r="F1385" s="4">
        <f>VLOOKUP(E1385,基础属性ID!A:B,2,0)</f>
        <v>4</v>
      </c>
      <c r="G1385" s="4">
        <f>VLOOKUP(E1385,基础属性ID!$A:$E,5,0)</f>
        <v>100</v>
      </c>
      <c r="H1385" s="4">
        <v>5</v>
      </c>
      <c r="I1385" s="4">
        <f t="shared" si="323"/>
        <v>15</v>
      </c>
      <c r="J1385" s="4" t="str">
        <f t="shared" si="321"/>
        <v>4:100:5:15,</v>
      </c>
    </row>
    <row r="1386" spans="1:10">
      <c r="A1386" s="4" t="str">
        <f t="shared" si="316"/>
        <v>1级红戒指道术攻击</v>
      </c>
      <c r="B1386" s="4" t="s">
        <v>221</v>
      </c>
      <c r="C1386" s="4" t="s">
        <v>121</v>
      </c>
      <c r="D1386" s="4">
        <v>1</v>
      </c>
      <c r="E1386" s="4" t="s">
        <v>15</v>
      </c>
      <c r="F1386" s="4">
        <f>VLOOKUP(E1386,基础属性ID!A:B,2,0)</f>
        <v>5</v>
      </c>
      <c r="G1386" s="4">
        <f>VLOOKUP(E1386,基础属性ID!$A:$E,5,0)</f>
        <v>100</v>
      </c>
      <c r="H1386" s="4">
        <v>5</v>
      </c>
      <c r="I1386" s="4">
        <f t="shared" si="323"/>
        <v>15</v>
      </c>
      <c r="J1386" s="4" t="str">
        <f t="shared" si="321"/>
        <v>5:100:5:15,</v>
      </c>
    </row>
    <row r="1387" spans="1:10">
      <c r="A1387" s="4" t="str">
        <f t="shared" si="316"/>
        <v>1级红戒指防御</v>
      </c>
      <c r="B1387" s="4" t="s">
        <v>221</v>
      </c>
      <c r="C1387" s="4" t="s">
        <v>121</v>
      </c>
      <c r="D1387" s="4">
        <v>1</v>
      </c>
      <c r="E1387" s="4" t="s">
        <v>17</v>
      </c>
      <c r="F1387" s="4">
        <f>VLOOKUP(E1387,基础属性ID!A:B,2,0)</f>
        <v>6</v>
      </c>
      <c r="G1387" s="4">
        <f>VLOOKUP(E1387,基础属性ID!$A:$E,5,0)</f>
        <v>100</v>
      </c>
      <c r="H1387" s="4">
        <v>5</v>
      </c>
      <c r="I1387" s="4">
        <f t="shared" si="323"/>
        <v>15</v>
      </c>
      <c r="J1387" s="4" t="str">
        <f t="shared" si="321"/>
        <v>6:100:5:15,</v>
      </c>
    </row>
    <row r="1388" spans="1:10">
      <c r="A1388" s="4" t="str">
        <f t="shared" si="316"/>
        <v>1级红戒指固定伤害</v>
      </c>
      <c r="B1388" s="4" t="s">
        <v>221</v>
      </c>
      <c r="C1388" s="4" t="s">
        <v>121</v>
      </c>
      <c r="D1388" s="4">
        <v>1</v>
      </c>
      <c r="E1388" s="4" t="s">
        <v>24</v>
      </c>
      <c r="F1388" s="4">
        <f>VLOOKUP(E1388,基础属性ID!A:B,2,0)</f>
        <v>9</v>
      </c>
      <c r="G1388" s="4">
        <f>VLOOKUP(E1388,基础属性ID!$A:$E,5,0)</f>
        <v>50</v>
      </c>
      <c r="H1388" s="4">
        <v>5</v>
      </c>
      <c r="I1388" s="4">
        <f t="shared" si="323"/>
        <v>15</v>
      </c>
      <c r="J1388" s="4" t="str">
        <f t="shared" si="321"/>
        <v>9:50:5:15,</v>
      </c>
    </row>
    <row r="1389" spans="1:10">
      <c r="A1389" s="4" t="str">
        <f t="shared" si="316"/>
        <v>1级红戒指固定减伤</v>
      </c>
      <c r="B1389" s="4" t="s">
        <v>221</v>
      </c>
      <c r="C1389" s="4" t="s">
        <v>121</v>
      </c>
      <c r="D1389" s="4">
        <v>1</v>
      </c>
      <c r="E1389" s="4" t="s">
        <v>25</v>
      </c>
      <c r="F1389" s="4">
        <f>VLOOKUP(E1389,基础属性ID!A:B,2,0)</f>
        <v>10</v>
      </c>
      <c r="G1389" s="4">
        <f>VLOOKUP(E1389,基础属性ID!$A:$E,5,0)</f>
        <v>50</v>
      </c>
      <c r="H1389" s="4">
        <v>5</v>
      </c>
      <c r="I1389" s="4">
        <f t="shared" si="323"/>
        <v>15</v>
      </c>
      <c r="J1389" s="4" t="str">
        <f t="shared" si="321"/>
        <v>10:50:5:15,</v>
      </c>
    </row>
    <row r="1390" spans="1:10">
      <c r="A1390" s="4" t="str">
        <f t="shared" si="316"/>
        <v>1级红戒指生命吸取</v>
      </c>
      <c r="B1390" s="4" t="s">
        <v>221</v>
      </c>
      <c r="C1390" s="4" t="s">
        <v>121</v>
      </c>
      <c r="D1390" s="4">
        <v>1</v>
      </c>
      <c r="E1390" s="4" t="s">
        <v>28</v>
      </c>
      <c r="F1390" s="4">
        <f>VLOOKUP(E1390,基础属性ID!A:B,2,0)</f>
        <v>11</v>
      </c>
      <c r="G1390" s="4">
        <f>VLOOKUP(E1390,基础属性ID!$A:$E,5,0)</f>
        <v>50</v>
      </c>
      <c r="H1390" s="4">
        <v>4</v>
      </c>
      <c r="I1390" s="4">
        <f t="shared" ref="I1390:I1391" si="324">H1390*3</f>
        <v>12</v>
      </c>
      <c r="J1390" s="4" t="str">
        <f t="shared" si="321"/>
        <v>11:50:4:12,</v>
      </c>
    </row>
    <row r="1391" spans="1:10">
      <c r="A1391" s="4" t="str">
        <f t="shared" si="316"/>
        <v>1级红戒指法力吸取</v>
      </c>
      <c r="B1391" s="4" t="s">
        <v>221</v>
      </c>
      <c r="C1391" s="4" t="s">
        <v>121</v>
      </c>
      <c r="D1391" s="4">
        <v>1</v>
      </c>
      <c r="E1391" s="4" t="s">
        <v>29</v>
      </c>
      <c r="F1391" s="4">
        <f>VLOOKUP(E1391,基础属性ID!A:B,2,0)</f>
        <v>12</v>
      </c>
      <c r="G1391" s="4">
        <f>VLOOKUP(E1391,基础属性ID!$A:$E,5,0)</f>
        <v>50</v>
      </c>
      <c r="H1391" s="4">
        <v>4</v>
      </c>
      <c r="I1391" s="4">
        <f t="shared" si="324"/>
        <v>12</v>
      </c>
      <c r="J1391" s="4" t="str">
        <f t="shared" si="321"/>
        <v>12:50:4:12,</v>
      </c>
    </row>
    <row r="1392" spans="1:10">
      <c r="A1392" s="4" t="str">
        <f t="shared" si="316"/>
        <v>1级红戒指暴击几率</v>
      </c>
      <c r="B1392" s="4" t="s">
        <v>221</v>
      </c>
      <c r="C1392" s="4" t="s">
        <v>121</v>
      </c>
      <c r="D1392" s="4">
        <v>1</v>
      </c>
      <c r="E1392" s="4" t="s">
        <v>21</v>
      </c>
      <c r="F1392" s="4">
        <f>VLOOKUP(E1392,基础属性ID!A:B,2,0)</f>
        <v>13</v>
      </c>
      <c r="G1392" s="4">
        <f>VLOOKUP(E1392,基础属性ID!$A:$E,5,0)</f>
        <v>20</v>
      </c>
      <c r="H1392" s="4">
        <v>300</v>
      </c>
      <c r="I1392" s="4">
        <v>500</v>
      </c>
      <c r="J1392" s="4" t="str">
        <f t="shared" si="321"/>
        <v>13:20:300:500,</v>
      </c>
    </row>
    <row r="1393" spans="1:10">
      <c r="A1393" s="4" t="str">
        <f t="shared" si="316"/>
        <v>1级红戒指爆击伤害</v>
      </c>
      <c r="B1393" s="4" t="s">
        <v>221</v>
      </c>
      <c r="C1393" s="4" t="s">
        <v>121</v>
      </c>
      <c r="D1393" s="4">
        <v>1</v>
      </c>
      <c r="E1393" s="4" t="s">
        <v>76</v>
      </c>
      <c r="F1393" s="4">
        <f>VLOOKUP(E1393,基础属性ID!A:B,2,0)</f>
        <v>14</v>
      </c>
      <c r="G1393" s="4">
        <f>VLOOKUP(E1393,基础属性ID!$A:$E,5,0)</f>
        <v>20</v>
      </c>
      <c r="H1393" s="4">
        <v>10</v>
      </c>
      <c r="I1393" s="4">
        <v>20</v>
      </c>
      <c r="J1393" s="4" t="str">
        <f t="shared" si="321"/>
        <v>14:20:10:20,</v>
      </c>
    </row>
    <row r="1394" spans="1:10">
      <c r="A1394" s="4" t="str">
        <f t="shared" si="316"/>
        <v>1级红戒指装备掉率</v>
      </c>
      <c r="B1394" s="4" t="s">
        <v>221</v>
      </c>
      <c r="C1394" s="4" t="s">
        <v>121</v>
      </c>
      <c r="D1394" s="4">
        <v>1</v>
      </c>
      <c r="E1394" s="4" t="s">
        <v>30</v>
      </c>
      <c r="F1394" s="4">
        <f>VLOOKUP(E1394,基础属性ID!A:B,2,0)</f>
        <v>17</v>
      </c>
      <c r="G1394" s="4">
        <f>VLOOKUP(E1394,基础属性ID!$A:$E,5,0)</f>
        <v>60</v>
      </c>
      <c r="H1394" s="4">
        <v>5</v>
      </c>
      <c r="I1394" s="4">
        <v>15</v>
      </c>
      <c r="J1394" s="4" t="str">
        <f t="shared" si="321"/>
        <v>17:60:5:15,</v>
      </c>
    </row>
    <row r="1395" spans="1:10">
      <c r="A1395" s="4" t="str">
        <f t="shared" si="316"/>
        <v>1级红戒指极品掉率</v>
      </c>
      <c r="B1395" s="4" t="s">
        <v>221</v>
      </c>
      <c r="C1395" s="4" t="s">
        <v>121</v>
      </c>
      <c r="D1395" s="4">
        <v>1</v>
      </c>
      <c r="E1395" s="4" t="s">
        <v>31</v>
      </c>
      <c r="F1395" s="4">
        <f>VLOOKUP(E1395,基础属性ID!A:B,2,0)</f>
        <v>18</v>
      </c>
      <c r="G1395" s="4">
        <f>VLOOKUP(E1395,基础属性ID!$A:$E,5,0)</f>
        <v>60</v>
      </c>
      <c r="H1395" s="4">
        <v>5</v>
      </c>
      <c r="I1395" s="4">
        <v>15</v>
      </c>
      <c r="J1395" s="4" t="str">
        <f t="shared" si="321"/>
        <v>18:60:5:15,</v>
      </c>
    </row>
    <row r="1396" spans="1:10">
      <c r="A1396" s="4" t="str">
        <f t="shared" si="316"/>
        <v>21级红武器生命值</v>
      </c>
      <c r="B1396" s="4" t="s">
        <v>198</v>
      </c>
      <c r="C1396" s="4" t="s">
        <v>121</v>
      </c>
      <c r="D1396" s="4">
        <v>21</v>
      </c>
      <c r="E1396" s="4" t="s">
        <v>74</v>
      </c>
      <c r="F1396" s="4">
        <f>VLOOKUP(E1396,基础属性ID!A:B,2,0)</f>
        <v>1</v>
      </c>
      <c r="G1396" s="4">
        <f>VLOOKUP(E1396,基础属性ID!$A:$E,5,0)</f>
        <v>100</v>
      </c>
      <c r="H1396" s="4">
        <v>20</v>
      </c>
      <c r="I1396" s="4">
        <f>H1396*3</f>
        <v>60</v>
      </c>
      <c r="J1396" s="4" t="str">
        <f t="shared" si="321"/>
        <v>1:100:20:60,</v>
      </c>
    </row>
    <row r="1397" spans="1:10">
      <c r="A1397" s="4" t="str">
        <f t="shared" si="316"/>
        <v>21级红武器法力值</v>
      </c>
      <c r="B1397" s="4" t="s">
        <v>198</v>
      </c>
      <c r="C1397" s="4" t="s">
        <v>121</v>
      </c>
      <c r="D1397" s="4">
        <v>21</v>
      </c>
      <c r="E1397" s="4" t="s">
        <v>75</v>
      </c>
      <c r="F1397" s="4">
        <f>VLOOKUP(E1397,基础属性ID!A:B,2,0)</f>
        <v>2</v>
      </c>
      <c r="G1397" s="4">
        <f>VLOOKUP(E1397,基础属性ID!$A:$E,5,0)</f>
        <v>100</v>
      </c>
      <c r="H1397" s="4">
        <v>18</v>
      </c>
      <c r="I1397" s="4">
        <f>H1397*2</f>
        <v>36</v>
      </c>
      <c r="J1397" s="4" t="str">
        <f t="shared" si="321"/>
        <v>2:100:18:36,</v>
      </c>
    </row>
    <row r="1398" spans="1:10">
      <c r="A1398" s="4" t="str">
        <f t="shared" si="316"/>
        <v>21级红武器物理攻击</v>
      </c>
      <c r="B1398" s="4" t="s">
        <v>198</v>
      </c>
      <c r="C1398" s="4" t="s">
        <v>121</v>
      </c>
      <c r="D1398" s="4">
        <v>21</v>
      </c>
      <c r="E1398" s="4" t="s">
        <v>13</v>
      </c>
      <c r="F1398" s="4">
        <f>VLOOKUP(E1398,基础属性ID!A:B,2,0)</f>
        <v>3</v>
      </c>
      <c r="G1398" s="4">
        <f>VLOOKUP(E1398,基础属性ID!$A:$E,5,0)</f>
        <v>100</v>
      </c>
      <c r="H1398" s="4">
        <v>8</v>
      </c>
      <c r="I1398" s="4">
        <f t="shared" ref="I1398:I1401" si="325">H1398*3</f>
        <v>24</v>
      </c>
      <c r="J1398" s="4" t="str">
        <f t="shared" si="321"/>
        <v>3:100:8:24,</v>
      </c>
    </row>
    <row r="1399" spans="1:10">
      <c r="A1399" s="4" t="str">
        <f t="shared" si="316"/>
        <v>21级红武器魔法攻击</v>
      </c>
      <c r="B1399" s="4" t="s">
        <v>198</v>
      </c>
      <c r="C1399" s="4" t="s">
        <v>121</v>
      </c>
      <c r="D1399" s="4">
        <v>21</v>
      </c>
      <c r="E1399" s="4" t="s">
        <v>14</v>
      </c>
      <c r="F1399" s="4">
        <f>VLOOKUP(E1399,基础属性ID!A:B,2,0)</f>
        <v>4</v>
      </c>
      <c r="G1399" s="4">
        <f>VLOOKUP(E1399,基础属性ID!$A:$E,5,0)</f>
        <v>100</v>
      </c>
      <c r="H1399" s="4">
        <v>8</v>
      </c>
      <c r="I1399" s="4">
        <f t="shared" si="325"/>
        <v>24</v>
      </c>
      <c r="J1399" s="4" t="str">
        <f t="shared" si="321"/>
        <v>4:100:8:24,</v>
      </c>
    </row>
    <row r="1400" spans="1:10">
      <c r="A1400" s="4" t="str">
        <f t="shared" si="316"/>
        <v>21级红武器道术攻击</v>
      </c>
      <c r="B1400" s="4" t="s">
        <v>198</v>
      </c>
      <c r="C1400" s="4" t="s">
        <v>121</v>
      </c>
      <c r="D1400" s="4">
        <v>21</v>
      </c>
      <c r="E1400" s="4" t="s">
        <v>15</v>
      </c>
      <c r="F1400" s="4">
        <f>VLOOKUP(E1400,基础属性ID!A:B,2,0)</f>
        <v>5</v>
      </c>
      <c r="G1400" s="4">
        <f>VLOOKUP(E1400,基础属性ID!$A:$E,5,0)</f>
        <v>100</v>
      </c>
      <c r="H1400" s="4">
        <v>8</v>
      </c>
      <c r="I1400" s="4">
        <f t="shared" si="325"/>
        <v>24</v>
      </c>
      <c r="J1400" s="4" t="str">
        <f t="shared" si="321"/>
        <v>5:100:8:24,</v>
      </c>
    </row>
    <row r="1401" spans="1:10">
      <c r="A1401" s="4" t="str">
        <f t="shared" si="316"/>
        <v>21级红武器防御</v>
      </c>
      <c r="B1401" s="4" t="s">
        <v>198</v>
      </c>
      <c r="C1401" s="4" t="s">
        <v>121</v>
      </c>
      <c r="D1401" s="4">
        <v>21</v>
      </c>
      <c r="E1401" s="4" t="s">
        <v>17</v>
      </c>
      <c r="F1401" s="4">
        <f>VLOOKUP(E1401,基础属性ID!A:B,2,0)</f>
        <v>6</v>
      </c>
      <c r="G1401" s="4">
        <f>VLOOKUP(E1401,基础属性ID!$A:$E,5,0)</f>
        <v>100</v>
      </c>
      <c r="H1401" s="4">
        <v>8</v>
      </c>
      <c r="I1401" s="4">
        <f t="shared" si="325"/>
        <v>24</v>
      </c>
      <c r="J1401" s="4" t="str">
        <f t="shared" si="321"/>
        <v>6:100:8:24,</v>
      </c>
    </row>
    <row r="1402" spans="1:10">
      <c r="A1402" s="4" t="str">
        <f t="shared" si="316"/>
        <v>21级红武器攻速</v>
      </c>
      <c r="B1402" s="4" t="s">
        <v>198</v>
      </c>
      <c r="C1402" s="4" t="s">
        <v>121</v>
      </c>
      <c r="D1402" s="4">
        <v>21</v>
      </c>
      <c r="E1402" s="4" t="s">
        <v>18</v>
      </c>
      <c r="F1402" s="4">
        <f>VLOOKUP(E1402,基础属性ID!A:B,2,0)</f>
        <v>7</v>
      </c>
      <c r="G1402" s="4">
        <f>VLOOKUP(E1402,基础属性ID!$A:$E,5,0)</f>
        <v>20</v>
      </c>
      <c r="H1402" s="4">
        <v>1</v>
      </c>
      <c r="I1402" s="4">
        <v>5</v>
      </c>
      <c r="J1402" s="4" t="str">
        <f t="shared" si="321"/>
        <v>7:20:1:5,</v>
      </c>
    </row>
    <row r="1403" spans="1:10">
      <c r="A1403" s="4" t="str">
        <f t="shared" si="316"/>
        <v>21级红武器幸运</v>
      </c>
      <c r="B1403" s="4" t="s">
        <v>198</v>
      </c>
      <c r="C1403" s="4" t="s">
        <v>121</v>
      </c>
      <c r="D1403" s="4">
        <v>21</v>
      </c>
      <c r="E1403" s="4" t="s">
        <v>19</v>
      </c>
      <c r="F1403" s="4">
        <f>VLOOKUP(E1403,基础属性ID!A:B,2,0)</f>
        <v>8</v>
      </c>
      <c r="G1403" s="4">
        <f>VLOOKUP(E1403,基础属性ID!$A:$E,5,0)</f>
        <v>20</v>
      </c>
      <c r="H1403" s="4">
        <v>1</v>
      </c>
      <c r="I1403" s="4">
        <v>5</v>
      </c>
      <c r="J1403" s="4" t="str">
        <f t="shared" si="321"/>
        <v>8:20:1:5,</v>
      </c>
    </row>
    <row r="1404" spans="1:10">
      <c r="A1404" s="4" t="str">
        <f t="shared" si="316"/>
        <v>21级红武器固定伤害</v>
      </c>
      <c r="B1404" s="4" t="s">
        <v>198</v>
      </c>
      <c r="C1404" s="4" t="s">
        <v>121</v>
      </c>
      <c r="D1404" s="4">
        <v>21</v>
      </c>
      <c r="E1404" s="4" t="s">
        <v>24</v>
      </c>
      <c r="F1404" s="4">
        <f>VLOOKUP(E1404,基础属性ID!A:B,2,0)</f>
        <v>9</v>
      </c>
      <c r="G1404" s="4">
        <f>VLOOKUP(E1404,基础属性ID!$A:$E,5,0)</f>
        <v>50</v>
      </c>
      <c r="H1404" s="4">
        <v>6</v>
      </c>
      <c r="I1404" s="4">
        <f t="shared" ref="I1404:I1405" si="326">H1404*3</f>
        <v>18</v>
      </c>
      <c r="J1404" s="4" t="str">
        <f t="shared" si="321"/>
        <v>9:50:6:18,</v>
      </c>
    </row>
    <row r="1405" spans="1:10">
      <c r="A1405" s="4" t="str">
        <f t="shared" si="316"/>
        <v>21级红武器固定减伤</v>
      </c>
      <c r="B1405" s="4" t="s">
        <v>198</v>
      </c>
      <c r="C1405" s="4" t="s">
        <v>121</v>
      </c>
      <c r="D1405" s="4">
        <v>21</v>
      </c>
      <c r="E1405" s="4" t="s">
        <v>25</v>
      </c>
      <c r="F1405" s="4">
        <f>VLOOKUP(E1405,基础属性ID!A:B,2,0)</f>
        <v>10</v>
      </c>
      <c r="G1405" s="4">
        <f>VLOOKUP(E1405,基础属性ID!$A:$E,5,0)</f>
        <v>50</v>
      </c>
      <c r="H1405" s="4">
        <v>6</v>
      </c>
      <c r="I1405" s="4">
        <f t="shared" si="326"/>
        <v>18</v>
      </c>
      <c r="J1405" s="4" t="str">
        <f t="shared" si="321"/>
        <v>10:50:6:18,</v>
      </c>
    </row>
    <row r="1406" spans="1:10">
      <c r="A1406" s="4" t="str">
        <f t="shared" si="316"/>
        <v>21级红武器生命吸取</v>
      </c>
      <c r="B1406" s="4" t="s">
        <v>198</v>
      </c>
      <c r="C1406" s="4" t="s">
        <v>121</v>
      </c>
      <c r="D1406" s="4">
        <v>21</v>
      </c>
      <c r="E1406" s="4" t="s">
        <v>28</v>
      </c>
      <c r="F1406" s="4">
        <f>VLOOKUP(E1406,基础属性ID!A:B,2,0)</f>
        <v>11</v>
      </c>
      <c r="G1406" s="4">
        <f>VLOOKUP(E1406,基础属性ID!$A:$E,5,0)</f>
        <v>50</v>
      </c>
      <c r="H1406" s="4">
        <v>6</v>
      </c>
      <c r="I1406" s="4">
        <f t="shared" ref="I1406:I1407" si="327">H1406*3</f>
        <v>18</v>
      </c>
      <c r="J1406" s="4" t="str">
        <f t="shared" si="321"/>
        <v>11:50:6:18,</v>
      </c>
    </row>
    <row r="1407" spans="1:10">
      <c r="A1407" s="4" t="str">
        <f t="shared" si="316"/>
        <v>21级红武器法力吸取</v>
      </c>
      <c r="B1407" s="4" t="s">
        <v>198</v>
      </c>
      <c r="C1407" s="4" t="s">
        <v>121</v>
      </c>
      <c r="D1407" s="4">
        <v>21</v>
      </c>
      <c r="E1407" s="4" t="s">
        <v>29</v>
      </c>
      <c r="F1407" s="4">
        <f>VLOOKUP(E1407,基础属性ID!A:B,2,0)</f>
        <v>12</v>
      </c>
      <c r="G1407" s="4">
        <f>VLOOKUP(E1407,基础属性ID!$A:$E,5,0)</f>
        <v>50</v>
      </c>
      <c r="H1407" s="4">
        <v>6</v>
      </c>
      <c r="I1407" s="4">
        <f t="shared" si="327"/>
        <v>18</v>
      </c>
      <c r="J1407" s="4" t="str">
        <f t="shared" si="321"/>
        <v>12:50:6:18,</v>
      </c>
    </row>
    <row r="1408" spans="1:10">
      <c r="A1408" s="4" t="str">
        <f t="shared" si="316"/>
        <v>21级红武器暴击几率</v>
      </c>
      <c r="B1408" s="4" t="s">
        <v>198</v>
      </c>
      <c r="C1408" s="4" t="s">
        <v>121</v>
      </c>
      <c r="D1408" s="4">
        <v>21</v>
      </c>
      <c r="E1408" s="4" t="s">
        <v>21</v>
      </c>
      <c r="F1408" s="4">
        <f>VLOOKUP(E1408,基础属性ID!A:B,2,0)</f>
        <v>13</v>
      </c>
      <c r="G1408" s="4">
        <f>VLOOKUP(E1408,基础属性ID!$A:$E,5,0)</f>
        <v>20</v>
      </c>
      <c r="H1408" s="4">
        <v>300</v>
      </c>
      <c r="I1408" s="4">
        <v>500</v>
      </c>
      <c r="J1408" s="4" t="str">
        <f t="shared" si="321"/>
        <v>13:20:300:500,</v>
      </c>
    </row>
    <row r="1409" spans="1:10">
      <c r="A1409" s="4" t="str">
        <f t="shared" si="316"/>
        <v>21级红武器爆击伤害</v>
      </c>
      <c r="B1409" s="4" t="s">
        <v>198</v>
      </c>
      <c r="C1409" s="4" t="s">
        <v>121</v>
      </c>
      <c r="D1409" s="4">
        <v>21</v>
      </c>
      <c r="E1409" s="4" t="s">
        <v>76</v>
      </c>
      <c r="F1409" s="4">
        <f>VLOOKUP(E1409,基础属性ID!A:B,2,0)</f>
        <v>14</v>
      </c>
      <c r="G1409" s="4">
        <f>VLOOKUP(E1409,基础属性ID!$A:$E,5,0)</f>
        <v>20</v>
      </c>
      <c r="H1409" s="4">
        <v>10</v>
      </c>
      <c r="I1409" s="4">
        <v>20</v>
      </c>
      <c r="J1409" s="4" t="str">
        <f t="shared" si="321"/>
        <v>14:20:10:20,</v>
      </c>
    </row>
    <row r="1410" spans="1:10">
      <c r="A1410" s="4" t="str">
        <f t="shared" si="316"/>
        <v>21级红武器伤害增加</v>
      </c>
      <c r="B1410" s="4" t="s">
        <v>198</v>
      </c>
      <c r="C1410" s="4" t="s">
        <v>121</v>
      </c>
      <c r="D1410" s="4">
        <v>21</v>
      </c>
      <c r="E1410" s="4" t="s">
        <v>26</v>
      </c>
      <c r="F1410" s="4">
        <f>VLOOKUP(E1410,基础属性ID!A:B,2,0)</f>
        <v>15</v>
      </c>
      <c r="G1410" s="4">
        <f>VLOOKUP(E1410,基础属性ID!$A:$E,5,0)</f>
        <v>10</v>
      </c>
      <c r="H1410" s="4">
        <v>2</v>
      </c>
      <c r="I1410" s="4">
        <v>5</v>
      </c>
      <c r="J1410" s="4" t="str">
        <f t="shared" si="321"/>
        <v>15:10:2:5,</v>
      </c>
    </row>
    <row r="1411" spans="1:10">
      <c r="A1411" s="4" t="str">
        <f t="shared" ref="A1411:A1474" si="328">D1411&amp;"级"&amp;C1411&amp;B1411&amp;E1411</f>
        <v>21级红武器伤害减免</v>
      </c>
      <c r="B1411" s="4" t="s">
        <v>198</v>
      </c>
      <c r="C1411" s="4" t="s">
        <v>121</v>
      </c>
      <c r="D1411" s="4">
        <v>21</v>
      </c>
      <c r="E1411" s="4" t="s">
        <v>27</v>
      </c>
      <c r="F1411" s="4">
        <f>VLOOKUP(E1411,基础属性ID!A:B,2,0)</f>
        <v>16</v>
      </c>
      <c r="G1411" s="4">
        <f>VLOOKUP(E1411,基础属性ID!$A:$E,5,0)</f>
        <v>10</v>
      </c>
      <c r="H1411" s="4">
        <v>2</v>
      </c>
      <c r="I1411" s="4">
        <v>5</v>
      </c>
      <c r="J1411" s="4" t="str">
        <f t="shared" si="321"/>
        <v>16:10:2:5,</v>
      </c>
    </row>
    <row r="1412" spans="1:10">
      <c r="A1412" s="4" t="str">
        <f t="shared" si="328"/>
        <v>21级红武器装备掉率</v>
      </c>
      <c r="B1412" s="4" t="s">
        <v>198</v>
      </c>
      <c r="C1412" s="4" t="s">
        <v>121</v>
      </c>
      <c r="D1412" s="4">
        <v>21</v>
      </c>
      <c r="E1412" s="4" t="s">
        <v>30</v>
      </c>
      <c r="F1412" s="4">
        <f>VLOOKUP(E1412,基础属性ID!A:B,2,0)</f>
        <v>17</v>
      </c>
      <c r="G1412" s="4">
        <f>VLOOKUP(E1412,基础属性ID!$A:$E,5,0)</f>
        <v>60</v>
      </c>
      <c r="H1412" s="4">
        <v>5</v>
      </c>
      <c r="I1412" s="4">
        <v>15</v>
      </c>
      <c r="J1412" s="4" t="str">
        <f t="shared" si="321"/>
        <v>17:60:5:15,</v>
      </c>
    </row>
    <row r="1413" spans="1:10">
      <c r="A1413" s="4" t="str">
        <f t="shared" si="328"/>
        <v>21级红武器极品掉率</v>
      </c>
      <c r="B1413" s="4" t="s">
        <v>198</v>
      </c>
      <c r="C1413" s="4" t="s">
        <v>121</v>
      </c>
      <c r="D1413" s="4">
        <v>21</v>
      </c>
      <c r="E1413" s="4" t="s">
        <v>31</v>
      </c>
      <c r="F1413" s="4">
        <f>VLOOKUP(E1413,基础属性ID!A:B,2,0)</f>
        <v>18</v>
      </c>
      <c r="G1413" s="4">
        <f>VLOOKUP(E1413,基础属性ID!$A:$E,5,0)</f>
        <v>60</v>
      </c>
      <c r="H1413" s="4">
        <v>5</v>
      </c>
      <c r="I1413" s="4">
        <v>15</v>
      </c>
      <c r="J1413" s="4" t="str">
        <f t="shared" si="321"/>
        <v>18:60:5:15,</v>
      </c>
    </row>
    <row r="1414" spans="1:10">
      <c r="A1414" s="4" t="str">
        <f t="shared" si="328"/>
        <v>41级红武器生命值</v>
      </c>
      <c r="B1414" s="4" t="s">
        <v>198</v>
      </c>
      <c r="C1414" s="4" t="s">
        <v>121</v>
      </c>
      <c r="D1414" s="4">
        <v>41</v>
      </c>
      <c r="E1414" s="4" t="s">
        <v>74</v>
      </c>
      <c r="F1414" s="4">
        <f>VLOOKUP(E1414,基础属性ID!A:B,2,0)</f>
        <v>1</v>
      </c>
      <c r="G1414" s="4">
        <f>VLOOKUP(E1414,基础属性ID!$A:$E,5,0)</f>
        <v>100</v>
      </c>
      <c r="H1414" s="4">
        <v>40</v>
      </c>
      <c r="I1414" s="4">
        <f>H1414*3</f>
        <v>120</v>
      </c>
      <c r="J1414" s="4" t="str">
        <f t="shared" si="321"/>
        <v>1:100:40:120,</v>
      </c>
    </row>
    <row r="1415" spans="1:10">
      <c r="A1415" s="4" t="str">
        <f t="shared" si="328"/>
        <v>41级红武器法力值</v>
      </c>
      <c r="B1415" s="4" t="s">
        <v>198</v>
      </c>
      <c r="C1415" s="4" t="s">
        <v>121</v>
      </c>
      <c r="D1415" s="4">
        <v>41</v>
      </c>
      <c r="E1415" s="4" t="s">
        <v>75</v>
      </c>
      <c r="F1415" s="4">
        <f>VLOOKUP(E1415,基础属性ID!A:B,2,0)</f>
        <v>2</v>
      </c>
      <c r="G1415" s="4">
        <f>VLOOKUP(E1415,基础属性ID!$A:$E,5,0)</f>
        <v>100</v>
      </c>
      <c r="H1415" s="4">
        <v>21</v>
      </c>
      <c r="I1415" s="4">
        <f>H1415*2</f>
        <v>42</v>
      </c>
      <c r="J1415" s="4" t="str">
        <f t="shared" si="321"/>
        <v>2:100:21:42,</v>
      </c>
    </row>
    <row r="1416" spans="1:10">
      <c r="A1416" s="4" t="str">
        <f t="shared" si="328"/>
        <v>41级红武器物理攻击</v>
      </c>
      <c r="B1416" s="4" t="s">
        <v>198</v>
      </c>
      <c r="C1416" s="4" t="s">
        <v>121</v>
      </c>
      <c r="D1416" s="4">
        <v>41</v>
      </c>
      <c r="E1416" s="4" t="s">
        <v>13</v>
      </c>
      <c r="F1416" s="4">
        <f>VLOOKUP(E1416,基础属性ID!A:B,2,0)</f>
        <v>3</v>
      </c>
      <c r="G1416" s="4">
        <f>VLOOKUP(E1416,基础属性ID!$A:$E,5,0)</f>
        <v>100</v>
      </c>
      <c r="H1416" s="4">
        <v>11</v>
      </c>
      <c r="I1416" s="4">
        <f t="shared" ref="I1416:I1419" si="329">H1416*3</f>
        <v>33</v>
      </c>
      <c r="J1416" s="4" t="str">
        <f t="shared" si="321"/>
        <v>3:100:11:33,</v>
      </c>
    </row>
    <row r="1417" spans="1:10">
      <c r="A1417" s="4" t="str">
        <f t="shared" si="328"/>
        <v>41级红武器魔法攻击</v>
      </c>
      <c r="B1417" s="4" t="s">
        <v>198</v>
      </c>
      <c r="C1417" s="4" t="s">
        <v>121</v>
      </c>
      <c r="D1417" s="4">
        <v>41</v>
      </c>
      <c r="E1417" s="4" t="s">
        <v>14</v>
      </c>
      <c r="F1417" s="4">
        <f>VLOOKUP(E1417,基础属性ID!A:B,2,0)</f>
        <v>4</v>
      </c>
      <c r="G1417" s="4">
        <f>VLOOKUP(E1417,基础属性ID!$A:$E,5,0)</f>
        <v>100</v>
      </c>
      <c r="H1417" s="4">
        <v>11</v>
      </c>
      <c r="I1417" s="4">
        <f t="shared" si="329"/>
        <v>33</v>
      </c>
      <c r="J1417" s="4" t="str">
        <f t="shared" si="321"/>
        <v>4:100:11:33,</v>
      </c>
    </row>
    <row r="1418" spans="1:10">
      <c r="A1418" s="4" t="str">
        <f t="shared" si="328"/>
        <v>41级红武器道术攻击</v>
      </c>
      <c r="B1418" s="4" t="s">
        <v>198</v>
      </c>
      <c r="C1418" s="4" t="s">
        <v>121</v>
      </c>
      <c r="D1418" s="4">
        <v>41</v>
      </c>
      <c r="E1418" s="4" t="s">
        <v>15</v>
      </c>
      <c r="F1418" s="4">
        <f>VLOOKUP(E1418,基础属性ID!A:B,2,0)</f>
        <v>5</v>
      </c>
      <c r="G1418" s="4">
        <f>VLOOKUP(E1418,基础属性ID!$A:$E,5,0)</f>
        <v>100</v>
      </c>
      <c r="H1418" s="4">
        <v>11</v>
      </c>
      <c r="I1418" s="4">
        <f t="shared" si="329"/>
        <v>33</v>
      </c>
      <c r="J1418" s="4" t="str">
        <f t="shared" si="321"/>
        <v>5:100:11:33,</v>
      </c>
    </row>
    <row r="1419" spans="1:10">
      <c r="A1419" s="4" t="str">
        <f t="shared" si="328"/>
        <v>41级红武器防御</v>
      </c>
      <c r="B1419" s="4" t="s">
        <v>198</v>
      </c>
      <c r="C1419" s="4" t="s">
        <v>121</v>
      </c>
      <c r="D1419" s="4">
        <v>41</v>
      </c>
      <c r="E1419" s="4" t="s">
        <v>17</v>
      </c>
      <c r="F1419" s="4">
        <f>VLOOKUP(E1419,基础属性ID!A:B,2,0)</f>
        <v>6</v>
      </c>
      <c r="G1419" s="4">
        <f>VLOOKUP(E1419,基础属性ID!$A:$E,5,0)</f>
        <v>100</v>
      </c>
      <c r="H1419" s="4">
        <v>11</v>
      </c>
      <c r="I1419" s="4">
        <f t="shared" si="329"/>
        <v>33</v>
      </c>
      <c r="J1419" s="4" t="str">
        <f t="shared" si="321"/>
        <v>6:100:11:33,</v>
      </c>
    </row>
    <row r="1420" spans="1:10">
      <c r="A1420" s="4" t="str">
        <f t="shared" si="328"/>
        <v>41级红武器攻速</v>
      </c>
      <c r="B1420" s="4" t="s">
        <v>198</v>
      </c>
      <c r="C1420" s="4" t="s">
        <v>121</v>
      </c>
      <c r="D1420" s="4">
        <v>41</v>
      </c>
      <c r="E1420" s="4" t="s">
        <v>18</v>
      </c>
      <c r="F1420" s="4">
        <f>VLOOKUP(E1420,基础属性ID!A:B,2,0)</f>
        <v>7</v>
      </c>
      <c r="G1420" s="4">
        <f>VLOOKUP(E1420,基础属性ID!$A:$E,5,0)</f>
        <v>20</v>
      </c>
      <c r="H1420" s="4">
        <v>1</v>
      </c>
      <c r="I1420" s="4">
        <v>5</v>
      </c>
      <c r="J1420" s="4" t="str">
        <f t="shared" si="321"/>
        <v>7:20:1:5,</v>
      </c>
    </row>
    <row r="1421" spans="1:10">
      <c r="A1421" s="4" t="str">
        <f t="shared" si="328"/>
        <v>41级红武器幸运</v>
      </c>
      <c r="B1421" s="4" t="s">
        <v>198</v>
      </c>
      <c r="C1421" s="4" t="s">
        <v>121</v>
      </c>
      <c r="D1421" s="4">
        <v>41</v>
      </c>
      <c r="E1421" s="4" t="s">
        <v>19</v>
      </c>
      <c r="F1421" s="4">
        <f>VLOOKUP(E1421,基础属性ID!A:B,2,0)</f>
        <v>8</v>
      </c>
      <c r="G1421" s="4">
        <f>VLOOKUP(E1421,基础属性ID!$A:$E,5,0)</f>
        <v>20</v>
      </c>
      <c r="H1421" s="4">
        <v>1</v>
      </c>
      <c r="I1421" s="4">
        <v>5</v>
      </c>
      <c r="J1421" s="4" t="str">
        <f t="shared" si="321"/>
        <v>8:20:1:5,</v>
      </c>
    </row>
    <row r="1422" spans="1:10">
      <c r="A1422" s="4" t="str">
        <f t="shared" si="328"/>
        <v>41级红武器固定伤害</v>
      </c>
      <c r="B1422" s="4" t="s">
        <v>198</v>
      </c>
      <c r="C1422" s="4" t="s">
        <v>121</v>
      </c>
      <c r="D1422" s="4">
        <v>41</v>
      </c>
      <c r="E1422" s="4" t="s">
        <v>24</v>
      </c>
      <c r="F1422" s="4">
        <f>VLOOKUP(E1422,基础属性ID!A:B,2,0)</f>
        <v>9</v>
      </c>
      <c r="G1422" s="4">
        <f>VLOOKUP(E1422,基础属性ID!$A:$E,5,0)</f>
        <v>50</v>
      </c>
      <c r="H1422" s="4">
        <v>8</v>
      </c>
      <c r="I1422" s="4">
        <f t="shared" ref="I1422:I1423" si="330">H1422*3</f>
        <v>24</v>
      </c>
      <c r="J1422" s="4" t="str">
        <f t="shared" si="321"/>
        <v>9:50:8:24,</v>
      </c>
    </row>
    <row r="1423" spans="1:10">
      <c r="A1423" s="4" t="str">
        <f t="shared" si="328"/>
        <v>41级红武器固定减伤</v>
      </c>
      <c r="B1423" s="4" t="s">
        <v>198</v>
      </c>
      <c r="C1423" s="4" t="s">
        <v>121</v>
      </c>
      <c r="D1423" s="4">
        <v>41</v>
      </c>
      <c r="E1423" s="4" t="s">
        <v>25</v>
      </c>
      <c r="F1423" s="4">
        <f>VLOOKUP(E1423,基础属性ID!A:B,2,0)</f>
        <v>10</v>
      </c>
      <c r="G1423" s="4">
        <f>VLOOKUP(E1423,基础属性ID!$A:$E,5,0)</f>
        <v>50</v>
      </c>
      <c r="H1423" s="4">
        <v>8</v>
      </c>
      <c r="I1423" s="4">
        <f t="shared" si="330"/>
        <v>24</v>
      </c>
      <c r="J1423" s="4" t="str">
        <f t="shared" si="321"/>
        <v>10:50:8:24,</v>
      </c>
    </row>
    <row r="1424" spans="1:10">
      <c r="A1424" s="4" t="str">
        <f t="shared" si="328"/>
        <v>41级红武器生命吸取</v>
      </c>
      <c r="B1424" s="4" t="s">
        <v>198</v>
      </c>
      <c r="C1424" s="4" t="s">
        <v>121</v>
      </c>
      <c r="D1424" s="4">
        <v>41</v>
      </c>
      <c r="E1424" s="4" t="s">
        <v>28</v>
      </c>
      <c r="F1424" s="4">
        <f>VLOOKUP(E1424,基础属性ID!A:B,2,0)</f>
        <v>11</v>
      </c>
      <c r="G1424" s="4">
        <f>VLOOKUP(E1424,基础属性ID!$A:$E,5,0)</f>
        <v>50</v>
      </c>
      <c r="H1424" s="4">
        <v>8</v>
      </c>
      <c r="I1424" s="4">
        <f t="shared" ref="I1424:I1425" si="331">H1424*3</f>
        <v>24</v>
      </c>
      <c r="J1424" s="4" t="str">
        <f t="shared" si="321"/>
        <v>11:50:8:24,</v>
      </c>
    </row>
    <row r="1425" spans="1:10">
      <c r="A1425" s="4" t="str">
        <f t="shared" si="328"/>
        <v>41级红武器法力吸取</v>
      </c>
      <c r="B1425" s="4" t="s">
        <v>198</v>
      </c>
      <c r="C1425" s="4" t="s">
        <v>121</v>
      </c>
      <c r="D1425" s="4">
        <v>41</v>
      </c>
      <c r="E1425" s="4" t="s">
        <v>29</v>
      </c>
      <c r="F1425" s="4">
        <f>VLOOKUP(E1425,基础属性ID!A:B,2,0)</f>
        <v>12</v>
      </c>
      <c r="G1425" s="4">
        <f>VLOOKUP(E1425,基础属性ID!$A:$E,5,0)</f>
        <v>50</v>
      </c>
      <c r="H1425" s="4">
        <v>8</v>
      </c>
      <c r="I1425" s="4">
        <f t="shared" si="331"/>
        <v>24</v>
      </c>
      <c r="J1425" s="4" t="str">
        <f t="shared" si="321"/>
        <v>12:50:8:24,</v>
      </c>
    </row>
    <row r="1426" spans="1:10">
      <c r="A1426" s="4" t="str">
        <f t="shared" si="328"/>
        <v>41级红武器暴击几率</v>
      </c>
      <c r="B1426" s="4" t="s">
        <v>198</v>
      </c>
      <c r="C1426" s="4" t="s">
        <v>121</v>
      </c>
      <c r="D1426" s="4">
        <v>41</v>
      </c>
      <c r="E1426" s="4" t="s">
        <v>21</v>
      </c>
      <c r="F1426" s="4">
        <f>VLOOKUP(E1426,基础属性ID!A:B,2,0)</f>
        <v>13</v>
      </c>
      <c r="G1426" s="4">
        <f>VLOOKUP(E1426,基础属性ID!$A:$E,5,0)</f>
        <v>20</v>
      </c>
      <c r="H1426" s="4">
        <v>300</v>
      </c>
      <c r="I1426" s="4">
        <v>500</v>
      </c>
      <c r="J1426" s="4" t="str">
        <f t="shared" si="321"/>
        <v>13:20:300:500,</v>
      </c>
    </row>
    <row r="1427" spans="1:10">
      <c r="A1427" s="4" t="str">
        <f t="shared" si="328"/>
        <v>41级红武器爆击伤害</v>
      </c>
      <c r="B1427" s="4" t="s">
        <v>198</v>
      </c>
      <c r="C1427" s="4" t="s">
        <v>121</v>
      </c>
      <c r="D1427" s="4">
        <v>41</v>
      </c>
      <c r="E1427" s="4" t="s">
        <v>76</v>
      </c>
      <c r="F1427" s="4">
        <f>VLOOKUP(E1427,基础属性ID!A:B,2,0)</f>
        <v>14</v>
      </c>
      <c r="G1427" s="4">
        <f>VLOOKUP(E1427,基础属性ID!$A:$E,5,0)</f>
        <v>20</v>
      </c>
      <c r="H1427" s="4">
        <v>10</v>
      </c>
      <c r="I1427" s="4">
        <v>20</v>
      </c>
      <c r="J1427" s="4" t="str">
        <f t="shared" si="321"/>
        <v>14:20:10:20,</v>
      </c>
    </row>
    <row r="1428" spans="1:10">
      <c r="A1428" s="4" t="str">
        <f t="shared" si="328"/>
        <v>41级红武器伤害增加</v>
      </c>
      <c r="B1428" s="4" t="s">
        <v>198</v>
      </c>
      <c r="C1428" s="4" t="s">
        <v>121</v>
      </c>
      <c r="D1428" s="4">
        <v>41</v>
      </c>
      <c r="E1428" s="4" t="s">
        <v>26</v>
      </c>
      <c r="F1428" s="4">
        <f>VLOOKUP(E1428,基础属性ID!A:B,2,0)</f>
        <v>15</v>
      </c>
      <c r="G1428" s="4">
        <f>VLOOKUP(E1428,基础属性ID!$A:$E,5,0)</f>
        <v>10</v>
      </c>
      <c r="H1428" s="4">
        <v>2</v>
      </c>
      <c r="I1428" s="4">
        <v>5</v>
      </c>
      <c r="J1428" s="4" t="str">
        <f t="shared" si="321"/>
        <v>15:10:2:5,</v>
      </c>
    </row>
    <row r="1429" spans="1:10">
      <c r="A1429" s="4" t="str">
        <f t="shared" si="328"/>
        <v>41级红武器伤害减免</v>
      </c>
      <c r="B1429" s="4" t="s">
        <v>198</v>
      </c>
      <c r="C1429" s="4" t="s">
        <v>121</v>
      </c>
      <c r="D1429" s="4">
        <v>41</v>
      </c>
      <c r="E1429" s="4" t="s">
        <v>27</v>
      </c>
      <c r="F1429" s="4">
        <f>VLOOKUP(E1429,基础属性ID!A:B,2,0)</f>
        <v>16</v>
      </c>
      <c r="G1429" s="4">
        <f>VLOOKUP(E1429,基础属性ID!$A:$E,5,0)</f>
        <v>10</v>
      </c>
      <c r="H1429" s="4">
        <v>2</v>
      </c>
      <c r="I1429" s="4">
        <v>5</v>
      </c>
      <c r="J1429" s="4" t="str">
        <f t="shared" si="321"/>
        <v>16:10:2:5,</v>
      </c>
    </row>
    <row r="1430" spans="1:10">
      <c r="A1430" s="4" t="str">
        <f t="shared" si="328"/>
        <v>41级红武器装备掉率</v>
      </c>
      <c r="B1430" s="4" t="s">
        <v>198</v>
      </c>
      <c r="C1430" s="4" t="s">
        <v>121</v>
      </c>
      <c r="D1430" s="4">
        <v>41</v>
      </c>
      <c r="E1430" s="4" t="s">
        <v>30</v>
      </c>
      <c r="F1430" s="4">
        <f>VLOOKUP(E1430,基础属性ID!A:B,2,0)</f>
        <v>17</v>
      </c>
      <c r="G1430" s="4">
        <f>VLOOKUP(E1430,基础属性ID!$A:$E,5,0)</f>
        <v>60</v>
      </c>
      <c r="H1430" s="4">
        <v>5</v>
      </c>
      <c r="I1430" s="4">
        <v>15</v>
      </c>
      <c r="J1430" s="4" t="str">
        <f t="shared" si="321"/>
        <v>17:60:5:15,</v>
      </c>
    </row>
    <row r="1431" spans="1:10">
      <c r="A1431" s="4" t="str">
        <f t="shared" si="328"/>
        <v>41级红武器极品掉率</v>
      </c>
      <c r="B1431" s="4" t="s">
        <v>198</v>
      </c>
      <c r="C1431" s="4" t="s">
        <v>121</v>
      </c>
      <c r="D1431" s="4">
        <v>41</v>
      </c>
      <c r="E1431" s="4" t="s">
        <v>31</v>
      </c>
      <c r="F1431" s="4">
        <f>VLOOKUP(E1431,基础属性ID!A:B,2,0)</f>
        <v>18</v>
      </c>
      <c r="G1431" s="4">
        <f>VLOOKUP(E1431,基础属性ID!$A:$E,5,0)</f>
        <v>60</v>
      </c>
      <c r="H1431" s="4">
        <v>5</v>
      </c>
      <c r="I1431" s="4">
        <v>15</v>
      </c>
      <c r="J1431" s="4" t="str">
        <f t="shared" si="321"/>
        <v>18:60:5:15,</v>
      </c>
    </row>
    <row r="1432" spans="1:10">
      <c r="A1432" s="4" t="str">
        <f t="shared" si="328"/>
        <v>61级红武器生命值</v>
      </c>
      <c r="B1432" s="4" t="s">
        <v>198</v>
      </c>
      <c r="C1432" s="4" t="s">
        <v>121</v>
      </c>
      <c r="D1432" s="4">
        <v>61</v>
      </c>
      <c r="E1432" s="4" t="s">
        <v>74</v>
      </c>
      <c r="F1432" s="4">
        <f>VLOOKUP(E1432,基础属性ID!A:B,2,0)</f>
        <v>1</v>
      </c>
      <c r="G1432" s="4">
        <f>VLOOKUP(E1432,基础属性ID!$A:$E,5,0)</f>
        <v>100</v>
      </c>
      <c r="H1432" s="4">
        <v>60</v>
      </c>
      <c r="I1432" s="4">
        <f>H1432*3</f>
        <v>180</v>
      </c>
      <c r="J1432" s="4" t="str">
        <f t="shared" si="321"/>
        <v>1:100:60:180,</v>
      </c>
    </row>
    <row r="1433" spans="1:10">
      <c r="A1433" s="4" t="str">
        <f t="shared" si="328"/>
        <v>61级红武器法力值</v>
      </c>
      <c r="B1433" s="4" t="s">
        <v>198</v>
      </c>
      <c r="C1433" s="4" t="s">
        <v>121</v>
      </c>
      <c r="D1433" s="4">
        <v>61</v>
      </c>
      <c r="E1433" s="4" t="s">
        <v>75</v>
      </c>
      <c r="F1433" s="4">
        <f>VLOOKUP(E1433,基础属性ID!A:B,2,0)</f>
        <v>2</v>
      </c>
      <c r="G1433" s="4">
        <f>VLOOKUP(E1433,基础属性ID!$A:$E,5,0)</f>
        <v>100</v>
      </c>
      <c r="H1433" s="4">
        <v>24</v>
      </c>
      <c r="I1433" s="4">
        <f>H1433*2</f>
        <v>48</v>
      </c>
      <c r="J1433" s="4" t="str">
        <f t="shared" si="321"/>
        <v>2:100:24:48,</v>
      </c>
    </row>
    <row r="1434" spans="1:10">
      <c r="A1434" s="4" t="str">
        <f t="shared" si="328"/>
        <v>61级红武器物理攻击</v>
      </c>
      <c r="B1434" s="4" t="s">
        <v>198</v>
      </c>
      <c r="C1434" s="4" t="s">
        <v>121</v>
      </c>
      <c r="D1434" s="4">
        <v>61</v>
      </c>
      <c r="E1434" s="4" t="s">
        <v>13</v>
      </c>
      <c r="F1434" s="4">
        <f>VLOOKUP(E1434,基础属性ID!A:B,2,0)</f>
        <v>3</v>
      </c>
      <c r="G1434" s="4">
        <f>VLOOKUP(E1434,基础属性ID!$A:$E,5,0)</f>
        <v>100</v>
      </c>
      <c r="H1434" s="4">
        <v>15</v>
      </c>
      <c r="I1434" s="4">
        <f t="shared" ref="I1434:I1437" si="332">H1434*3</f>
        <v>45</v>
      </c>
      <c r="J1434" s="4" t="str">
        <f t="shared" si="321"/>
        <v>3:100:15:45,</v>
      </c>
    </row>
    <row r="1435" spans="1:10">
      <c r="A1435" s="4" t="str">
        <f t="shared" si="328"/>
        <v>61级红武器魔法攻击</v>
      </c>
      <c r="B1435" s="4" t="s">
        <v>198</v>
      </c>
      <c r="C1435" s="4" t="s">
        <v>121</v>
      </c>
      <c r="D1435" s="4">
        <v>61</v>
      </c>
      <c r="E1435" s="4" t="s">
        <v>14</v>
      </c>
      <c r="F1435" s="4">
        <f>VLOOKUP(E1435,基础属性ID!A:B,2,0)</f>
        <v>4</v>
      </c>
      <c r="G1435" s="4">
        <f>VLOOKUP(E1435,基础属性ID!$A:$E,5,0)</f>
        <v>100</v>
      </c>
      <c r="H1435" s="4">
        <v>15</v>
      </c>
      <c r="I1435" s="4">
        <f t="shared" si="332"/>
        <v>45</v>
      </c>
      <c r="J1435" s="4" t="str">
        <f t="shared" si="321"/>
        <v>4:100:15:45,</v>
      </c>
    </row>
    <row r="1436" spans="1:10">
      <c r="A1436" s="4" t="str">
        <f t="shared" si="328"/>
        <v>61级红武器道术攻击</v>
      </c>
      <c r="B1436" s="4" t="s">
        <v>198</v>
      </c>
      <c r="C1436" s="4" t="s">
        <v>121</v>
      </c>
      <c r="D1436" s="4">
        <v>61</v>
      </c>
      <c r="E1436" s="4" t="s">
        <v>15</v>
      </c>
      <c r="F1436" s="4">
        <f>VLOOKUP(E1436,基础属性ID!A:B,2,0)</f>
        <v>5</v>
      </c>
      <c r="G1436" s="4">
        <f>VLOOKUP(E1436,基础属性ID!$A:$E,5,0)</f>
        <v>100</v>
      </c>
      <c r="H1436" s="4">
        <v>15</v>
      </c>
      <c r="I1436" s="4">
        <f t="shared" si="332"/>
        <v>45</v>
      </c>
      <c r="J1436" s="4" t="str">
        <f t="shared" si="321"/>
        <v>5:100:15:45,</v>
      </c>
    </row>
    <row r="1437" spans="1:10">
      <c r="A1437" s="4" t="str">
        <f t="shared" si="328"/>
        <v>61级红武器防御</v>
      </c>
      <c r="B1437" s="4" t="s">
        <v>198</v>
      </c>
      <c r="C1437" s="4" t="s">
        <v>121</v>
      </c>
      <c r="D1437" s="4">
        <v>61</v>
      </c>
      <c r="E1437" s="4" t="s">
        <v>17</v>
      </c>
      <c r="F1437" s="4">
        <f>VLOOKUP(E1437,基础属性ID!A:B,2,0)</f>
        <v>6</v>
      </c>
      <c r="G1437" s="4">
        <f>VLOOKUP(E1437,基础属性ID!$A:$E,5,0)</f>
        <v>100</v>
      </c>
      <c r="H1437" s="4">
        <v>15</v>
      </c>
      <c r="I1437" s="4">
        <f t="shared" si="332"/>
        <v>45</v>
      </c>
      <c r="J1437" s="4" t="str">
        <f t="shared" si="321"/>
        <v>6:100:15:45,</v>
      </c>
    </row>
    <row r="1438" spans="1:10">
      <c r="A1438" s="4" t="str">
        <f t="shared" si="328"/>
        <v>61级红武器攻速</v>
      </c>
      <c r="B1438" s="4" t="s">
        <v>198</v>
      </c>
      <c r="C1438" s="4" t="s">
        <v>121</v>
      </c>
      <c r="D1438" s="4">
        <v>61</v>
      </c>
      <c r="E1438" s="4" t="s">
        <v>18</v>
      </c>
      <c r="F1438" s="4">
        <f>VLOOKUP(E1438,基础属性ID!A:B,2,0)</f>
        <v>7</v>
      </c>
      <c r="G1438" s="4">
        <f>VLOOKUP(E1438,基础属性ID!$A:$E,5,0)</f>
        <v>20</v>
      </c>
      <c r="H1438" s="4">
        <v>1</v>
      </c>
      <c r="I1438" s="4">
        <v>5</v>
      </c>
      <c r="J1438" s="4" t="str">
        <f t="shared" ref="J1438:J1498" si="333">F1438&amp;":"&amp;G1438&amp;":"&amp;H1438&amp;":"&amp;I1438&amp;","</f>
        <v>7:20:1:5,</v>
      </c>
    </row>
    <row r="1439" spans="1:10">
      <c r="A1439" s="4" t="str">
        <f t="shared" si="328"/>
        <v>61级红武器幸运</v>
      </c>
      <c r="B1439" s="4" t="s">
        <v>198</v>
      </c>
      <c r="C1439" s="4" t="s">
        <v>121</v>
      </c>
      <c r="D1439" s="4">
        <v>61</v>
      </c>
      <c r="E1439" s="4" t="s">
        <v>19</v>
      </c>
      <c r="F1439" s="4">
        <f>VLOOKUP(E1439,基础属性ID!A:B,2,0)</f>
        <v>8</v>
      </c>
      <c r="G1439" s="4">
        <f>VLOOKUP(E1439,基础属性ID!$A:$E,5,0)</f>
        <v>20</v>
      </c>
      <c r="H1439" s="4">
        <v>1</v>
      </c>
      <c r="I1439" s="4">
        <v>5</v>
      </c>
      <c r="J1439" s="4" t="str">
        <f t="shared" si="333"/>
        <v>8:20:1:5,</v>
      </c>
    </row>
    <row r="1440" spans="1:10">
      <c r="A1440" s="4" t="str">
        <f t="shared" si="328"/>
        <v>61级红武器固定伤害</v>
      </c>
      <c r="B1440" s="4" t="s">
        <v>198</v>
      </c>
      <c r="C1440" s="4" t="s">
        <v>121</v>
      </c>
      <c r="D1440" s="4">
        <v>61</v>
      </c>
      <c r="E1440" s="4" t="s">
        <v>24</v>
      </c>
      <c r="F1440" s="4">
        <f>VLOOKUP(E1440,基础属性ID!A:B,2,0)</f>
        <v>9</v>
      </c>
      <c r="G1440" s="4">
        <f>VLOOKUP(E1440,基础属性ID!$A:$E,5,0)</f>
        <v>50</v>
      </c>
      <c r="H1440" s="4">
        <v>10</v>
      </c>
      <c r="I1440" s="4">
        <f t="shared" ref="I1440:I1441" si="334">H1440*3</f>
        <v>30</v>
      </c>
      <c r="J1440" s="4" t="str">
        <f t="shared" si="333"/>
        <v>9:50:10:30,</v>
      </c>
    </row>
    <row r="1441" spans="1:10">
      <c r="A1441" s="4" t="str">
        <f t="shared" si="328"/>
        <v>61级红武器固定减伤</v>
      </c>
      <c r="B1441" s="4" t="s">
        <v>198</v>
      </c>
      <c r="C1441" s="4" t="s">
        <v>121</v>
      </c>
      <c r="D1441" s="4">
        <v>61</v>
      </c>
      <c r="E1441" s="4" t="s">
        <v>25</v>
      </c>
      <c r="F1441" s="4">
        <f>VLOOKUP(E1441,基础属性ID!A:B,2,0)</f>
        <v>10</v>
      </c>
      <c r="G1441" s="4">
        <f>VLOOKUP(E1441,基础属性ID!$A:$E,5,0)</f>
        <v>50</v>
      </c>
      <c r="H1441" s="4">
        <v>10</v>
      </c>
      <c r="I1441" s="4">
        <f t="shared" si="334"/>
        <v>30</v>
      </c>
      <c r="J1441" s="4" t="str">
        <f t="shared" si="333"/>
        <v>10:50:10:30,</v>
      </c>
    </row>
    <row r="1442" spans="1:10">
      <c r="A1442" s="4" t="str">
        <f t="shared" si="328"/>
        <v>61级红武器生命吸取</v>
      </c>
      <c r="B1442" s="4" t="s">
        <v>198</v>
      </c>
      <c r="C1442" s="4" t="s">
        <v>121</v>
      </c>
      <c r="D1442" s="4">
        <v>61</v>
      </c>
      <c r="E1442" s="4" t="s">
        <v>28</v>
      </c>
      <c r="F1442" s="4">
        <f>VLOOKUP(E1442,基础属性ID!A:B,2,0)</f>
        <v>11</v>
      </c>
      <c r="G1442" s="4">
        <f>VLOOKUP(E1442,基础属性ID!$A:$E,5,0)</f>
        <v>50</v>
      </c>
      <c r="H1442" s="4">
        <v>10</v>
      </c>
      <c r="I1442" s="4">
        <f t="shared" ref="I1442:I1443" si="335">H1442*3</f>
        <v>30</v>
      </c>
      <c r="J1442" s="4" t="str">
        <f t="shared" si="333"/>
        <v>11:50:10:30,</v>
      </c>
    </row>
    <row r="1443" spans="1:10">
      <c r="A1443" s="4" t="str">
        <f t="shared" si="328"/>
        <v>61级红武器法力吸取</v>
      </c>
      <c r="B1443" s="4" t="s">
        <v>198</v>
      </c>
      <c r="C1443" s="4" t="s">
        <v>121</v>
      </c>
      <c r="D1443" s="4">
        <v>61</v>
      </c>
      <c r="E1443" s="4" t="s">
        <v>29</v>
      </c>
      <c r="F1443" s="4">
        <f>VLOOKUP(E1443,基础属性ID!A:B,2,0)</f>
        <v>12</v>
      </c>
      <c r="G1443" s="4">
        <f>VLOOKUP(E1443,基础属性ID!$A:$E,5,0)</f>
        <v>50</v>
      </c>
      <c r="H1443" s="4">
        <v>10</v>
      </c>
      <c r="I1443" s="4">
        <f t="shared" si="335"/>
        <v>30</v>
      </c>
      <c r="J1443" s="4" t="str">
        <f t="shared" si="333"/>
        <v>12:50:10:30,</v>
      </c>
    </row>
    <row r="1444" spans="1:10">
      <c r="A1444" s="4" t="str">
        <f t="shared" si="328"/>
        <v>61级红武器暴击几率</v>
      </c>
      <c r="B1444" s="4" t="s">
        <v>198</v>
      </c>
      <c r="C1444" s="4" t="s">
        <v>121</v>
      </c>
      <c r="D1444" s="4">
        <v>61</v>
      </c>
      <c r="E1444" s="4" t="s">
        <v>21</v>
      </c>
      <c r="F1444" s="4">
        <f>VLOOKUP(E1444,基础属性ID!A:B,2,0)</f>
        <v>13</v>
      </c>
      <c r="G1444" s="4">
        <f>VLOOKUP(E1444,基础属性ID!$A:$E,5,0)</f>
        <v>20</v>
      </c>
      <c r="H1444" s="4">
        <v>300</v>
      </c>
      <c r="I1444" s="4">
        <v>500</v>
      </c>
      <c r="J1444" s="4" t="str">
        <f t="shared" si="333"/>
        <v>13:20:300:500,</v>
      </c>
    </row>
    <row r="1445" spans="1:10">
      <c r="A1445" s="4" t="str">
        <f t="shared" si="328"/>
        <v>61级红武器爆击伤害</v>
      </c>
      <c r="B1445" s="4" t="s">
        <v>198</v>
      </c>
      <c r="C1445" s="4" t="s">
        <v>121</v>
      </c>
      <c r="D1445" s="4">
        <v>61</v>
      </c>
      <c r="E1445" s="4" t="s">
        <v>76</v>
      </c>
      <c r="F1445" s="4">
        <f>VLOOKUP(E1445,基础属性ID!A:B,2,0)</f>
        <v>14</v>
      </c>
      <c r="G1445" s="4">
        <f>VLOOKUP(E1445,基础属性ID!$A:$E,5,0)</f>
        <v>20</v>
      </c>
      <c r="H1445" s="4">
        <v>10</v>
      </c>
      <c r="I1445" s="4">
        <v>20</v>
      </c>
      <c r="J1445" s="4" t="str">
        <f t="shared" si="333"/>
        <v>14:20:10:20,</v>
      </c>
    </row>
    <row r="1446" spans="1:10">
      <c r="A1446" s="4" t="str">
        <f t="shared" si="328"/>
        <v>61级红武器伤害增加</v>
      </c>
      <c r="B1446" s="4" t="s">
        <v>198</v>
      </c>
      <c r="C1446" s="4" t="s">
        <v>121</v>
      </c>
      <c r="D1446" s="4">
        <v>61</v>
      </c>
      <c r="E1446" s="4" t="s">
        <v>26</v>
      </c>
      <c r="F1446" s="4">
        <f>VLOOKUP(E1446,基础属性ID!A:B,2,0)</f>
        <v>15</v>
      </c>
      <c r="G1446" s="4">
        <f>VLOOKUP(E1446,基础属性ID!$A:$E,5,0)</f>
        <v>10</v>
      </c>
      <c r="H1446" s="4">
        <v>2</v>
      </c>
      <c r="I1446" s="4">
        <v>5</v>
      </c>
      <c r="J1446" s="4" t="str">
        <f t="shared" si="333"/>
        <v>15:10:2:5,</v>
      </c>
    </row>
    <row r="1447" spans="1:10">
      <c r="A1447" s="4" t="str">
        <f t="shared" si="328"/>
        <v>61级红武器伤害减免</v>
      </c>
      <c r="B1447" s="4" t="s">
        <v>198</v>
      </c>
      <c r="C1447" s="4" t="s">
        <v>121</v>
      </c>
      <c r="D1447" s="4">
        <v>61</v>
      </c>
      <c r="E1447" s="4" t="s">
        <v>27</v>
      </c>
      <c r="F1447" s="4">
        <f>VLOOKUP(E1447,基础属性ID!A:B,2,0)</f>
        <v>16</v>
      </c>
      <c r="G1447" s="4">
        <f>VLOOKUP(E1447,基础属性ID!$A:$E,5,0)</f>
        <v>10</v>
      </c>
      <c r="H1447" s="4">
        <v>2</v>
      </c>
      <c r="I1447" s="4">
        <v>5</v>
      </c>
      <c r="J1447" s="4" t="str">
        <f t="shared" si="333"/>
        <v>16:10:2:5,</v>
      </c>
    </row>
    <row r="1448" spans="1:10">
      <c r="A1448" s="4" t="str">
        <f t="shared" si="328"/>
        <v>61级红武器装备掉率</v>
      </c>
      <c r="B1448" s="4" t="s">
        <v>198</v>
      </c>
      <c r="C1448" s="4" t="s">
        <v>121</v>
      </c>
      <c r="D1448" s="4">
        <v>61</v>
      </c>
      <c r="E1448" s="4" t="s">
        <v>30</v>
      </c>
      <c r="F1448" s="4">
        <f>VLOOKUP(E1448,基础属性ID!A:B,2,0)</f>
        <v>17</v>
      </c>
      <c r="G1448" s="4">
        <f>VLOOKUP(E1448,基础属性ID!$A:$E,5,0)</f>
        <v>60</v>
      </c>
      <c r="H1448" s="4">
        <v>5</v>
      </c>
      <c r="I1448" s="4">
        <v>15</v>
      </c>
      <c r="J1448" s="4" t="str">
        <f t="shared" si="333"/>
        <v>17:60:5:15,</v>
      </c>
    </row>
    <row r="1449" spans="1:10">
      <c r="A1449" s="4" t="str">
        <f t="shared" si="328"/>
        <v>61级红武器极品掉率</v>
      </c>
      <c r="B1449" s="4" t="s">
        <v>198</v>
      </c>
      <c r="C1449" s="4" t="s">
        <v>121</v>
      </c>
      <c r="D1449" s="4">
        <v>61</v>
      </c>
      <c r="E1449" s="4" t="s">
        <v>31</v>
      </c>
      <c r="F1449" s="4">
        <f>VLOOKUP(E1449,基础属性ID!A:B,2,0)</f>
        <v>18</v>
      </c>
      <c r="G1449" s="4">
        <f>VLOOKUP(E1449,基础属性ID!$A:$E,5,0)</f>
        <v>60</v>
      </c>
      <c r="H1449" s="4">
        <v>5</v>
      </c>
      <c r="I1449" s="4">
        <v>15</v>
      </c>
      <c r="J1449" s="4" t="str">
        <f t="shared" si="333"/>
        <v>18:60:5:15,</v>
      </c>
    </row>
    <row r="1450" spans="1:10">
      <c r="A1450" s="4" t="str">
        <f t="shared" si="328"/>
        <v>21级红护甲生命值</v>
      </c>
      <c r="B1450" s="4" t="s">
        <v>203</v>
      </c>
      <c r="C1450" s="4" t="s">
        <v>121</v>
      </c>
      <c r="D1450" s="4">
        <v>21</v>
      </c>
      <c r="E1450" s="4" t="s">
        <v>74</v>
      </c>
      <c r="F1450" s="4">
        <f>VLOOKUP(E1450,基础属性ID!A:B,2,0)</f>
        <v>1</v>
      </c>
      <c r="G1450" s="4">
        <f>VLOOKUP(E1450,基础属性ID!$A:$E,5,0)</f>
        <v>100</v>
      </c>
      <c r="H1450" s="4">
        <v>20</v>
      </c>
      <c r="I1450" s="4">
        <f>H1450*3</f>
        <v>60</v>
      </c>
      <c r="J1450" s="4" t="str">
        <f t="shared" si="333"/>
        <v>1:100:20:60,</v>
      </c>
    </row>
    <row r="1451" spans="1:10">
      <c r="A1451" s="4" t="str">
        <f t="shared" si="328"/>
        <v>21级红护甲法力值</v>
      </c>
      <c r="B1451" s="4" t="s">
        <v>203</v>
      </c>
      <c r="C1451" s="4" t="s">
        <v>121</v>
      </c>
      <c r="D1451" s="4">
        <v>21</v>
      </c>
      <c r="E1451" s="4" t="s">
        <v>75</v>
      </c>
      <c r="F1451" s="4">
        <f>VLOOKUP(E1451,基础属性ID!A:B,2,0)</f>
        <v>2</v>
      </c>
      <c r="G1451" s="4">
        <f>VLOOKUP(E1451,基础属性ID!$A:$E,5,0)</f>
        <v>100</v>
      </c>
      <c r="H1451" s="4">
        <v>18</v>
      </c>
      <c r="I1451" s="4">
        <f>H1451*2</f>
        <v>36</v>
      </c>
      <c r="J1451" s="4" t="str">
        <f t="shared" si="333"/>
        <v>2:100:18:36,</v>
      </c>
    </row>
    <row r="1452" spans="1:10">
      <c r="A1452" s="4" t="str">
        <f t="shared" si="328"/>
        <v>21级红护甲物理攻击</v>
      </c>
      <c r="B1452" s="4" t="s">
        <v>203</v>
      </c>
      <c r="C1452" s="4" t="s">
        <v>121</v>
      </c>
      <c r="D1452" s="4">
        <v>21</v>
      </c>
      <c r="E1452" s="4" t="s">
        <v>13</v>
      </c>
      <c r="F1452" s="4">
        <f>VLOOKUP(E1452,基础属性ID!A:B,2,0)</f>
        <v>3</v>
      </c>
      <c r="G1452" s="4">
        <f>VLOOKUP(E1452,基础属性ID!$A:$E,5,0)</f>
        <v>100</v>
      </c>
      <c r="H1452" s="4">
        <v>8</v>
      </c>
      <c r="I1452" s="4">
        <f t="shared" ref="I1452:I1455" si="336">H1452*3</f>
        <v>24</v>
      </c>
      <c r="J1452" s="4" t="str">
        <f t="shared" si="333"/>
        <v>3:100:8:24,</v>
      </c>
    </row>
    <row r="1453" spans="1:10">
      <c r="A1453" s="4" t="str">
        <f t="shared" si="328"/>
        <v>21级红护甲魔法攻击</v>
      </c>
      <c r="B1453" s="4" t="s">
        <v>203</v>
      </c>
      <c r="C1453" s="4" t="s">
        <v>121</v>
      </c>
      <c r="D1453" s="4">
        <v>21</v>
      </c>
      <c r="E1453" s="4" t="s">
        <v>14</v>
      </c>
      <c r="F1453" s="4">
        <f>VLOOKUP(E1453,基础属性ID!A:B,2,0)</f>
        <v>4</v>
      </c>
      <c r="G1453" s="4">
        <f>VLOOKUP(E1453,基础属性ID!$A:$E,5,0)</f>
        <v>100</v>
      </c>
      <c r="H1453" s="4">
        <v>8</v>
      </c>
      <c r="I1453" s="4">
        <f t="shared" si="336"/>
        <v>24</v>
      </c>
      <c r="J1453" s="4" t="str">
        <f t="shared" si="333"/>
        <v>4:100:8:24,</v>
      </c>
    </row>
    <row r="1454" spans="1:10">
      <c r="A1454" s="4" t="str">
        <f t="shared" si="328"/>
        <v>21级红护甲道术攻击</v>
      </c>
      <c r="B1454" s="4" t="s">
        <v>203</v>
      </c>
      <c r="C1454" s="4" t="s">
        <v>121</v>
      </c>
      <c r="D1454" s="4">
        <v>21</v>
      </c>
      <c r="E1454" s="4" t="s">
        <v>15</v>
      </c>
      <c r="F1454" s="4">
        <f>VLOOKUP(E1454,基础属性ID!A:B,2,0)</f>
        <v>5</v>
      </c>
      <c r="G1454" s="4">
        <f>VLOOKUP(E1454,基础属性ID!$A:$E,5,0)</f>
        <v>100</v>
      </c>
      <c r="H1454" s="4">
        <v>8</v>
      </c>
      <c r="I1454" s="4">
        <f t="shared" si="336"/>
        <v>24</v>
      </c>
      <c r="J1454" s="4" t="str">
        <f t="shared" si="333"/>
        <v>5:100:8:24,</v>
      </c>
    </row>
    <row r="1455" spans="1:10">
      <c r="A1455" s="4" t="str">
        <f t="shared" si="328"/>
        <v>21级红护甲防御</v>
      </c>
      <c r="B1455" s="4" t="s">
        <v>203</v>
      </c>
      <c r="C1455" s="4" t="s">
        <v>121</v>
      </c>
      <c r="D1455" s="4">
        <v>21</v>
      </c>
      <c r="E1455" s="4" t="s">
        <v>17</v>
      </c>
      <c r="F1455" s="4">
        <f>VLOOKUP(E1455,基础属性ID!A:B,2,0)</f>
        <v>6</v>
      </c>
      <c r="G1455" s="4">
        <f>VLOOKUP(E1455,基础属性ID!$A:$E,5,0)</f>
        <v>100</v>
      </c>
      <c r="H1455" s="4">
        <v>8</v>
      </c>
      <c r="I1455" s="4">
        <f t="shared" si="336"/>
        <v>24</v>
      </c>
      <c r="J1455" s="4" t="str">
        <f t="shared" si="333"/>
        <v>6:100:8:24,</v>
      </c>
    </row>
    <row r="1456" spans="1:10">
      <c r="A1456" s="4" t="str">
        <f t="shared" si="328"/>
        <v>21级红护甲攻速</v>
      </c>
      <c r="B1456" s="4" t="s">
        <v>203</v>
      </c>
      <c r="C1456" s="4" t="s">
        <v>121</v>
      </c>
      <c r="D1456" s="4">
        <v>21</v>
      </c>
      <c r="E1456" s="4" t="s">
        <v>18</v>
      </c>
      <c r="F1456" s="4">
        <f>VLOOKUP(E1456,基础属性ID!A:B,2,0)</f>
        <v>7</v>
      </c>
      <c r="G1456" s="4">
        <f>VLOOKUP(E1456,基础属性ID!$A:$E,5,0)</f>
        <v>20</v>
      </c>
      <c r="H1456" s="4">
        <v>1</v>
      </c>
      <c r="I1456" s="4">
        <v>5</v>
      </c>
      <c r="J1456" s="4" t="str">
        <f t="shared" si="333"/>
        <v>7:20:1:5,</v>
      </c>
    </row>
    <row r="1457" spans="1:10">
      <c r="A1457" s="4" t="str">
        <f t="shared" si="328"/>
        <v>21级红护甲固定伤害</v>
      </c>
      <c r="B1457" s="4" t="s">
        <v>203</v>
      </c>
      <c r="C1457" s="4" t="s">
        <v>121</v>
      </c>
      <c r="D1457" s="4">
        <v>21</v>
      </c>
      <c r="E1457" s="4" t="s">
        <v>24</v>
      </c>
      <c r="F1457" s="4">
        <f>VLOOKUP(E1457,基础属性ID!A:B,2,0)</f>
        <v>9</v>
      </c>
      <c r="G1457" s="4">
        <f>VLOOKUP(E1457,基础属性ID!$A:$E,5,0)</f>
        <v>50</v>
      </c>
      <c r="H1457" s="4">
        <v>6</v>
      </c>
      <c r="I1457" s="4">
        <f t="shared" ref="I1457:I1458" si="337">H1457*3</f>
        <v>18</v>
      </c>
      <c r="J1457" s="4" t="str">
        <f t="shared" si="333"/>
        <v>9:50:6:18,</v>
      </c>
    </row>
    <row r="1458" spans="1:10">
      <c r="A1458" s="4" t="str">
        <f t="shared" si="328"/>
        <v>21级红护甲固定减伤</v>
      </c>
      <c r="B1458" s="4" t="s">
        <v>203</v>
      </c>
      <c r="C1458" s="4" t="s">
        <v>121</v>
      </c>
      <c r="D1458" s="4">
        <v>21</v>
      </c>
      <c r="E1458" s="4" t="s">
        <v>25</v>
      </c>
      <c r="F1458" s="4">
        <f>VLOOKUP(E1458,基础属性ID!A:B,2,0)</f>
        <v>10</v>
      </c>
      <c r="G1458" s="4">
        <f>VLOOKUP(E1458,基础属性ID!$A:$E,5,0)</f>
        <v>50</v>
      </c>
      <c r="H1458" s="4">
        <v>6</v>
      </c>
      <c r="I1458" s="4">
        <f t="shared" si="337"/>
        <v>18</v>
      </c>
      <c r="J1458" s="4" t="str">
        <f t="shared" si="333"/>
        <v>10:50:6:18,</v>
      </c>
    </row>
    <row r="1459" spans="1:10">
      <c r="A1459" s="4" t="str">
        <f t="shared" si="328"/>
        <v>21级红护甲生命吸取</v>
      </c>
      <c r="B1459" s="4" t="s">
        <v>203</v>
      </c>
      <c r="C1459" s="4" t="s">
        <v>121</v>
      </c>
      <c r="D1459" s="4">
        <v>21</v>
      </c>
      <c r="E1459" s="4" t="s">
        <v>28</v>
      </c>
      <c r="F1459" s="4">
        <f>VLOOKUP(E1459,基础属性ID!A:B,2,0)</f>
        <v>11</v>
      </c>
      <c r="G1459" s="4">
        <f>VLOOKUP(E1459,基础属性ID!$A:$E,5,0)</f>
        <v>50</v>
      </c>
      <c r="H1459" s="4">
        <v>6</v>
      </c>
      <c r="I1459" s="4">
        <f t="shared" ref="I1459:I1460" si="338">H1459*3</f>
        <v>18</v>
      </c>
      <c r="J1459" s="4" t="str">
        <f t="shared" si="333"/>
        <v>11:50:6:18,</v>
      </c>
    </row>
    <row r="1460" spans="1:10">
      <c r="A1460" s="4" t="str">
        <f t="shared" si="328"/>
        <v>21级红护甲法力吸取</v>
      </c>
      <c r="B1460" s="4" t="s">
        <v>203</v>
      </c>
      <c r="C1460" s="4" t="s">
        <v>121</v>
      </c>
      <c r="D1460" s="4">
        <v>21</v>
      </c>
      <c r="E1460" s="4" t="s">
        <v>29</v>
      </c>
      <c r="F1460" s="4">
        <f>VLOOKUP(E1460,基础属性ID!A:B,2,0)</f>
        <v>12</v>
      </c>
      <c r="G1460" s="4">
        <f>VLOOKUP(E1460,基础属性ID!$A:$E,5,0)</f>
        <v>50</v>
      </c>
      <c r="H1460" s="4">
        <v>6</v>
      </c>
      <c r="I1460" s="4">
        <f t="shared" si="338"/>
        <v>18</v>
      </c>
      <c r="J1460" s="4" t="str">
        <f t="shared" si="333"/>
        <v>12:50:6:18,</v>
      </c>
    </row>
    <row r="1461" spans="1:10">
      <c r="A1461" s="4" t="str">
        <f t="shared" si="328"/>
        <v>21级红护甲暴击几率</v>
      </c>
      <c r="B1461" s="4" t="s">
        <v>203</v>
      </c>
      <c r="C1461" s="4" t="s">
        <v>121</v>
      </c>
      <c r="D1461" s="4">
        <v>21</v>
      </c>
      <c r="E1461" s="4" t="s">
        <v>21</v>
      </c>
      <c r="F1461" s="4">
        <f>VLOOKUP(E1461,基础属性ID!A:B,2,0)</f>
        <v>13</v>
      </c>
      <c r="G1461" s="4">
        <f>VLOOKUP(E1461,基础属性ID!$A:$E,5,0)</f>
        <v>20</v>
      </c>
      <c r="H1461" s="4">
        <v>300</v>
      </c>
      <c r="I1461" s="4">
        <v>500</v>
      </c>
      <c r="J1461" s="4" t="str">
        <f t="shared" si="333"/>
        <v>13:20:300:500,</v>
      </c>
    </row>
    <row r="1462" spans="1:10">
      <c r="A1462" s="4" t="str">
        <f t="shared" si="328"/>
        <v>21级红护甲爆击伤害</v>
      </c>
      <c r="B1462" s="4" t="s">
        <v>203</v>
      </c>
      <c r="C1462" s="4" t="s">
        <v>121</v>
      </c>
      <c r="D1462" s="4">
        <v>21</v>
      </c>
      <c r="E1462" s="4" t="s">
        <v>76</v>
      </c>
      <c r="F1462" s="4">
        <f>VLOOKUP(E1462,基础属性ID!A:B,2,0)</f>
        <v>14</v>
      </c>
      <c r="G1462" s="4">
        <f>VLOOKUP(E1462,基础属性ID!$A:$E,5,0)</f>
        <v>20</v>
      </c>
      <c r="H1462" s="4">
        <v>10</v>
      </c>
      <c r="I1462" s="4">
        <v>20</v>
      </c>
      <c r="J1462" s="4" t="str">
        <f t="shared" si="333"/>
        <v>14:20:10:20,</v>
      </c>
    </row>
    <row r="1463" spans="1:10">
      <c r="A1463" s="4" t="str">
        <f t="shared" si="328"/>
        <v>21级红护甲伤害增加</v>
      </c>
      <c r="B1463" s="4" t="s">
        <v>203</v>
      </c>
      <c r="C1463" s="4" t="s">
        <v>121</v>
      </c>
      <c r="D1463" s="4">
        <v>21</v>
      </c>
      <c r="E1463" s="4" t="s">
        <v>26</v>
      </c>
      <c r="F1463" s="4">
        <f>VLOOKUP(E1463,基础属性ID!A:B,2,0)</f>
        <v>15</v>
      </c>
      <c r="G1463" s="4">
        <f>VLOOKUP(E1463,基础属性ID!$A:$E,5,0)</f>
        <v>10</v>
      </c>
      <c r="H1463" s="4">
        <v>2</v>
      </c>
      <c r="I1463" s="4">
        <v>5</v>
      </c>
      <c r="J1463" s="4" t="str">
        <f t="shared" si="333"/>
        <v>15:10:2:5,</v>
      </c>
    </row>
    <row r="1464" spans="1:10">
      <c r="A1464" s="4" t="str">
        <f t="shared" si="328"/>
        <v>21级红护甲伤害减免</v>
      </c>
      <c r="B1464" s="4" t="s">
        <v>203</v>
      </c>
      <c r="C1464" s="4" t="s">
        <v>121</v>
      </c>
      <c r="D1464" s="4">
        <v>21</v>
      </c>
      <c r="E1464" s="4" t="s">
        <v>27</v>
      </c>
      <c r="F1464" s="4">
        <f>VLOOKUP(E1464,基础属性ID!A:B,2,0)</f>
        <v>16</v>
      </c>
      <c r="G1464" s="4">
        <f>VLOOKUP(E1464,基础属性ID!$A:$E,5,0)</f>
        <v>10</v>
      </c>
      <c r="H1464" s="4">
        <v>2</v>
      </c>
      <c r="I1464" s="4">
        <v>5</v>
      </c>
      <c r="J1464" s="4" t="str">
        <f t="shared" si="333"/>
        <v>16:10:2:5,</v>
      </c>
    </row>
    <row r="1465" spans="1:10">
      <c r="A1465" s="4" t="str">
        <f t="shared" si="328"/>
        <v>21级红护甲装备掉率</v>
      </c>
      <c r="B1465" s="4" t="s">
        <v>203</v>
      </c>
      <c r="C1465" s="4" t="s">
        <v>121</v>
      </c>
      <c r="D1465" s="4">
        <v>21</v>
      </c>
      <c r="E1465" s="4" t="s">
        <v>30</v>
      </c>
      <c r="F1465" s="4">
        <f>VLOOKUP(E1465,基础属性ID!A:B,2,0)</f>
        <v>17</v>
      </c>
      <c r="G1465" s="4">
        <f>VLOOKUP(E1465,基础属性ID!$A:$E,5,0)</f>
        <v>60</v>
      </c>
      <c r="H1465" s="4">
        <v>5</v>
      </c>
      <c r="I1465" s="4">
        <v>15</v>
      </c>
      <c r="J1465" s="4" t="str">
        <f t="shared" si="333"/>
        <v>17:60:5:15,</v>
      </c>
    </row>
    <row r="1466" spans="1:10">
      <c r="A1466" s="4" t="str">
        <f t="shared" si="328"/>
        <v>21级红护甲极品掉率</v>
      </c>
      <c r="B1466" s="4" t="s">
        <v>203</v>
      </c>
      <c r="C1466" s="4" t="s">
        <v>121</v>
      </c>
      <c r="D1466" s="4">
        <v>21</v>
      </c>
      <c r="E1466" s="4" t="s">
        <v>31</v>
      </c>
      <c r="F1466" s="4">
        <f>VLOOKUP(E1466,基础属性ID!A:B,2,0)</f>
        <v>18</v>
      </c>
      <c r="G1466" s="4">
        <f>VLOOKUP(E1466,基础属性ID!$A:$E,5,0)</f>
        <v>60</v>
      </c>
      <c r="H1466" s="4">
        <v>5</v>
      </c>
      <c r="I1466" s="4">
        <v>15</v>
      </c>
      <c r="J1466" s="4" t="str">
        <f t="shared" si="333"/>
        <v>18:60:5:15,</v>
      </c>
    </row>
    <row r="1467" spans="1:10">
      <c r="A1467" s="4" t="str">
        <f t="shared" si="328"/>
        <v>41级红护甲生命值</v>
      </c>
      <c r="B1467" s="4" t="s">
        <v>203</v>
      </c>
      <c r="C1467" s="4" t="s">
        <v>121</v>
      </c>
      <c r="D1467" s="4">
        <v>41</v>
      </c>
      <c r="E1467" s="4" t="s">
        <v>74</v>
      </c>
      <c r="F1467" s="4">
        <f>VLOOKUP(E1467,基础属性ID!A:B,2,0)</f>
        <v>1</v>
      </c>
      <c r="G1467" s="4">
        <f>VLOOKUP(E1467,基础属性ID!$A:$E,5,0)</f>
        <v>100</v>
      </c>
      <c r="H1467" s="4">
        <v>40</v>
      </c>
      <c r="I1467" s="4">
        <f>H1467*3</f>
        <v>120</v>
      </c>
      <c r="J1467" s="4" t="str">
        <f t="shared" si="333"/>
        <v>1:100:40:120,</v>
      </c>
    </row>
    <row r="1468" spans="1:10">
      <c r="A1468" s="4" t="str">
        <f t="shared" si="328"/>
        <v>41级红护甲法力值</v>
      </c>
      <c r="B1468" s="4" t="s">
        <v>203</v>
      </c>
      <c r="C1468" s="4" t="s">
        <v>121</v>
      </c>
      <c r="D1468" s="4">
        <v>41</v>
      </c>
      <c r="E1468" s="4" t="s">
        <v>75</v>
      </c>
      <c r="F1468" s="4">
        <f>VLOOKUP(E1468,基础属性ID!A:B,2,0)</f>
        <v>2</v>
      </c>
      <c r="G1468" s="4">
        <f>VLOOKUP(E1468,基础属性ID!$A:$E,5,0)</f>
        <v>100</v>
      </c>
      <c r="H1468" s="4">
        <v>21</v>
      </c>
      <c r="I1468" s="4">
        <f>H1468*2</f>
        <v>42</v>
      </c>
      <c r="J1468" s="4" t="str">
        <f t="shared" si="333"/>
        <v>2:100:21:42,</v>
      </c>
    </row>
    <row r="1469" spans="1:10">
      <c r="A1469" s="4" t="str">
        <f t="shared" si="328"/>
        <v>41级红护甲物理攻击</v>
      </c>
      <c r="B1469" s="4" t="s">
        <v>203</v>
      </c>
      <c r="C1469" s="4" t="s">
        <v>121</v>
      </c>
      <c r="D1469" s="4">
        <v>41</v>
      </c>
      <c r="E1469" s="4" t="s">
        <v>13</v>
      </c>
      <c r="F1469" s="4">
        <f>VLOOKUP(E1469,基础属性ID!A:B,2,0)</f>
        <v>3</v>
      </c>
      <c r="G1469" s="4">
        <f>VLOOKUP(E1469,基础属性ID!$A:$E,5,0)</f>
        <v>100</v>
      </c>
      <c r="H1469" s="4">
        <v>11</v>
      </c>
      <c r="I1469" s="4">
        <f t="shared" ref="I1469:I1472" si="339">H1469*3</f>
        <v>33</v>
      </c>
      <c r="J1469" s="4" t="str">
        <f t="shared" si="333"/>
        <v>3:100:11:33,</v>
      </c>
    </row>
    <row r="1470" spans="1:10">
      <c r="A1470" s="4" t="str">
        <f t="shared" si="328"/>
        <v>41级红护甲魔法攻击</v>
      </c>
      <c r="B1470" s="4" t="s">
        <v>203</v>
      </c>
      <c r="C1470" s="4" t="s">
        <v>121</v>
      </c>
      <c r="D1470" s="4">
        <v>41</v>
      </c>
      <c r="E1470" s="4" t="s">
        <v>14</v>
      </c>
      <c r="F1470" s="4">
        <f>VLOOKUP(E1470,基础属性ID!A:B,2,0)</f>
        <v>4</v>
      </c>
      <c r="G1470" s="4">
        <f>VLOOKUP(E1470,基础属性ID!$A:$E,5,0)</f>
        <v>100</v>
      </c>
      <c r="H1470" s="4">
        <v>11</v>
      </c>
      <c r="I1470" s="4">
        <f t="shared" si="339"/>
        <v>33</v>
      </c>
      <c r="J1470" s="4" t="str">
        <f t="shared" si="333"/>
        <v>4:100:11:33,</v>
      </c>
    </row>
    <row r="1471" spans="1:10">
      <c r="A1471" s="4" t="str">
        <f t="shared" si="328"/>
        <v>41级红护甲道术攻击</v>
      </c>
      <c r="B1471" s="4" t="s">
        <v>203</v>
      </c>
      <c r="C1471" s="4" t="s">
        <v>121</v>
      </c>
      <c r="D1471" s="4">
        <v>41</v>
      </c>
      <c r="E1471" s="4" t="s">
        <v>15</v>
      </c>
      <c r="F1471" s="4">
        <f>VLOOKUP(E1471,基础属性ID!A:B,2,0)</f>
        <v>5</v>
      </c>
      <c r="G1471" s="4">
        <f>VLOOKUP(E1471,基础属性ID!$A:$E,5,0)</f>
        <v>100</v>
      </c>
      <c r="H1471" s="4">
        <v>11</v>
      </c>
      <c r="I1471" s="4">
        <f t="shared" si="339"/>
        <v>33</v>
      </c>
      <c r="J1471" s="4" t="str">
        <f t="shared" si="333"/>
        <v>5:100:11:33,</v>
      </c>
    </row>
    <row r="1472" spans="1:10">
      <c r="A1472" s="4" t="str">
        <f t="shared" si="328"/>
        <v>41级红护甲防御</v>
      </c>
      <c r="B1472" s="4" t="s">
        <v>203</v>
      </c>
      <c r="C1472" s="4" t="s">
        <v>121</v>
      </c>
      <c r="D1472" s="4">
        <v>41</v>
      </c>
      <c r="E1472" s="4" t="s">
        <v>17</v>
      </c>
      <c r="F1472" s="4">
        <f>VLOOKUP(E1472,基础属性ID!A:B,2,0)</f>
        <v>6</v>
      </c>
      <c r="G1472" s="4">
        <f>VLOOKUP(E1472,基础属性ID!$A:$E,5,0)</f>
        <v>100</v>
      </c>
      <c r="H1472" s="4">
        <v>11</v>
      </c>
      <c r="I1472" s="4">
        <f t="shared" si="339"/>
        <v>33</v>
      </c>
      <c r="J1472" s="4" t="str">
        <f t="shared" si="333"/>
        <v>6:100:11:33,</v>
      </c>
    </row>
    <row r="1473" spans="1:10">
      <c r="A1473" s="4" t="str">
        <f t="shared" si="328"/>
        <v>41级红护甲攻速</v>
      </c>
      <c r="B1473" s="4" t="s">
        <v>203</v>
      </c>
      <c r="C1473" s="4" t="s">
        <v>121</v>
      </c>
      <c r="D1473" s="4">
        <v>41</v>
      </c>
      <c r="E1473" s="4" t="s">
        <v>18</v>
      </c>
      <c r="F1473" s="4">
        <f>VLOOKUP(E1473,基础属性ID!A:B,2,0)</f>
        <v>7</v>
      </c>
      <c r="G1473" s="4">
        <f>VLOOKUP(E1473,基础属性ID!$A:$E,5,0)</f>
        <v>20</v>
      </c>
      <c r="H1473" s="4">
        <v>1</v>
      </c>
      <c r="I1473" s="4">
        <v>5</v>
      </c>
      <c r="J1473" s="4" t="str">
        <f t="shared" si="333"/>
        <v>7:20:1:5,</v>
      </c>
    </row>
    <row r="1474" spans="1:10">
      <c r="A1474" s="4" t="str">
        <f t="shared" si="328"/>
        <v>41级红护甲固定伤害</v>
      </c>
      <c r="B1474" s="4" t="s">
        <v>203</v>
      </c>
      <c r="C1474" s="4" t="s">
        <v>121</v>
      </c>
      <c r="D1474" s="4">
        <v>41</v>
      </c>
      <c r="E1474" s="4" t="s">
        <v>24</v>
      </c>
      <c r="F1474" s="4">
        <f>VLOOKUP(E1474,基础属性ID!A:B,2,0)</f>
        <v>9</v>
      </c>
      <c r="G1474" s="4">
        <f>VLOOKUP(E1474,基础属性ID!$A:$E,5,0)</f>
        <v>50</v>
      </c>
      <c r="H1474" s="4">
        <v>8</v>
      </c>
      <c r="I1474" s="4">
        <f t="shared" ref="I1474:I1475" si="340">H1474*3</f>
        <v>24</v>
      </c>
      <c r="J1474" s="4" t="str">
        <f t="shared" si="333"/>
        <v>9:50:8:24,</v>
      </c>
    </row>
    <row r="1475" spans="1:10">
      <c r="A1475" s="4" t="str">
        <f t="shared" ref="A1475:A1538" si="341">D1475&amp;"级"&amp;C1475&amp;B1475&amp;E1475</f>
        <v>41级红护甲固定减伤</v>
      </c>
      <c r="B1475" s="4" t="s">
        <v>203</v>
      </c>
      <c r="C1475" s="4" t="s">
        <v>121</v>
      </c>
      <c r="D1475" s="4">
        <v>41</v>
      </c>
      <c r="E1475" s="4" t="s">
        <v>25</v>
      </c>
      <c r="F1475" s="4">
        <f>VLOOKUP(E1475,基础属性ID!A:B,2,0)</f>
        <v>10</v>
      </c>
      <c r="G1475" s="4">
        <f>VLOOKUP(E1475,基础属性ID!$A:$E,5,0)</f>
        <v>50</v>
      </c>
      <c r="H1475" s="4">
        <v>8</v>
      </c>
      <c r="I1475" s="4">
        <f t="shared" si="340"/>
        <v>24</v>
      </c>
      <c r="J1475" s="4" t="str">
        <f t="shared" si="333"/>
        <v>10:50:8:24,</v>
      </c>
    </row>
    <row r="1476" spans="1:10">
      <c r="A1476" s="4" t="str">
        <f t="shared" si="341"/>
        <v>41级红护甲生命吸取</v>
      </c>
      <c r="B1476" s="4" t="s">
        <v>203</v>
      </c>
      <c r="C1476" s="4" t="s">
        <v>121</v>
      </c>
      <c r="D1476" s="4">
        <v>41</v>
      </c>
      <c r="E1476" s="4" t="s">
        <v>28</v>
      </c>
      <c r="F1476" s="4">
        <f>VLOOKUP(E1476,基础属性ID!A:B,2,0)</f>
        <v>11</v>
      </c>
      <c r="G1476" s="4">
        <f>VLOOKUP(E1476,基础属性ID!$A:$E,5,0)</f>
        <v>50</v>
      </c>
      <c r="H1476" s="4">
        <v>8</v>
      </c>
      <c r="I1476" s="4">
        <f t="shared" ref="I1476:I1477" si="342">H1476*3</f>
        <v>24</v>
      </c>
      <c r="J1476" s="4" t="str">
        <f t="shared" si="333"/>
        <v>11:50:8:24,</v>
      </c>
    </row>
    <row r="1477" spans="1:10">
      <c r="A1477" s="4" t="str">
        <f t="shared" si="341"/>
        <v>41级红护甲法力吸取</v>
      </c>
      <c r="B1477" s="4" t="s">
        <v>203</v>
      </c>
      <c r="C1477" s="4" t="s">
        <v>121</v>
      </c>
      <c r="D1477" s="4">
        <v>41</v>
      </c>
      <c r="E1477" s="4" t="s">
        <v>29</v>
      </c>
      <c r="F1477" s="4">
        <f>VLOOKUP(E1477,基础属性ID!A:B,2,0)</f>
        <v>12</v>
      </c>
      <c r="G1477" s="4">
        <f>VLOOKUP(E1477,基础属性ID!$A:$E,5,0)</f>
        <v>50</v>
      </c>
      <c r="H1477" s="4">
        <v>8</v>
      </c>
      <c r="I1477" s="4">
        <f t="shared" si="342"/>
        <v>24</v>
      </c>
      <c r="J1477" s="4" t="str">
        <f t="shared" si="333"/>
        <v>12:50:8:24,</v>
      </c>
    </row>
    <row r="1478" spans="1:10">
      <c r="A1478" s="4" t="str">
        <f t="shared" si="341"/>
        <v>41级红护甲暴击几率</v>
      </c>
      <c r="B1478" s="4" t="s">
        <v>203</v>
      </c>
      <c r="C1478" s="4" t="s">
        <v>121</v>
      </c>
      <c r="D1478" s="4">
        <v>41</v>
      </c>
      <c r="E1478" s="4" t="s">
        <v>21</v>
      </c>
      <c r="F1478" s="4">
        <f>VLOOKUP(E1478,基础属性ID!A:B,2,0)</f>
        <v>13</v>
      </c>
      <c r="G1478" s="4">
        <f>VLOOKUP(E1478,基础属性ID!$A:$E,5,0)</f>
        <v>20</v>
      </c>
      <c r="H1478" s="4">
        <v>300</v>
      </c>
      <c r="I1478" s="4">
        <v>500</v>
      </c>
      <c r="J1478" s="4" t="str">
        <f t="shared" si="333"/>
        <v>13:20:300:500,</v>
      </c>
    </row>
    <row r="1479" spans="1:10">
      <c r="A1479" s="4" t="str">
        <f t="shared" si="341"/>
        <v>41级红护甲爆击伤害</v>
      </c>
      <c r="B1479" s="4" t="s">
        <v>203</v>
      </c>
      <c r="C1479" s="4" t="s">
        <v>121</v>
      </c>
      <c r="D1479" s="4">
        <v>41</v>
      </c>
      <c r="E1479" s="4" t="s">
        <v>76</v>
      </c>
      <c r="F1479" s="4">
        <f>VLOOKUP(E1479,基础属性ID!A:B,2,0)</f>
        <v>14</v>
      </c>
      <c r="G1479" s="4">
        <f>VLOOKUP(E1479,基础属性ID!$A:$E,5,0)</f>
        <v>20</v>
      </c>
      <c r="H1479" s="4">
        <v>10</v>
      </c>
      <c r="I1479" s="4">
        <v>20</v>
      </c>
      <c r="J1479" s="4" t="str">
        <f t="shared" si="333"/>
        <v>14:20:10:20,</v>
      </c>
    </row>
    <row r="1480" spans="1:10">
      <c r="A1480" s="4" t="str">
        <f t="shared" si="341"/>
        <v>41级红护甲伤害增加</v>
      </c>
      <c r="B1480" s="4" t="s">
        <v>203</v>
      </c>
      <c r="C1480" s="4" t="s">
        <v>121</v>
      </c>
      <c r="D1480" s="4">
        <v>41</v>
      </c>
      <c r="E1480" s="4" t="s">
        <v>26</v>
      </c>
      <c r="F1480" s="4">
        <f>VLOOKUP(E1480,基础属性ID!A:B,2,0)</f>
        <v>15</v>
      </c>
      <c r="G1480" s="4">
        <f>VLOOKUP(E1480,基础属性ID!$A:$E,5,0)</f>
        <v>10</v>
      </c>
      <c r="H1480" s="4">
        <v>2</v>
      </c>
      <c r="I1480" s="4">
        <v>5</v>
      </c>
      <c r="J1480" s="4" t="str">
        <f t="shared" si="333"/>
        <v>15:10:2:5,</v>
      </c>
    </row>
    <row r="1481" spans="1:10">
      <c r="A1481" s="4" t="str">
        <f t="shared" si="341"/>
        <v>41级红护甲伤害减免</v>
      </c>
      <c r="B1481" s="4" t="s">
        <v>203</v>
      </c>
      <c r="C1481" s="4" t="s">
        <v>121</v>
      </c>
      <c r="D1481" s="4">
        <v>41</v>
      </c>
      <c r="E1481" s="4" t="s">
        <v>27</v>
      </c>
      <c r="F1481" s="4">
        <f>VLOOKUP(E1481,基础属性ID!A:B,2,0)</f>
        <v>16</v>
      </c>
      <c r="G1481" s="4">
        <f>VLOOKUP(E1481,基础属性ID!$A:$E,5,0)</f>
        <v>10</v>
      </c>
      <c r="H1481" s="4">
        <v>2</v>
      </c>
      <c r="I1481" s="4">
        <v>5</v>
      </c>
      <c r="J1481" s="4" t="str">
        <f t="shared" si="333"/>
        <v>16:10:2:5,</v>
      </c>
    </row>
    <row r="1482" spans="1:10">
      <c r="A1482" s="4" t="str">
        <f t="shared" si="341"/>
        <v>41级红护甲装备掉率</v>
      </c>
      <c r="B1482" s="4" t="s">
        <v>203</v>
      </c>
      <c r="C1482" s="4" t="s">
        <v>121</v>
      </c>
      <c r="D1482" s="4">
        <v>41</v>
      </c>
      <c r="E1482" s="4" t="s">
        <v>30</v>
      </c>
      <c r="F1482" s="4">
        <f>VLOOKUP(E1482,基础属性ID!A:B,2,0)</f>
        <v>17</v>
      </c>
      <c r="G1482" s="4">
        <f>VLOOKUP(E1482,基础属性ID!$A:$E,5,0)</f>
        <v>60</v>
      </c>
      <c r="H1482" s="4">
        <v>5</v>
      </c>
      <c r="I1482" s="4">
        <v>15</v>
      </c>
      <c r="J1482" s="4" t="str">
        <f t="shared" si="333"/>
        <v>17:60:5:15,</v>
      </c>
    </row>
    <row r="1483" spans="1:10">
      <c r="A1483" s="4" t="str">
        <f t="shared" si="341"/>
        <v>41级红护甲极品掉率</v>
      </c>
      <c r="B1483" s="4" t="s">
        <v>203</v>
      </c>
      <c r="C1483" s="4" t="s">
        <v>121</v>
      </c>
      <c r="D1483" s="4">
        <v>41</v>
      </c>
      <c r="E1483" s="4" t="s">
        <v>31</v>
      </c>
      <c r="F1483" s="4">
        <f>VLOOKUP(E1483,基础属性ID!A:B,2,0)</f>
        <v>18</v>
      </c>
      <c r="G1483" s="4">
        <f>VLOOKUP(E1483,基础属性ID!$A:$E,5,0)</f>
        <v>60</v>
      </c>
      <c r="H1483" s="4">
        <v>5</v>
      </c>
      <c r="I1483" s="4">
        <v>15</v>
      </c>
      <c r="J1483" s="4" t="str">
        <f t="shared" si="333"/>
        <v>18:60:5:15,</v>
      </c>
    </row>
    <row r="1484" spans="1:10">
      <c r="A1484" s="4" t="str">
        <f t="shared" si="341"/>
        <v>61级红护甲生命值</v>
      </c>
      <c r="B1484" s="4" t="s">
        <v>203</v>
      </c>
      <c r="C1484" s="4" t="s">
        <v>121</v>
      </c>
      <c r="D1484" s="4">
        <v>61</v>
      </c>
      <c r="E1484" s="4" t="s">
        <v>74</v>
      </c>
      <c r="F1484" s="4">
        <f>VLOOKUP(E1484,基础属性ID!A:B,2,0)</f>
        <v>1</v>
      </c>
      <c r="G1484" s="4">
        <f>VLOOKUP(E1484,基础属性ID!$A:$E,5,0)</f>
        <v>100</v>
      </c>
      <c r="H1484" s="4">
        <v>60</v>
      </c>
      <c r="I1484" s="4">
        <f>H1484*3</f>
        <v>180</v>
      </c>
      <c r="J1484" s="4" t="str">
        <f t="shared" si="333"/>
        <v>1:100:60:180,</v>
      </c>
    </row>
    <row r="1485" spans="1:10">
      <c r="A1485" s="4" t="str">
        <f t="shared" si="341"/>
        <v>61级红护甲法力值</v>
      </c>
      <c r="B1485" s="4" t="s">
        <v>203</v>
      </c>
      <c r="C1485" s="4" t="s">
        <v>121</v>
      </c>
      <c r="D1485" s="4">
        <v>61</v>
      </c>
      <c r="E1485" s="4" t="s">
        <v>75</v>
      </c>
      <c r="F1485" s="4">
        <f>VLOOKUP(E1485,基础属性ID!A:B,2,0)</f>
        <v>2</v>
      </c>
      <c r="G1485" s="4">
        <f>VLOOKUP(E1485,基础属性ID!$A:$E,5,0)</f>
        <v>100</v>
      </c>
      <c r="H1485" s="4">
        <v>24</v>
      </c>
      <c r="I1485" s="4">
        <f>H1485*2</f>
        <v>48</v>
      </c>
      <c r="J1485" s="4" t="str">
        <f t="shared" si="333"/>
        <v>2:100:24:48,</v>
      </c>
    </row>
    <row r="1486" spans="1:10">
      <c r="A1486" s="4" t="str">
        <f t="shared" si="341"/>
        <v>61级红护甲物理攻击</v>
      </c>
      <c r="B1486" s="4" t="s">
        <v>203</v>
      </c>
      <c r="C1486" s="4" t="s">
        <v>121</v>
      </c>
      <c r="D1486" s="4">
        <v>61</v>
      </c>
      <c r="E1486" s="4" t="s">
        <v>13</v>
      </c>
      <c r="F1486" s="4">
        <f>VLOOKUP(E1486,基础属性ID!A:B,2,0)</f>
        <v>3</v>
      </c>
      <c r="G1486" s="4">
        <f>VLOOKUP(E1486,基础属性ID!$A:$E,5,0)</f>
        <v>100</v>
      </c>
      <c r="H1486" s="4">
        <v>15</v>
      </c>
      <c r="I1486" s="4">
        <f t="shared" ref="I1486:I1489" si="343">H1486*3</f>
        <v>45</v>
      </c>
      <c r="J1486" s="4" t="str">
        <f t="shared" si="333"/>
        <v>3:100:15:45,</v>
      </c>
    </row>
    <row r="1487" spans="1:10">
      <c r="A1487" s="4" t="str">
        <f t="shared" si="341"/>
        <v>61级红护甲魔法攻击</v>
      </c>
      <c r="B1487" s="4" t="s">
        <v>203</v>
      </c>
      <c r="C1487" s="4" t="s">
        <v>121</v>
      </c>
      <c r="D1487" s="4">
        <v>61</v>
      </c>
      <c r="E1487" s="4" t="s">
        <v>14</v>
      </c>
      <c r="F1487" s="4">
        <f>VLOOKUP(E1487,基础属性ID!A:B,2,0)</f>
        <v>4</v>
      </c>
      <c r="G1487" s="4">
        <f>VLOOKUP(E1487,基础属性ID!$A:$E,5,0)</f>
        <v>100</v>
      </c>
      <c r="H1487" s="4">
        <v>15</v>
      </c>
      <c r="I1487" s="4">
        <f t="shared" si="343"/>
        <v>45</v>
      </c>
      <c r="J1487" s="4" t="str">
        <f t="shared" si="333"/>
        <v>4:100:15:45,</v>
      </c>
    </row>
    <row r="1488" spans="1:10">
      <c r="A1488" s="4" t="str">
        <f t="shared" si="341"/>
        <v>61级红护甲道术攻击</v>
      </c>
      <c r="B1488" s="4" t="s">
        <v>203</v>
      </c>
      <c r="C1488" s="4" t="s">
        <v>121</v>
      </c>
      <c r="D1488" s="4">
        <v>61</v>
      </c>
      <c r="E1488" s="4" t="s">
        <v>15</v>
      </c>
      <c r="F1488" s="4">
        <f>VLOOKUP(E1488,基础属性ID!A:B,2,0)</f>
        <v>5</v>
      </c>
      <c r="G1488" s="4">
        <f>VLOOKUP(E1488,基础属性ID!$A:$E,5,0)</f>
        <v>100</v>
      </c>
      <c r="H1488" s="4">
        <v>15</v>
      </c>
      <c r="I1488" s="4">
        <f t="shared" si="343"/>
        <v>45</v>
      </c>
      <c r="J1488" s="4" t="str">
        <f t="shared" si="333"/>
        <v>5:100:15:45,</v>
      </c>
    </row>
    <row r="1489" spans="1:10">
      <c r="A1489" s="4" t="str">
        <f t="shared" si="341"/>
        <v>61级红护甲防御</v>
      </c>
      <c r="B1489" s="4" t="s">
        <v>203</v>
      </c>
      <c r="C1489" s="4" t="s">
        <v>121</v>
      </c>
      <c r="D1489" s="4">
        <v>61</v>
      </c>
      <c r="E1489" s="4" t="s">
        <v>17</v>
      </c>
      <c r="F1489" s="4">
        <f>VLOOKUP(E1489,基础属性ID!A:B,2,0)</f>
        <v>6</v>
      </c>
      <c r="G1489" s="4">
        <f>VLOOKUP(E1489,基础属性ID!$A:$E,5,0)</f>
        <v>100</v>
      </c>
      <c r="H1489" s="4">
        <v>15</v>
      </c>
      <c r="I1489" s="4">
        <f t="shared" si="343"/>
        <v>45</v>
      </c>
      <c r="J1489" s="4" t="str">
        <f t="shared" si="333"/>
        <v>6:100:15:45,</v>
      </c>
    </row>
    <row r="1490" spans="1:10">
      <c r="A1490" s="4" t="str">
        <f t="shared" si="341"/>
        <v>61级红护甲攻速</v>
      </c>
      <c r="B1490" s="4" t="s">
        <v>203</v>
      </c>
      <c r="C1490" s="4" t="s">
        <v>121</v>
      </c>
      <c r="D1490" s="4">
        <v>61</v>
      </c>
      <c r="E1490" s="4" t="s">
        <v>18</v>
      </c>
      <c r="F1490" s="4">
        <f>VLOOKUP(E1490,基础属性ID!A:B,2,0)</f>
        <v>7</v>
      </c>
      <c r="G1490" s="4">
        <f>VLOOKUP(E1490,基础属性ID!$A:$E,5,0)</f>
        <v>20</v>
      </c>
      <c r="H1490" s="4">
        <v>1</v>
      </c>
      <c r="I1490" s="4">
        <v>5</v>
      </c>
      <c r="J1490" s="4" t="str">
        <f t="shared" si="333"/>
        <v>7:20:1:5,</v>
      </c>
    </row>
    <row r="1491" spans="1:10">
      <c r="A1491" s="4" t="str">
        <f t="shared" si="341"/>
        <v>61级红护甲固定伤害</v>
      </c>
      <c r="B1491" s="4" t="s">
        <v>203</v>
      </c>
      <c r="C1491" s="4" t="s">
        <v>121</v>
      </c>
      <c r="D1491" s="4">
        <v>61</v>
      </c>
      <c r="E1491" s="4" t="s">
        <v>24</v>
      </c>
      <c r="F1491" s="4">
        <f>VLOOKUP(E1491,基础属性ID!A:B,2,0)</f>
        <v>9</v>
      </c>
      <c r="G1491" s="4">
        <f>VLOOKUP(E1491,基础属性ID!$A:$E,5,0)</f>
        <v>50</v>
      </c>
      <c r="H1491" s="4">
        <v>10</v>
      </c>
      <c r="I1491" s="4">
        <f t="shared" ref="I1491:I1492" si="344">H1491*3</f>
        <v>30</v>
      </c>
      <c r="J1491" s="4" t="str">
        <f t="shared" si="333"/>
        <v>9:50:10:30,</v>
      </c>
    </row>
    <row r="1492" spans="1:10">
      <c r="A1492" s="4" t="str">
        <f t="shared" si="341"/>
        <v>61级红护甲固定减伤</v>
      </c>
      <c r="B1492" s="4" t="s">
        <v>203</v>
      </c>
      <c r="C1492" s="4" t="s">
        <v>121</v>
      </c>
      <c r="D1492" s="4">
        <v>61</v>
      </c>
      <c r="E1492" s="4" t="s">
        <v>25</v>
      </c>
      <c r="F1492" s="4">
        <f>VLOOKUP(E1492,基础属性ID!A:B,2,0)</f>
        <v>10</v>
      </c>
      <c r="G1492" s="4">
        <f>VLOOKUP(E1492,基础属性ID!$A:$E,5,0)</f>
        <v>50</v>
      </c>
      <c r="H1492" s="4">
        <v>10</v>
      </c>
      <c r="I1492" s="4">
        <f t="shared" si="344"/>
        <v>30</v>
      </c>
      <c r="J1492" s="4" t="str">
        <f t="shared" si="333"/>
        <v>10:50:10:30,</v>
      </c>
    </row>
    <row r="1493" spans="1:10">
      <c r="A1493" s="4" t="str">
        <f t="shared" si="341"/>
        <v>61级红护甲生命吸取</v>
      </c>
      <c r="B1493" s="4" t="s">
        <v>203</v>
      </c>
      <c r="C1493" s="4" t="s">
        <v>121</v>
      </c>
      <c r="D1493" s="4">
        <v>61</v>
      </c>
      <c r="E1493" s="4" t="s">
        <v>28</v>
      </c>
      <c r="F1493" s="4">
        <f>VLOOKUP(E1493,基础属性ID!A:B,2,0)</f>
        <v>11</v>
      </c>
      <c r="G1493" s="4">
        <f>VLOOKUP(E1493,基础属性ID!$A:$E,5,0)</f>
        <v>50</v>
      </c>
      <c r="H1493" s="4">
        <v>10</v>
      </c>
      <c r="I1493" s="4">
        <f t="shared" ref="I1493:I1494" si="345">H1493*3</f>
        <v>30</v>
      </c>
      <c r="J1493" s="4" t="str">
        <f t="shared" si="333"/>
        <v>11:50:10:30,</v>
      </c>
    </row>
    <row r="1494" spans="1:10">
      <c r="A1494" s="4" t="str">
        <f t="shared" si="341"/>
        <v>61级红护甲法力吸取</v>
      </c>
      <c r="B1494" s="4" t="s">
        <v>203</v>
      </c>
      <c r="C1494" s="4" t="s">
        <v>121</v>
      </c>
      <c r="D1494" s="4">
        <v>61</v>
      </c>
      <c r="E1494" s="4" t="s">
        <v>29</v>
      </c>
      <c r="F1494" s="4">
        <f>VLOOKUP(E1494,基础属性ID!A:B,2,0)</f>
        <v>12</v>
      </c>
      <c r="G1494" s="4">
        <f>VLOOKUP(E1494,基础属性ID!$A:$E,5,0)</f>
        <v>50</v>
      </c>
      <c r="H1494" s="4">
        <v>10</v>
      </c>
      <c r="I1494" s="4">
        <f t="shared" si="345"/>
        <v>30</v>
      </c>
      <c r="J1494" s="4" t="str">
        <f t="shared" si="333"/>
        <v>12:50:10:30,</v>
      </c>
    </row>
    <row r="1495" spans="1:10">
      <c r="A1495" s="4" t="str">
        <f t="shared" si="341"/>
        <v>61级红护甲暴击几率</v>
      </c>
      <c r="B1495" s="4" t="s">
        <v>203</v>
      </c>
      <c r="C1495" s="4" t="s">
        <v>121</v>
      </c>
      <c r="D1495" s="4">
        <v>61</v>
      </c>
      <c r="E1495" s="4" t="s">
        <v>21</v>
      </c>
      <c r="F1495" s="4">
        <f>VLOOKUP(E1495,基础属性ID!A:B,2,0)</f>
        <v>13</v>
      </c>
      <c r="G1495" s="4">
        <f>VLOOKUP(E1495,基础属性ID!$A:$E,5,0)</f>
        <v>20</v>
      </c>
      <c r="H1495" s="4">
        <v>300</v>
      </c>
      <c r="I1495" s="4">
        <v>500</v>
      </c>
      <c r="J1495" s="4" t="str">
        <f t="shared" si="333"/>
        <v>13:20:300:500,</v>
      </c>
    </row>
    <row r="1496" spans="1:10">
      <c r="A1496" s="4" t="str">
        <f t="shared" si="341"/>
        <v>61级红护甲爆击伤害</v>
      </c>
      <c r="B1496" s="4" t="s">
        <v>203</v>
      </c>
      <c r="C1496" s="4" t="s">
        <v>121</v>
      </c>
      <c r="D1496" s="4">
        <v>61</v>
      </c>
      <c r="E1496" s="4" t="s">
        <v>76</v>
      </c>
      <c r="F1496" s="4">
        <f>VLOOKUP(E1496,基础属性ID!A:B,2,0)</f>
        <v>14</v>
      </c>
      <c r="G1496" s="4">
        <f>VLOOKUP(E1496,基础属性ID!$A:$E,5,0)</f>
        <v>20</v>
      </c>
      <c r="H1496" s="4">
        <v>10</v>
      </c>
      <c r="I1496" s="4">
        <v>20</v>
      </c>
      <c r="J1496" s="4" t="str">
        <f t="shared" si="333"/>
        <v>14:20:10:20,</v>
      </c>
    </row>
    <row r="1497" spans="1:10">
      <c r="A1497" s="4" t="str">
        <f t="shared" si="341"/>
        <v>61级红护甲伤害增加</v>
      </c>
      <c r="B1497" s="4" t="s">
        <v>203</v>
      </c>
      <c r="C1497" s="4" t="s">
        <v>121</v>
      </c>
      <c r="D1497" s="4">
        <v>61</v>
      </c>
      <c r="E1497" s="4" t="s">
        <v>26</v>
      </c>
      <c r="F1497" s="4">
        <f>VLOOKUP(E1497,基础属性ID!A:B,2,0)</f>
        <v>15</v>
      </c>
      <c r="G1497" s="4">
        <f>VLOOKUP(E1497,基础属性ID!$A:$E,5,0)</f>
        <v>10</v>
      </c>
      <c r="H1497" s="4">
        <v>2</v>
      </c>
      <c r="I1497" s="4">
        <v>5</v>
      </c>
      <c r="J1497" s="4" t="str">
        <f t="shared" si="333"/>
        <v>15:10:2:5,</v>
      </c>
    </row>
    <row r="1498" spans="1:10">
      <c r="A1498" s="4" t="str">
        <f t="shared" si="341"/>
        <v>61级红护甲伤害减免</v>
      </c>
      <c r="B1498" s="4" t="s">
        <v>203</v>
      </c>
      <c r="C1498" s="4" t="s">
        <v>121</v>
      </c>
      <c r="D1498" s="4">
        <v>61</v>
      </c>
      <c r="E1498" s="4" t="s">
        <v>27</v>
      </c>
      <c r="F1498" s="4">
        <f>VLOOKUP(E1498,基础属性ID!A:B,2,0)</f>
        <v>16</v>
      </c>
      <c r="G1498" s="4">
        <f>VLOOKUP(E1498,基础属性ID!$A:$E,5,0)</f>
        <v>10</v>
      </c>
      <c r="H1498" s="4">
        <v>2</v>
      </c>
      <c r="I1498" s="4">
        <v>5</v>
      </c>
      <c r="J1498" s="4" t="str">
        <f t="shared" si="333"/>
        <v>16:10:2:5,</v>
      </c>
    </row>
    <row r="1499" spans="1:10">
      <c r="A1499" s="4" t="str">
        <f t="shared" si="341"/>
        <v>61级红护甲装备掉率</v>
      </c>
      <c r="B1499" s="4" t="s">
        <v>203</v>
      </c>
      <c r="C1499" s="4" t="s">
        <v>121</v>
      </c>
      <c r="D1499" s="4">
        <v>61</v>
      </c>
      <c r="E1499" s="4" t="s">
        <v>30</v>
      </c>
      <c r="F1499" s="4">
        <f>VLOOKUP(E1499,基础属性ID!A:B,2,0)</f>
        <v>17</v>
      </c>
      <c r="G1499" s="4">
        <f>VLOOKUP(E1499,基础属性ID!$A:$E,5,0)</f>
        <v>60</v>
      </c>
      <c r="H1499" s="4">
        <v>5</v>
      </c>
      <c r="I1499" s="4">
        <v>15</v>
      </c>
      <c r="J1499" s="4" t="str">
        <f t="shared" ref="J1499:J1561" si="346">F1499&amp;":"&amp;G1499&amp;":"&amp;H1499&amp;":"&amp;I1499&amp;","</f>
        <v>17:60:5:15,</v>
      </c>
    </row>
    <row r="1500" spans="1:10">
      <c r="A1500" s="4" t="str">
        <f t="shared" si="341"/>
        <v>61级红护甲极品掉率</v>
      </c>
      <c r="B1500" s="4" t="s">
        <v>203</v>
      </c>
      <c r="C1500" s="4" t="s">
        <v>121</v>
      </c>
      <c r="D1500" s="4">
        <v>61</v>
      </c>
      <c r="E1500" s="4" t="s">
        <v>31</v>
      </c>
      <c r="F1500" s="4">
        <f>VLOOKUP(E1500,基础属性ID!A:B,2,0)</f>
        <v>18</v>
      </c>
      <c r="G1500" s="4">
        <f>VLOOKUP(E1500,基础属性ID!$A:$E,5,0)</f>
        <v>60</v>
      </c>
      <c r="H1500" s="4">
        <v>5</v>
      </c>
      <c r="I1500" s="4">
        <v>15</v>
      </c>
      <c r="J1500" s="4" t="str">
        <f t="shared" si="346"/>
        <v>18:60:5:15,</v>
      </c>
    </row>
    <row r="1501" spans="1:10">
      <c r="A1501" s="4" t="str">
        <f t="shared" si="341"/>
        <v>21级红项链生命值</v>
      </c>
      <c r="B1501" s="4" t="s">
        <v>215</v>
      </c>
      <c r="C1501" s="4" t="s">
        <v>121</v>
      </c>
      <c r="D1501" s="4">
        <v>21</v>
      </c>
      <c r="E1501" s="4" t="s">
        <v>74</v>
      </c>
      <c r="F1501" s="4">
        <f>VLOOKUP(E1501,基础属性ID!A:B,2,0)</f>
        <v>1</v>
      </c>
      <c r="G1501" s="4">
        <f>VLOOKUP(E1501,基础属性ID!$A:$E,5,0)</f>
        <v>100</v>
      </c>
      <c r="H1501" s="4">
        <v>20</v>
      </c>
      <c r="I1501" s="4">
        <f>H1501*3</f>
        <v>60</v>
      </c>
      <c r="J1501" s="4" t="str">
        <f t="shared" si="346"/>
        <v>1:100:20:60,</v>
      </c>
    </row>
    <row r="1502" spans="1:10">
      <c r="A1502" s="4" t="str">
        <f t="shared" si="341"/>
        <v>21级红项链法力值</v>
      </c>
      <c r="B1502" s="4" t="s">
        <v>215</v>
      </c>
      <c r="C1502" s="4" t="s">
        <v>121</v>
      </c>
      <c r="D1502" s="4">
        <v>21</v>
      </c>
      <c r="E1502" s="4" t="s">
        <v>75</v>
      </c>
      <c r="F1502" s="4">
        <f>VLOOKUP(E1502,基础属性ID!A:B,2,0)</f>
        <v>2</v>
      </c>
      <c r="G1502" s="4">
        <f>VLOOKUP(E1502,基础属性ID!$A:$E,5,0)</f>
        <v>100</v>
      </c>
      <c r="H1502" s="4">
        <v>18</v>
      </c>
      <c r="I1502" s="4">
        <f>H1502*2</f>
        <v>36</v>
      </c>
      <c r="J1502" s="4" t="str">
        <f t="shared" si="346"/>
        <v>2:100:18:36,</v>
      </c>
    </row>
    <row r="1503" spans="1:10">
      <c r="A1503" s="4" t="str">
        <f t="shared" si="341"/>
        <v>21级红项链物理攻击</v>
      </c>
      <c r="B1503" s="4" t="s">
        <v>215</v>
      </c>
      <c r="C1503" s="4" t="s">
        <v>121</v>
      </c>
      <c r="D1503" s="4">
        <v>21</v>
      </c>
      <c r="E1503" s="4" t="s">
        <v>13</v>
      </c>
      <c r="F1503" s="4">
        <f>VLOOKUP(E1503,基础属性ID!A:B,2,0)</f>
        <v>3</v>
      </c>
      <c r="G1503" s="4">
        <f>VLOOKUP(E1503,基础属性ID!$A:$E,5,0)</f>
        <v>100</v>
      </c>
      <c r="H1503" s="4">
        <v>8</v>
      </c>
      <c r="I1503" s="4">
        <f t="shared" ref="I1503:I1506" si="347">H1503*3</f>
        <v>24</v>
      </c>
      <c r="J1503" s="4" t="str">
        <f t="shared" si="346"/>
        <v>3:100:8:24,</v>
      </c>
    </row>
    <row r="1504" spans="1:10">
      <c r="A1504" s="4" t="str">
        <f t="shared" si="341"/>
        <v>21级红项链魔法攻击</v>
      </c>
      <c r="B1504" s="4" t="s">
        <v>215</v>
      </c>
      <c r="C1504" s="4" t="s">
        <v>121</v>
      </c>
      <c r="D1504" s="4">
        <v>21</v>
      </c>
      <c r="E1504" s="4" t="s">
        <v>14</v>
      </c>
      <c r="F1504" s="4">
        <f>VLOOKUP(E1504,基础属性ID!A:B,2,0)</f>
        <v>4</v>
      </c>
      <c r="G1504" s="4">
        <f>VLOOKUP(E1504,基础属性ID!$A:$E,5,0)</f>
        <v>100</v>
      </c>
      <c r="H1504" s="4">
        <v>8</v>
      </c>
      <c r="I1504" s="4">
        <f t="shared" si="347"/>
        <v>24</v>
      </c>
      <c r="J1504" s="4" t="str">
        <f t="shared" si="346"/>
        <v>4:100:8:24,</v>
      </c>
    </row>
    <row r="1505" spans="1:10">
      <c r="A1505" s="4" t="str">
        <f t="shared" si="341"/>
        <v>21级红项链道术攻击</v>
      </c>
      <c r="B1505" s="4" t="s">
        <v>215</v>
      </c>
      <c r="C1505" s="4" t="s">
        <v>121</v>
      </c>
      <c r="D1505" s="4">
        <v>21</v>
      </c>
      <c r="E1505" s="4" t="s">
        <v>15</v>
      </c>
      <c r="F1505" s="4">
        <f>VLOOKUP(E1505,基础属性ID!A:B,2,0)</f>
        <v>5</v>
      </c>
      <c r="G1505" s="4">
        <f>VLOOKUP(E1505,基础属性ID!$A:$E,5,0)</f>
        <v>100</v>
      </c>
      <c r="H1505" s="4">
        <v>8</v>
      </c>
      <c r="I1505" s="4">
        <f t="shared" si="347"/>
        <v>24</v>
      </c>
      <c r="J1505" s="4" t="str">
        <f t="shared" si="346"/>
        <v>5:100:8:24,</v>
      </c>
    </row>
    <row r="1506" spans="1:10">
      <c r="A1506" s="4" t="str">
        <f t="shared" si="341"/>
        <v>21级红项链防御</v>
      </c>
      <c r="B1506" s="4" t="s">
        <v>215</v>
      </c>
      <c r="C1506" s="4" t="s">
        <v>121</v>
      </c>
      <c r="D1506" s="4">
        <v>21</v>
      </c>
      <c r="E1506" s="4" t="s">
        <v>17</v>
      </c>
      <c r="F1506" s="4">
        <f>VLOOKUP(E1506,基础属性ID!A:B,2,0)</f>
        <v>6</v>
      </c>
      <c r="G1506" s="4">
        <f>VLOOKUP(E1506,基础属性ID!$A:$E,5,0)</f>
        <v>100</v>
      </c>
      <c r="H1506" s="4">
        <v>8</v>
      </c>
      <c r="I1506" s="4">
        <f t="shared" si="347"/>
        <v>24</v>
      </c>
      <c r="J1506" s="4" t="str">
        <f t="shared" si="346"/>
        <v>6:100:8:24,</v>
      </c>
    </row>
    <row r="1507" spans="1:10">
      <c r="A1507" s="4" t="str">
        <f t="shared" si="341"/>
        <v>21级红项链攻速</v>
      </c>
      <c r="B1507" s="4" t="s">
        <v>215</v>
      </c>
      <c r="C1507" s="4" t="s">
        <v>121</v>
      </c>
      <c r="D1507" s="4">
        <v>21</v>
      </c>
      <c r="E1507" s="4" t="s">
        <v>18</v>
      </c>
      <c r="F1507" s="4">
        <f>VLOOKUP(E1507,基础属性ID!A:B,2,0)</f>
        <v>7</v>
      </c>
      <c r="G1507" s="4">
        <f>VLOOKUP(E1507,基础属性ID!$A:$E,5,0)</f>
        <v>20</v>
      </c>
      <c r="H1507" s="4">
        <v>1</v>
      </c>
      <c r="I1507" s="4">
        <v>5</v>
      </c>
      <c r="J1507" s="4" t="str">
        <f t="shared" si="346"/>
        <v>7:20:1:5,</v>
      </c>
    </row>
    <row r="1508" spans="1:10">
      <c r="A1508" s="4" t="str">
        <f t="shared" si="341"/>
        <v>21级红项链幸运</v>
      </c>
      <c r="B1508" s="4" t="s">
        <v>215</v>
      </c>
      <c r="C1508" s="4" t="s">
        <v>121</v>
      </c>
      <c r="D1508" s="4">
        <v>21</v>
      </c>
      <c r="E1508" s="4" t="s">
        <v>19</v>
      </c>
      <c r="F1508" s="4">
        <f>VLOOKUP(E1508,基础属性ID!A:B,2,0)</f>
        <v>8</v>
      </c>
      <c r="G1508" s="4">
        <f>VLOOKUP(E1508,基础属性ID!$A:$E,5,0)</f>
        <v>20</v>
      </c>
      <c r="H1508" s="4">
        <v>1</v>
      </c>
      <c r="I1508" s="4">
        <v>5</v>
      </c>
      <c r="J1508" s="4" t="str">
        <f t="shared" si="346"/>
        <v>8:20:1:5,</v>
      </c>
    </row>
    <row r="1509" spans="1:10">
      <c r="A1509" s="4" t="str">
        <f t="shared" si="341"/>
        <v>21级红项链固定伤害</v>
      </c>
      <c r="B1509" s="4" t="s">
        <v>215</v>
      </c>
      <c r="C1509" s="4" t="s">
        <v>121</v>
      </c>
      <c r="D1509" s="4">
        <v>21</v>
      </c>
      <c r="E1509" s="4" t="s">
        <v>24</v>
      </c>
      <c r="F1509" s="4">
        <f>VLOOKUP(E1509,基础属性ID!A:B,2,0)</f>
        <v>9</v>
      </c>
      <c r="G1509" s="4">
        <f>VLOOKUP(E1509,基础属性ID!$A:$E,5,0)</f>
        <v>50</v>
      </c>
      <c r="H1509" s="4">
        <v>6</v>
      </c>
      <c r="I1509" s="4">
        <f t="shared" ref="I1509:I1510" si="348">H1509*3</f>
        <v>18</v>
      </c>
      <c r="J1509" s="4" t="str">
        <f t="shared" si="346"/>
        <v>9:50:6:18,</v>
      </c>
    </row>
    <row r="1510" spans="1:10">
      <c r="A1510" s="4" t="str">
        <f t="shared" si="341"/>
        <v>21级红项链固定减伤</v>
      </c>
      <c r="B1510" s="4" t="s">
        <v>215</v>
      </c>
      <c r="C1510" s="4" t="s">
        <v>121</v>
      </c>
      <c r="D1510" s="4">
        <v>21</v>
      </c>
      <c r="E1510" s="4" t="s">
        <v>25</v>
      </c>
      <c r="F1510" s="4">
        <f>VLOOKUP(E1510,基础属性ID!A:B,2,0)</f>
        <v>10</v>
      </c>
      <c r="G1510" s="4">
        <f>VLOOKUP(E1510,基础属性ID!$A:$E,5,0)</f>
        <v>50</v>
      </c>
      <c r="H1510" s="4">
        <v>6</v>
      </c>
      <c r="I1510" s="4">
        <f t="shared" si="348"/>
        <v>18</v>
      </c>
      <c r="J1510" s="4" t="str">
        <f t="shared" si="346"/>
        <v>10:50:6:18,</v>
      </c>
    </row>
    <row r="1511" spans="1:10">
      <c r="A1511" s="4" t="str">
        <f t="shared" si="341"/>
        <v>21级红项链生命吸取</v>
      </c>
      <c r="B1511" s="4" t="s">
        <v>215</v>
      </c>
      <c r="C1511" s="4" t="s">
        <v>121</v>
      </c>
      <c r="D1511" s="4">
        <v>21</v>
      </c>
      <c r="E1511" s="4" t="s">
        <v>28</v>
      </c>
      <c r="F1511" s="4">
        <f>VLOOKUP(E1511,基础属性ID!A:B,2,0)</f>
        <v>11</v>
      </c>
      <c r="G1511" s="4">
        <f>VLOOKUP(E1511,基础属性ID!$A:$E,5,0)</f>
        <v>50</v>
      </c>
      <c r="H1511" s="4">
        <v>6</v>
      </c>
      <c r="I1511" s="4">
        <f t="shared" ref="I1511:I1512" si="349">H1511*3</f>
        <v>18</v>
      </c>
      <c r="J1511" s="4" t="str">
        <f t="shared" si="346"/>
        <v>11:50:6:18,</v>
      </c>
    </row>
    <row r="1512" spans="1:10">
      <c r="A1512" s="4" t="str">
        <f t="shared" si="341"/>
        <v>21级红项链法力吸取</v>
      </c>
      <c r="B1512" s="4" t="s">
        <v>215</v>
      </c>
      <c r="C1512" s="4" t="s">
        <v>121</v>
      </c>
      <c r="D1512" s="4">
        <v>21</v>
      </c>
      <c r="E1512" s="4" t="s">
        <v>29</v>
      </c>
      <c r="F1512" s="4">
        <f>VLOOKUP(E1512,基础属性ID!A:B,2,0)</f>
        <v>12</v>
      </c>
      <c r="G1512" s="4">
        <f>VLOOKUP(E1512,基础属性ID!$A:$E,5,0)</f>
        <v>50</v>
      </c>
      <c r="H1512" s="4">
        <v>6</v>
      </c>
      <c r="I1512" s="4">
        <f t="shared" si="349"/>
        <v>18</v>
      </c>
      <c r="J1512" s="4" t="str">
        <f t="shared" si="346"/>
        <v>12:50:6:18,</v>
      </c>
    </row>
    <row r="1513" spans="1:10">
      <c r="A1513" s="4" t="str">
        <f t="shared" si="341"/>
        <v>21级红项链暴击几率</v>
      </c>
      <c r="B1513" s="4" t="s">
        <v>215</v>
      </c>
      <c r="C1513" s="4" t="s">
        <v>121</v>
      </c>
      <c r="D1513" s="4">
        <v>21</v>
      </c>
      <c r="E1513" s="4" t="s">
        <v>21</v>
      </c>
      <c r="F1513" s="4">
        <f>VLOOKUP(E1513,基础属性ID!A:B,2,0)</f>
        <v>13</v>
      </c>
      <c r="G1513" s="4">
        <f>VLOOKUP(E1513,基础属性ID!$A:$E,5,0)</f>
        <v>20</v>
      </c>
      <c r="H1513" s="4">
        <v>300</v>
      </c>
      <c r="I1513" s="4">
        <v>500</v>
      </c>
      <c r="J1513" s="4" t="str">
        <f t="shared" si="346"/>
        <v>13:20:300:500,</v>
      </c>
    </row>
    <row r="1514" spans="1:10">
      <c r="A1514" s="4" t="str">
        <f t="shared" si="341"/>
        <v>21级红项链爆击伤害</v>
      </c>
      <c r="B1514" s="4" t="s">
        <v>215</v>
      </c>
      <c r="C1514" s="4" t="s">
        <v>121</v>
      </c>
      <c r="D1514" s="4">
        <v>21</v>
      </c>
      <c r="E1514" s="4" t="s">
        <v>76</v>
      </c>
      <c r="F1514" s="4">
        <f>VLOOKUP(E1514,基础属性ID!A:B,2,0)</f>
        <v>14</v>
      </c>
      <c r="G1514" s="4">
        <f>VLOOKUP(E1514,基础属性ID!$A:$E,5,0)</f>
        <v>20</v>
      </c>
      <c r="H1514" s="4">
        <v>10</v>
      </c>
      <c r="I1514" s="4">
        <v>20</v>
      </c>
      <c r="J1514" s="4" t="str">
        <f t="shared" si="346"/>
        <v>14:20:10:20,</v>
      </c>
    </row>
    <row r="1515" spans="1:10">
      <c r="A1515" s="4" t="str">
        <f t="shared" si="341"/>
        <v>21级红项链伤害增加</v>
      </c>
      <c r="B1515" s="4" t="s">
        <v>215</v>
      </c>
      <c r="C1515" s="4" t="s">
        <v>121</v>
      </c>
      <c r="D1515" s="4">
        <v>21</v>
      </c>
      <c r="E1515" s="4" t="s">
        <v>26</v>
      </c>
      <c r="F1515" s="4">
        <f>VLOOKUP(E1515,基础属性ID!A:B,2,0)</f>
        <v>15</v>
      </c>
      <c r="G1515" s="4">
        <f>VLOOKUP(E1515,基础属性ID!$A:$E,5,0)</f>
        <v>10</v>
      </c>
      <c r="H1515" s="4">
        <v>2</v>
      </c>
      <c r="I1515" s="4">
        <v>5</v>
      </c>
      <c r="J1515" s="4" t="str">
        <f t="shared" si="346"/>
        <v>15:10:2:5,</v>
      </c>
    </row>
    <row r="1516" spans="1:10">
      <c r="A1516" s="4" t="str">
        <f t="shared" si="341"/>
        <v>21级红项链伤害减免</v>
      </c>
      <c r="B1516" s="4" t="s">
        <v>215</v>
      </c>
      <c r="C1516" s="4" t="s">
        <v>121</v>
      </c>
      <c r="D1516" s="4">
        <v>21</v>
      </c>
      <c r="E1516" s="4" t="s">
        <v>27</v>
      </c>
      <c r="F1516" s="4">
        <f>VLOOKUP(E1516,基础属性ID!A:B,2,0)</f>
        <v>16</v>
      </c>
      <c r="G1516" s="4">
        <f>VLOOKUP(E1516,基础属性ID!$A:$E,5,0)</f>
        <v>10</v>
      </c>
      <c r="H1516" s="4">
        <v>2</v>
      </c>
      <c r="I1516" s="4">
        <v>5</v>
      </c>
      <c r="J1516" s="4" t="str">
        <f t="shared" si="346"/>
        <v>16:10:2:5,</v>
      </c>
    </row>
    <row r="1517" spans="1:10">
      <c r="A1517" s="4" t="str">
        <f t="shared" si="341"/>
        <v>21级红项链装备掉率</v>
      </c>
      <c r="B1517" s="4" t="s">
        <v>215</v>
      </c>
      <c r="C1517" s="4" t="s">
        <v>121</v>
      </c>
      <c r="D1517" s="4">
        <v>21</v>
      </c>
      <c r="E1517" s="4" t="s">
        <v>30</v>
      </c>
      <c r="F1517" s="4">
        <f>VLOOKUP(E1517,基础属性ID!A:B,2,0)</f>
        <v>17</v>
      </c>
      <c r="G1517" s="4">
        <f>VLOOKUP(E1517,基础属性ID!$A:$E,5,0)</f>
        <v>60</v>
      </c>
      <c r="H1517" s="4">
        <v>5</v>
      </c>
      <c r="I1517" s="4">
        <v>15</v>
      </c>
      <c r="J1517" s="4" t="str">
        <f t="shared" si="346"/>
        <v>17:60:5:15,</v>
      </c>
    </row>
    <row r="1518" spans="1:10">
      <c r="A1518" s="4" t="str">
        <f t="shared" si="341"/>
        <v>21级红项链极品掉率</v>
      </c>
      <c r="B1518" s="4" t="s">
        <v>215</v>
      </c>
      <c r="C1518" s="4" t="s">
        <v>121</v>
      </c>
      <c r="D1518" s="4">
        <v>21</v>
      </c>
      <c r="E1518" s="4" t="s">
        <v>31</v>
      </c>
      <c r="F1518" s="4">
        <f>VLOOKUP(E1518,基础属性ID!A:B,2,0)</f>
        <v>18</v>
      </c>
      <c r="G1518" s="4">
        <f>VLOOKUP(E1518,基础属性ID!$A:$E,5,0)</f>
        <v>60</v>
      </c>
      <c r="H1518" s="4">
        <v>5</v>
      </c>
      <c r="I1518" s="4">
        <v>15</v>
      </c>
      <c r="J1518" s="4" t="str">
        <f t="shared" si="346"/>
        <v>18:60:5:15,</v>
      </c>
    </row>
    <row r="1519" spans="1:10">
      <c r="A1519" s="4" t="str">
        <f t="shared" si="341"/>
        <v>41级红项链生命值</v>
      </c>
      <c r="B1519" s="4" t="s">
        <v>215</v>
      </c>
      <c r="C1519" s="4" t="s">
        <v>121</v>
      </c>
      <c r="D1519" s="4">
        <v>41</v>
      </c>
      <c r="E1519" s="4" t="s">
        <v>74</v>
      </c>
      <c r="F1519" s="4">
        <f>VLOOKUP(E1519,基础属性ID!A:B,2,0)</f>
        <v>1</v>
      </c>
      <c r="G1519" s="4">
        <f>VLOOKUP(E1519,基础属性ID!$A:$E,5,0)</f>
        <v>100</v>
      </c>
      <c r="H1519" s="4">
        <v>40</v>
      </c>
      <c r="I1519" s="4">
        <f>H1519*3</f>
        <v>120</v>
      </c>
      <c r="J1519" s="4" t="str">
        <f t="shared" si="346"/>
        <v>1:100:40:120,</v>
      </c>
    </row>
    <row r="1520" spans="1:10">
      <c r="A1520" s="4" t="str">
        <f t="shared" si="341"/>
        <v>41级红项链法力值</v>
      </c>
      <c r="B1520" s="4" t="s">
        <v>215</v>
      </c>
      <c r="C1520" s="4" t="s">
        <v>121</v>
      </c>
      <c r="D1520" s="4">
        <v>41</v>
      </c>
      <c r="E1520" s="4" t="s">
        <v>75</v>
      </c>
      <c r="F1520" s="4">
        <f>VLOOKUP(E1520,基础属性ID!A:B,2,0)</f>
        <v>2</v>
      </c>
      <c r="G1520" s="4">
        <f>VLOOKUP(E1520,基础属性ID!$A:$E,5,0)</f>
        <v>100</v>
      </c>
      <c r="H1520" s="4">
        <v>21</v>
      </c>
      <c r="I1520" s="4">
        <f>H1520*2</f>
        <v>42</v>
      </c>
      <c r="J1520" s="4" t="str">
        <f t="shared" si="346"/>
        <v>2:100:21:42,</v>
      </c>
    </row>
    <row r="1521" spans="1:10">
      <c r="A1521" s="4" t="str">
        <f t="shared" si="341"/>
        <v>41级红项链物理攻击</v>
      </c>
      <c r="B1521" s="4" t="s">
        <v>215</v>
      </c>
      <c r="C1521" s="4" t="s">
        <v>121</v>
      </c>
      <c r="D1521" s="4">
        <v>41</v>
      </c>
      <c r="E1521" s="4" t="s">
        <v>13</v>
      </c>
      <c r="F1521" s="4">
        <f>VLOOKUP(E1521,基础属性ID!A:B,2,0)</f>
        <v>3</v>
      </c>
      <c r="G1521" s="4">
        <f>VLOOKUP(E1521,基础属性ID!$A:$E,5,0)</f>
        <v>100</v>
      </c>
      <c r="H1521" s="4">
        <v>11</v>
      </c>
      <c r="I1521" s="4">
        <f t="shared" ref="I1521:I1524" si="350">H1521*3</f>
        <v>33</v>
      </c>
      <c r="J1521" s="4" t="str">
        <f t="shared" si="346"/>
        <v>3:100:11:33,</v>
      </c>
    </row>
    <row r="1522" spans="1:10">
      <c r="A1522" s="4" t="str">
        <f t="shared" si="341"/>
        <v>41级红项链魔法攻击</v>
      </c>
      <c r="B1522" s="4" t="s">
        <v>215</v>
      </c>
      <c r="C1522" s="4" t="s">
        <v>121</v>
      </c>
      <c r="D1522" s="4">
        <v>41</v>
      </c>
      <c r="E1522" s="4" t="s">
        <v>14</v>
      </c>
      <c r="F1522" s="4">
        <f>VLOOKUP(E1522,基础属性ID!A:B,2,0)</f>
        <v>4</v>
      </c>
      <c r="G1522" s="4">
        <f>VLOOKUP(E1522,基础属性ID!$A:$E,5,0)</f>
        <v>100</v>
      </c>
      <c r="H1522" s="4">
        <v>11</v>
      </c>
      <c r="I1522" s="4">
        <f t="shared" si="350"/>
        <v>33</v>
      </c>
      <c r="J1522" s="4" t="str">
        <f t="shared" si="346"/>
        <v>4:100:11:33,</v>
      </c>
    </row>
    <row r="1523" spans="1:10">
      <c r="A1523" s="4" t="str">
        <f t="shared" si="341"/>
        <v>41级红项链道术攻击</v>
      </c>
      <c r="B1523" s="4" t="s">
        <v>215</v>
      </c>
      <c r="C1523" s="4" t="s">
        <v>121</v>
      </c>
      <c r="D1523" s="4">
        <v>41</v>
      </c>
      <c r="E1523" s="4" t="s">
        <v>15</v>
      </c>
      <c r="F1523" s="4">
        <f>VLOOKUP(E1523,基础属性ID!A:B,2,0)</f>
        <v>5</v>
      </c>
      <c r="G1523" s="4">
        <f>VLOOKUP(E1523,基础属性ID!$A:$E,5,0)</f>
        <v>100</v>
      </c>
      <c r="H1523" s="4">
        <v>11</v>
      </c>
      <c r="I1523" s="4">
        <f t="shared" si="350"/>
        <v>33</v>
      </c>
      <c r="J1523" s="4" t="str">
        <f t="shared" si="346"/>
        <v>5:100:11:33,</v>
      </c>
    </row>
    <row r="1524" spans="1:10">
      <c r="A1524" s="4" t="str">
        <f t="shared" si="341"/>
        <v>41级红项链防御</v>
      </c>
      <c r="B1524" s="4" t="s">
        <v>215</v>
      </c>
      <c r="C1524" s="4" t="s">
        <v>121</v>
      </c>
      <c r="D1524" s="4">
        <v>41</v>
      </c>
      <c r="E1524" s="4" t="s">
        <v>17</v>
      </c>
      <c r="F1524" s="4">
        <f>VLOOKUP(E1524,基础属性ID!A:B,2,0)</f>
        <v>6</v>
      </c>
      <c r="G1524" s="4">
        <f>VLOOKUP(E1524,基础属性ID!$A:$E,5,0)</f>
        <v>100</v>
      </c>
      <c r="H1524" s="4">
        <v>11</v>
      </c>
      <c r="I1524" s="4">
        <f t="shared" si="350"/>
        <v>33</v>
      </c>
      <c r="J1524" s="4" t="str">
        <f t="shared" si="346"/>
        <v>6:100:11:33,</v>
      </c>
    </row>
    <row r="1525" spans="1:10">
      <c r="A1525" s="4" t="str">
        <f t="shared" si="341"/>
        <v>41级红项链攻速</v>
      </c>
      <c r="B1525" s="4" t="s">
        <v>215</v>
      </c>
      <c r="C1525" s="4" t="s">
        <v>121</v>
      </c>
      <c r="D1525" s="4">
        <v>41</v>
      </c>
      <c r="E1525" s="4" t="s">
        <v>18</v>
      </c>
      <c r="F1525" s="4">
        <f>VLOOKUP(E1525,基础属性ID!A:B,2,0)</f>
        <v>7</v>
      </c>
      <c r="G1525" s="4">
        <f>VLOOKUP(E1525,基础属性ID!$A:$E,5,0)</f>
        <v>20</v>
      </c>
      <c r="H1525" s="4">
        <v>1</v>
      </c>
      <c r="I1525" s="4">
        <v>5</v>
      </c>
      <c r="J1525" s="4" t="str">
        <f t="shared" si="346"/>
        <v>7:20:1:5,</v>
      </c>
    </row>
    <row r="1526" spans="1:10">
      <c r="A1526" s="4" t="str">
        <f t="shared" si="341"/>
        <v>41级红项链幸运</v>
      </c>
      <c r="B1526" s="4" t="s">
        <v>215</v>
      </c>
      <c r="C1526" s="4" t="s">
        <v>121</v>
      </c>
      <c r="D1526" s="4">
        <v>41</v>
      </c>
      <c r="E1526" s="4" t="s">
        <v>19</v>
      </c>
      <c r="F1526" s="4">
        <f>VLOOKUP(E1526,基础属性ID!A:B,2,0)</f>
        <v>8</v>
      </c>
      <c r="G1526" s="4">
        <f>VLOOKUP(E1526,基础属性ID!$A:$E,5,0)</f>
        <v>20</v>
      </c>
      <c r="H1526" s="4">
        <v>1</v>
      </c>
      <c r="I1526" s="4">
        <v>5</v>
      </c>
      <c r="J1526" s="4" t="str">
        <f t="shared" si="346"/>
        <v>8:20:1:5,</v>
      </c>
    </row>
    <row r="1527" spans="1:10">
      <c r="A1527" s="4" t="str">
        <f t="shared" si="341"/>
        <v>41级红项链固定伤害</v>
      </c>
      <c r="B1527" s="4" t="s">
        <v>215</v>
      </c>
      <c r="C1527" s="4" t="s">
        <v>121</v>
      </c>
      <c r="D1527" s="4">
        <v>41</v>
      </c>
      <c r="E1527" s="4" t="s">
        <v>24</v>
      </c>
      <c r="F1527" s="4">
        <f>VLOOKUP(E1527,基础属性ID!A:B,2,0)</f>
        <v>9</v>
      </c>
      <c r="G1527" s="4">
        <f>VLOOKUP(E1527,基础属性ID!$A:$E,5,0)</f>
        <v>50</v>
      </c>
      <c r="H1527" s="4">
        <v>8</v>
      </c>
      <c r="I1527" s="4">
        <f t="shared" ref="I1527:I1528" si="351">H1527*3</f>
        <v>24</v>
      </c>
      <c r="J1527" s="4" t="str">
        <f t="shared" si="346"/>
        <v>9:50:8:24,</v>
      </c>
    </row>
    <row r="1528" spans="1:10">
      <c r="A1528" s="4" t="str">
        <f t="shared" si="341"/>
        <v>41级红项链固定减伤</v>
      </c>
      <c r="B1528" s="4" t="s">
        <v>215</v>
      </c>
      <c r="C1528" s="4" t="s">
        <v>121</v>
      </c>
      <c r="D1528" s="4">
        <v>41</v>
      </c>
      <c r="E1528" s="4" t="s">
        <v>25</v>
      </c>
      <c r="F1528" s="4">
        <f>VLOOKUP(E1528,基础属性ID!A:B,2,0)</f>
        <v>10</v>
      </c>
      <c r="G1528" s="4">
        <f>VLOOKUP(E1528,基础属性ID!$A:$E,5,0)</f>
        <v>50</v>
      </c>
      <c r="H1528" s="4">
        <v>8</v>
      </c>
      <c r="I1528" s="4">
        <f t="shared" si="351"/>
        <v>24</v>
      </c>
      <c r="J1528" s="4" t="str">
        <f t="shared" si="346"/>
        <v>10:50:8:24,</v>
      </c>
    </row>
    <row r="1529" spans="1:10">
      <c r="A1529" s="4" t="str">
        <f t="shared" si="341"/>
        <v>41级红项链生命吸取</v>
      </c>
      <c r="B1529" s="4" t="s">
        <v>215</v>
      </c>
      <c r="C1529" s="4" t="s">
        <v>121</v>
      </c>
      <c r="D1529" s="4">
        <v>41</v>
      </c>
      <c r="E1529" s="4" t="s">
        <v>28</v>
      </c>
      <c r="F1529" s="4">
        <f>VLOOKUP(E1529,基础属性ID!A:B,2,0)</f>
        <v>11</v>
      </c>
      <c r="G1529" s="4">
        <f>VLOOKUP(E1529,基础属性ID!$A:$E,5,0)</f>
        <v>50</v>
      </c>
      <c r="H1529" s="4">
        <v>8</v>
      </c>
      <c r="I1529" s="4">
        <f t="shared" ref="I1529:I1530" si="352">H1529*3</f>
        <v>24</v>
      </c>
      <c r="J1529" s="4" t="str">
        <f t="shared" si="346"/>
        <v>11:50:8:24,</v>
      </c>
    </row>
    <row r="1530" spans="1:10">
      <c r="A1530" s="4" t="str">
        <f t="shared" si="341"/>
        <v>41级红项链法力吸取</v>
      </c>
      <c r="B1530" s="4" t="s">
        <v>215</v>
      </c>
      <c r="C1530" s="4" t="s">
        <v>121</v>
      </c>
      <c r="D1530" s="4">
        <v>41</v>
      </c>
      <c r="E1530" s="4" t="s">
        <v>29</v>
      </c>
      <c r="F1530" s="4">
        <f>VLOOKUP(E1530,基础属性ID!A:B,2,0)</f>
        <v>12</v>
      </c>
      <c r="G1530" s="4">
        <f>VLOOKUP(E1530,基础属性ID!$A:$E,5,0)</f>
        <v>50</v>
      </c>
      <c r="H1530" s="4">
        <v>8</v>
      </c>
      <c r="I1530" s="4">
        <f t="shared" si="352"/>
        <v>24</v>
      </c>
      <c r="J1530" s="4" t="str">
        <f t="shared" si="346"/>
        <v>12:50:8:24,</v>
      </c>
    </row>
    <row r="1531" spans="1:10">
      <c r="A1531" s="4" t="str">
        <f t="shared" si="341"/>
        <v>41级红项链暴击几率</v>
      </c>
      <c r="B1531" s="4" t="s">
        <v>215</v>
      </c>
      <c r="C1531" s="4" t="s">
        <v>121</v>
      </c>
      <c r="D1531" s="4">
        <v>41</v>
      </c>
      <c r="E1531" s="4" t="s">
        <v>21</v>
      </c>
      <c r="F1531" s="4">
        <f>VLOOKUP(E1531,基础属性ID!A:B,2,0)</f>
        <v>13</v>
      </c>
      <c r="G1531" s="4">
        <f>VLOOKUP(E1531,基础属性ID!$A:$E,5,0)</f>
        <v>20</v>
      </c>
      <c r="H1531" s="4">
        <v>300</v>
      </c>
      <c r="I1531" s="4">
        <v>500</v>
      </c>
      <c r="J1531" s="4" t="str">
        <f t="shared" si="346"/>
        <v>13:20:300:500,</v>
      </c>
    </row>
    <row r="1532" spans="1:10">
      <c r="A1532" s="4" t="str">
        <f t="shared" si="341"/>
        <v>41级红项链爆击伤害</v>
      </c>
      <c r="B1532" s="4" t="s">
        <v>215</v>
      </c>
      <c r="C1532" s="4" t="s">
        <v>121</v>
      </c>
      <c r="D1532" s="4">
        <v>41</v>
      </c>
      <c r="E1532" s="4" t="s">
        <v>76</v>
      </c>
      <c r="F1532" s="4">
        <f>VLOOKUP(E1532,基础属性ID!A:B,2,0)</f>
        <v>14</v>
      </c>
      <c r="G1532" s="4">
        <f>VLOOKUP(E1532,基础属性ID!$A:$E,5,0)</f>
        <v>20</v>
      </c>
      <c r="H1532" s="4">
        <v>10</v>
      </c>
      <c r="I1532" s="4">
        <v>20</v>
      </c>
      <c r="J1532" s="4" t="str">
        <f t="shared" si="346"/>
        <v>14:20:10:20,</v>
      </c>
    </row>
    <row r="1533" spans="1:10">
      <c r="A1533" s="4" t="str">
        <f t="shared" si="341"/>
        <v>41级红项链伤害增加</v>
      </c>
      <c r="B1533" s="4" t="s">
        <v>215</v>
      </c>
      <c r="C1533" s="4" t="s">
        <v>121</v>
      </c>
      <c r="D1533" s="4">
        <v>41</v>
      </c>
      <c r="E1533" s="4" t="s">
        <v>26</v>
      </c>
      <c r="F1533" s="4">
        <f>VLOOKUP(E1533,基础属性ID!A:B,2,0)</f>
        <v>15</v>
      </c>
      <c r="G1533" s="4">
        <f>VLOOKUP(E1533,基础属性ID!$A:$E,5,0)</f>
        <v>10</v>
      </c>
      <c r="H1533" s="4">
        <v>2</v>
      </c>
      <c r="I1533" s="4">
        <v>5</v>
      </c>
      <c r="J1533" s="4" t="str">
        <f t="shared" si="346"/>
        <v>15:10:2:5,</v>
      </c>
    </row>
    <row r="1534" spans="1:10">
      <c r="A1534" s="4" t="str">
        <f t="shared" si="341"/>
        <v>41级红项链伤害减免</v>
      </c>
      <c r="B1534" s="4" t="s">
        <v>215</v>
      </c>
      <c r="C1534" s="4" t="s">
        <v>121</v>
      </c>
      <c r="D1534" s="4">
        <v>41</v>
      </c>
      <c r="E1534" s="4" t="s">
        <v>27</v>
      </c>
      <c r="F1534" s="4">
        <f>VLOOKUP(E1534,基础属性ID!A:B,2,0)</f>
        <v>16</v>
      </c>
      <c r="G1534" s="4">
        <f>VLOOKUP(E1534,基础属性ID!$A:$E,5,0)</f>
        <v>10</v>
      </c>
      <c r="H1534" s="4">
        <v>2</v>
      </c>
      <c r="I1534" s="4">
        <v>5</v>
      </c>
      <c r="J1534" s="4" t="str">
        <f t="shared" si="346"/>
        <v>16:10:2:5,</v>
      </c>
    </row>
    <row r="1535" spans="1:10">
      <c r="A1535" s="4" t="str">
        <f t="shared" si="341"/>
        <v>41级红项链装备掉率</v>
      </c>
      <c r="B1535" s="4" t="s">
        <v>215</v>
      </c>
      <c r="C1535" s="4" t="s">
        <v>121</v>
      </c>
      <c r="D1535" s="4">
        <v>41</v>
      </c>
      <c r="E1535" s="4" t="s">
        <v>30</v>
      </c>
      <c r="F1535" s="4">
        <f>VLOOKUP(E1535,基础属性ID!A:B,2,0)</f>
        <v>17</v>
      </c>
      <c r="G1535" s="4">
        <f>VLOOKUP(E1535,基础属性ID!$A:$E,5,0)</f>
        <v>60</v>
      </c>
      <c r="H1535" s="4">
        <v>5</v>
      </c>
      <c r="I1535" s="4">
        <v>15</v>
      </c>
      <c r="J1535" s="4" t="str">
        <f t="shared" si="346"/>
        <v>17:60:5:15,</v>
      </c>
    </row>
    <row r="1536" spans="1:10">
      <c r="A1536" s="4" t="str">
        <f t="shared" si="341"/>
        <v>41级红项链极品掉率</v>
      </c>
      <c r="B1536" s="4" t="s">
        <v>215</v>
      </c>
      <c r="C1536" s="4" t="s">
        <v>121</v>
      </c>
      <c r="D1536" s="4">
        <v>41</v>
      </c>
      <c r="E1536" s="4" t="s">
        <v>31</v>
      </c>
      <c r="F1536" s="4">
        <f>VLOOKUP(E1536,基础属性ID!A:B,2,0)</f>
        <v>18</v>
      </c>
      <c r="G1536" s="4">
        <f>VLOOKUP(E1536,基础属性ID!$A:$E,5,0)</f>
        <v>60</v>
      </c>
      <c r="H1536" s="4">
        <v>5</v>
      </c>
      <c r="I1536" s="4">
        <v>15</v>
      </c>
      <c r="J1536" s="4" t="str">
        <f t="shared" si="346"/>
        <v>18:60:5:15,</v>
      </c>
    </row>
    <row r="1537" spans="1:10">
      <c r="A1537" s="4" t="str">
        <f t="shared" si="341"/>
        <v>61级红项链生命值</v>
      </c>
      <c r="B1537" s="4" t="s">
        <v>215</v>
      </c>
      <c r="C1537" s="4" t="s">
        <v>121</v>
      </c>
      <c r="D1537" s="4">
        <v>61</v>
      </c>
      <c r="E1537" s="4" t="s">
        <v>74</v>
      </c>
      <c r="F1537" s="4">
        <f>VLOOKUP(E1537,基础属性ID!A:B,2,0)</f>
        <v>1</v>
      </c>
      <c r="G1537" s="4">
        <f>VLOOKUP(E1537,基础属性ID!$A:$E,5,0)</f>
        <v>100</v>
      </c>
      <c r="H1537" s="4">
        <v>60</v>
      </c>
      <c r="I1537" s="4">
        <f>H1537*3</f>
        <v>180</v>
      </c>
      <c r="J1537" s="4" t="str">
        <f t="shared" si="346"/>
        <v>1:100:60:180,</v>
      </c>
    </row>
    <row r="1538" spans="1:10">
      <c r="A1538" s="4" t="str">
        <f t="shared" si="341"/>
        <v>61级红项链法力值</v>
      </c>
      <c r="B1538" s="4" t="s">
        <v>215</v>
      </c>
      <c r="C1538" s="4" t="s">
        <v>121</v>
      </c>
      <c r="D1538" s="4">
        <v>61</v>
      </c>
      <c r="E1538" s="4" t="s">
        <v>75</v>
      </c>
      <c r="F1538" s="4">
        <f>VLOOKUP(E1538,基础属性ID!A:B,2,0)</f>
        <v>2</v>
      </c>
      <c r="G1538" s="4">
        <f>VLOOKUP(E1538,基础属性ID!$A:$E,5,0)</f>
        <v>100</v>
      </c>
      <c r="H1538" s="4">
        <v>24</v>
      </c>
      <c r="I1538" s="4">
        <f>H1538*2</f>
        <v>48</v>
      </c>
      <c r="J1538" s="4" t="str">
        <f t="shared" si="346"/>
        <v>2:100:24:48,</v>
      </c>
    </row>
    <row r="1539" spans="1:10">
      <c r="A1539" s="4" t="str">
        <f t="shared" ref="A1539:A1602" si="353">D1539&amp;"级"&amp;C1539&amp;B1539&amp;E1539</f>
        <v>61级红项链物理攻击</v>
      </c>
      <c r="B1539" s="4" t="s">
        <v>215</v>
      </c>
      <c r="C1539" s="4" t="s">
        <v>121</v>
      </c>
      <c r="D1539" s="4">
        <v>61</v>
      </c>
      <c r="E1539" s="4" t="s">
        <v>13</v>
      </c>
      <c r="F1539" s="4">
        <f>VLOOKUP(E1539,基础属性ID!A:B,2,0)</f>
        <v>3</v>
      </c>
      <c r="G1539" s="4">
        <f>VLOOKUP(E1539,基础属性ID!$A:$E,5,0)</f>
        <v>100</v>
      </c>
      <c r="H1539" s="4">
        <v>15</v>
      </c>
      <c r="I1539" s="4">
        <f t="shared" ref="I1539:I1542" si="354">H1539*3</f>
        <v>45</v>
      </c>
      <c r="J1539" s="4" t="str">
        <f t="shared" si="346"/>
        <v>3:100:15:45,</v>
      </c>
    </row>
    <row r="1540" spans="1:10">
      <c r="A1540" s="4" t="str">
        <f t="shared" si="353"/>
        <v>61级红项链魔法攻击</v>
      </c>
      <c r="B1540" s="4" t="s">
        <v>215</v>
      </c>
      <c r="C1540" s="4" t="s">
        <v>121</v>
      </c>
      <c r="D1540" s="4">
        <v>61</v>
      </c>
      <c r="E1540" s="4" t="s">
        <v>14</v>
      </c>
      <c r="F1540" s="4">
        <f>VLOOKUP(E1540,基础属性ID!A:B,2,0)</f>
        <v>4</v>
      </c>
      <c r="G1540" s="4">
        <f>VLOOKUP(E1540,基础属性ID!$A:$E,5,0)</f>
        <v>100</v>
      </c>
      <c r="H1540" s="4">
        <v>15</v>
      </c>
      <c r="I1540" s="4">
        <f t="shared" si="354"/>
        <v>45</v>
      </c>
      <c r="J1540" s="4" t="str">
        <f t="shared" si="346"/>
        <v>4:100:15:45,</v>
      </c>
    </row>
    <row r="1541" spans="1:10">
      <c r="A1541" s="4" t="str">
        <f t="shared" si="353"/>
        <v>61级红项链道术攻击</v>
      </c>
      <c r="B1541" s="4" t="s">
        <v>215</v>
      </c>
      <c r="C1541" s="4" t="s">
        <v>121</v>
      </c>
      <c r="D1541" s="4">
        <v>61</v>
      </c>
      <c r="E1541" s="4" t="s">
        <v>15</v>
      </c>
      <c r="F1541" s="4">
        <f>VLOOKUP(E1541,基础属性ID!A:B,2,0)</f>
        <v>5</v>
      </c>
      <c r="G1541" s="4">
        <f>VLOOKUP(E1541,基础属性ID!$A:$E,5,0)</f>
        <v>100</v>
      </c>
      <c r="H1541" s="4">
        <v>15</v>
      </c>
      <c r="I1541" s="4">
        <f t="shared" si="354"/>
        <v>45</v>
      </c>
      <c r="J1541" s="4" t="str">
        <f t="shared" si="346"/>
        <v>5:100:15:45,</v>
      </c>
    </row>
    <row r="1542" spans="1:10">
      <c r="A1542" s="4" t="str">
        <f t="shared" si="353"/>
        <v>61级红项链防御</v>
      </c>
      <c r="B1542" s="4" t="s">
        <v>215</v>
      </c>
      <c r="C1542" s="4" t="s">
        <v>121</v>
      </c>
      <c r="D1542" s="4">
        <v>61</v>
      </c>
      <c r="E1542" s="4" t="s">
        <v>17</v>
      </c>
      <c r="F1542" s="4">
        <f>VLOOKUP(E1542,基础属性ID!A:B,2,0)</f>
        <v>6</v>
      </c>
      <c r="G1542" s="4">
        <f>VLOOKUP(E1542,基础属性ID!$A:$E,5,0)</f>
        <v>100</v>
      </c>
      <c r="H1542" s="4">
        <v>15</v>
      </c>
      <c r="I1542" s="4">
        <f t="shared" si="354"/>
        <v>45</v>
      </c>
      <c r="J1542" s="4" t="str">
        <f t="shared" si="346"/>
        <v>6:100:15:45,</v>
      </c>
    </row>
    <row r="1543" spans="1:10">
      <c r="A1543" s="4" t="str">
        <f t="shared" si="353"/>
        <v>61级红项链攻速</v>
      </c>
      <c r="B1543" s="4" t="s">
        <v>215</v>
      </c>
      <c r="C1543" s="4" t="s">
        <v>121</v>
      </c>
      <c r="D1543" s="4">
        <v>61</v>
      </c>
      <c r="E1543" s="4" t="s">
        <v>18</v>
      </c>
      <c r="F1543" s="4">
        <f>VLOOKUP(E1543,基础属性ID!A:B,2,0)</f>
        <v>7</v>
      </c>
      <c r="G1543" s="4">
        <f>VLOOKUP(E1543,基础属性ID!$A:$E,5,0)</f>
        <v>20</v>
      </c>
      <c r="H1543" s="4">
        <v>1</v>
      </c>
      <c r="I1543" s="4">
        <v>5</v>
      </c>
      <c r="J1543" s="4" t="str">
        <f t="shared" si="346"/>
        <v>7:20:1:5,</v>
      </c>
    </row>
    <row r="1544" spans="1:10">
      <c r="A1544" s="4" t="str">
        <f t="shared" si="353"/>
        <v>61级红项链幸运</v>
      </c>
      <c r="B1544" s="4" t="s">
        <v>215</v>
      </c>
      <c r="C1544" s="4" t="s">
        <v>121</v>
      </c>
      <c r="D1544" s="4">
        <v>61</v>
      </c>
      <c r="E1544" s="4" t="s">
        <v>19</v>
      </c>
      <c r="F1544" s="4">
        <f>VLOOKUP(E1544,基础属性ID!A:B,2,0)</f>
        <v>8</v>
      </c>
      <c r="G1544" s="4">
        <f>VLOOKUP(E1544,基础属性ID!$A:$E,5,0)</f>
        <v>20</v>
      </c>
      <c r="H1544" s="4">
        <v>1</v>
      </c>
      <c r="I1544" s="4">
        <v>5</v>
      </c>
      <c r="J1544" s="4" t="str">
        <f t="shared" si="346"/>
        <v>8:20:1:5,</v>
      </c>
    </row>
    <row r="1545" spans="1:10">
      <c r="A1545" s="4" t="str">
        <f t="shared" si="353"/>
        <v>61级红项链固定伤害</v>
      </c>
      <c r="B1545" s="4" t="s">
        <v>215</v>
      </c>
      <c r="C1545" s="4" t="s">
        <v>121</v>
      </c>
      <c r="D1545" s="4">
        <v>61</v>
      </c>
      <c r="E1545" s="4" t="s">
        <v>24</v>
      </c>
      <c r="F1545" s="4">
        <f>VLOOKUP(E1545,基础属性ID!A:B,2,0)</f>
        <v>9</v>
      </c>
      <c r="G1545" s="4">
        <f>VLOOKUP(E1545,基础属性ID!$A:$E,5,0)</f>
        <v>50</v>
      </c>
      <c r="H1545" s="4">
        <v>10</v>
      </c>
      <c r="I1545" s="4">
        <f t="shared" ref="I1545:I1546" si="355">H1545*3</f>
        <v>30</v>
      </c>
      <c r="J1545" s="4" t="str">
        <f t="shared" si="346"/>
        <v>9:50:10:30,</v>
      </c>
    </row>
    <row r="1546" spans="1:10">
      <c r="A1546" s="4" t="str">
        <f t="shared" si="353"/>
        <v>61级红项链固定减伤</v>
      </c>
      <c r="B1546" s="4" t="s">
        <v>215</v>
      </c>
      <c r="C1546" s="4" t="s">
        <v>121</v>
      </c>
      <c r="D1546" s="4">
        <v>61</v>
      </c>
      <c r="E1546" s="4" t="s">
        <v>25</v>
      </c>
      <c r="F1546" s="4">
        <f>VLOOKUP(E1546,基础属性ID!A:B,2,0)</f>
        <v>10</v>
      </c>
      <c r="G1546" s="4">
        <f>VLOOKUP(E1546,基础属性ID!$A:$E,5,0)</f>
        <v>50</v>
      </c>
      <c r="H1546" s="4">
        <v>10</v>
      </c>
      <c r="I1546" s="4">
        <f t="shared" si="355"/>
        <v>30</v>
      </c>
      <c r="J1546" s="4" t="str">
        <f t="shared" si="346"/>
        <v>10:50:10:30,</v>
      </c>
    </row>
    <row r="1547" spans="1:10">
      <c r="A1547" s="4" t="str">
        <f t="shared" si="353"/>
        <v>61级红项链生命吸取</v>
      </c>
      <c r="B1547" s="4" t="s">
        <v>215</v>
      </c>
      <c r="C1547" s="4" t="s">
        <v>121</v>
      </c>
      <c r="D1547" s="4">
        <v>61</v>
      </c>
      <c r="E1547" s="4" t="s">
        <v>28</v>
      </c>
      <c r="F1547" s="4">
        <f>VLOOKUP(E1547,基础属性ID!A:B,2,0)</f>
        <v>11</v>
      </c>
      <c r="G1547" s="4">
        <f>VLOOKUP(E1547,基础属性ID!$A:$E,5,0)</f>
        <v>50</v>
      </c>
      <c r="H1547" s="4">
        <v>10</v>
      </c>
      <c r="I1547" s="4">
        <f t="shared" ref="I1547:I1548" si="356">H1547*3</f>
        <v>30</v>
      </c>
      <c r="J1547" s="4" t="str">
        <f t="shared" si="346"/>
        <v>11:50:10:30,</v>
      </c>
    </row>
    <row r="1548" spans="1:10">
      <c r="A1548" s="4" t="str">
        <f t="shared" si="353"/>
        <v>61级红项链法力吸取</v>
      </c>
      <c r="B1548" s="4" t="s">
        <v>215</v>
      </c>
      <c r="C1548" s="4" t="s">
        <v>121</v>
      </c>
      <c r="D1548" s="4">
        <v>61</v>
      </c>
      <c r="E1548" s="4" t="s">
        <v>29</v>
      </c>
      <c r="F1548" s="4">
        <f>VLOOKUP(E1548,基础属性ID!A:B,2,0)</f>
        <v>12</v>
      </c>
      <c r="G1548" s="4">
        <f>VLOOKUP(E1548,基础属性ID!$A:$E,5,0)</f>
        <v>50</v>
      </c>
      <c r="H1548" s="4">
        <v>10</v>
      </c>
      <c r="I1548" s="4">
        <f t="shared" si="356"/>
        <v>30</v>
      </c>
      <c r="J1548" s="4" t="str">
        <f t="shared" si="346"/>
        <v>12:50:10:30,</v>
      </c>
    </row>
    <row r="1549" spans="1:10">
      <c r="A1549" s="4" t="str">
        <f t="shared" si="353"/>
        <v>61级红项链暴击几率</v>
      </c>
      <c r="B1549" s="4" t="s">
        <v>215</v>
      </c>
      <c r="C1549" s="4" t="s">
        <v>121</v>
      </c>
      <c r="D1549" s="4">
        <v>61</v>
      </c>
      <c r="E1549" s="4" t="s">
        <v>21</v>
      </c>
      <c r="F1549" s="4">
        <f>VLOOKUP(E1549,基础属性ID!A:B,2,0)</f>
        <v>13</v>
      </c>
      <c r="G1549" s="4">
        <f>VLOOKUP(E1549,基础属性ID!$A:$E,5,0)</f>
        <v>20</v>
      </c>
      <c r="H1549" s="4">
        <v>300</v>
      </c>
      <c r="I1549" s="4">
        <v>500</v>
      </c>
      <c r="J1549" s="4" t="str">
        <f t="shared" si="346"/>
        <v>13:20:300:500,</v>
      </c>
    </row>
    <row r="1550" spans="1:10">
      <c r="A1550" s="4" t="str">
        <f t="shared" si="353"/>
        <v>61级红项链爆击伤害</v>
      </c>
      <c r="B1550" s="4" t="s">
        <v>215</v>
      </c>
      <c r="C1550" s="4" t="s">
        <v>121</v>
      </c>
      <c r="D1550" s="4">
        <v>61</v>
      </c>
      <c r="E1550" s="4" t="s">
        <v>76</v>
      </c>
      <c r="F1550" s="4">
        <f>VLOOKUP(E1550,基础属性ID!A:B,2,0)</f>
        <v>14</v>
      </c>
      <c r="G1550" s="4">
        <f>VLOOKUP(E1550,基础属性ID!$A:$E,5,0)</f>
        <v>20</v>
      </c>
      <c r="H1550" s="4">
        <v>10</v>
      </c>
      <c r="I1550" s="4">
        <v>20</v>
      </c>
      <c r="J1550" s="4" t="str">
        <f t="shared" si="346"/>
        <v>14:20:10:20,</v>
      </c>
    </row>
    <row r="1551" spans="1:10">
      <c r="A1551" s="4" t="str">
        <f t="shared" si="353"/>
        <v>61级红项链伤害增加</v>
      </c>
      <c r="B1551" s="4" t="s">
        <v>215</v>
      </c>
      <c r="C1551" s="4" t="s">
        <v>121</v>
      </c>
      <c r="D1551" s="4">
        <v>61</v>
      </c>
      <c r="E1551" s="4" t="s">
        <v>26</v>
      </c>
      <c r="F1551" s="4">
        <f>VLOOKUP(E1551,基础属性ID!A:B,2,0)</f>
        <v>15</v>
      </c>
      <c r="G1551" s="4">
        <f>VLOOKUP(E1551,基础属性ID!$A:$E,5,0)</f>
        <v>10</v>
      </c>
      <c r="H1551" s="4">
        <v>2</v>
      </c>
      <c r="I1551" s="4">
        <v>5</v>
      </c>
      <c r="J1551" s="4" t="str">
        <f t="shared" si="346"/>
        <v>15:10:2:5,</v>
      </c>
    </row>
    <row r="1552" spans="1:10">
      <c r="A1552" s="4" t="str">
        <f t="shared" si="353"/>
        <v>61级红项链伤害减免</v>
      </c>
      <c r="B1552" s="4" t="s">
        <v>215</v>
      </c>
      <c r="C1552" s="4" t="s">
        <v>121</v>
      </c>
      <c r="D1552" s="4">
        <v>61</v>
      </c>
      <c r="E1552" s="4" t="s">
        <v>27</v>
      </c>
      <c r="F1552" s="4">
        <f>VLOOKUP(E1552,基础属性ID!A:B,2,0)</f>
        <v>16</v>
      </c>
      <c r="G1552" s="4">
        <f>VLOOKUP(E1552,基础属性ID!$A:$E,5,0)</f>
        <v>10</v>
      </c>
      <c r="H1552" s="4">
        <v>2</v>
      </c>
      <c r="I1552" s="4">
        <v>5</v>
      </c>
      <c r="J1552" s="4" t="str">
        <f t="shared" si="346"/>
        <v>16:10:2:5,</v>
      </c>
    </row>
    <row r="1553" spans="1:10">
      <c r="A1553" s="4" t="str">
        <f t="shared" si="353"/>
        <v>61级红项链装备掉率</v>
      </c>
      <c r="B1553" s="4" t="s">
        <v>215</v>
      </c>
      <c r="C1553" s="4" t="s">
        <v>121</v>
      </c>
      <c r="D1553" s="4">
        <v>61</v>
      </c>
      <c r="E1553" s="4" t="s">
        <v>30</v>
      </c>
      <c r="F1553" s="4">
        <f>VLOOKUP(E1553,基础属性ID!A:B,2,0)</f>
        <v>17</v>
      </c>
      <c r="G1553" s="4">
        <f>VLOOKUP(E1553,基础属性ID!$A:$E,5,0)</f>
        <v>60</v>
      </c>
      <c r="H1553" s="4">
        <v>5</v>
      </c>
      <c r="I1553" s="4">
        <v>15</v>
      </c>
      <c r="J1553" s="4" t="str">
        <f t="shared" si="346"/>
        <v>17:60:5:15,</v>
      </c>
    </row>
    <row r="1554" spans="1:10">
      <c r="A1554" s="4" t="str">
        <f t="shared" si="353"/>
        <v>61级红项链极品掉率</v>
      </c>
      <c r="B1554" s="4" t="s">
        <v>215</v>
      </c>
      <c r="C1554" s="4" t="s">
        <v>121</v>
      </c>
      <c r="D1554" s="4">
        <v>61</v>
      </c>
      <c r="E1554" s="4" t="s">
        <v>31</v>
      </c>
      <c r="F1554" s="4">
        <f>VLOOKUP(E1554,基础属性ID!A:B,2,0)</f>
        <v>18</v>
      </c>
      <c r="G1554" s="4">
        <f>VLOOKUP(E1554,基础属性ID!$A:$E,5,0)</f>
        <v>60</v>
      </c>
      <c r="H1554" s="4">
        <v>5</v>
      </c>
      <c r="I1554" s="4">
        <v>15</v>
      </c>
      <c r="J1554" s="4" t="str">
        <f t="shared" si="346"/>
        <v>18:60:5:15,</v>
      </c>
    </row>
    <row r="1555" spans="1:10">
      <c r="A1555" s="4" t="str">
        <f t="shared" si="353"/>
        <v>21级红手镯生命值</v>
      </c>
      <c r="B1555" s="4" t="s">
        <v>218</v>
      </c>
      <c r="C1555" s="4" t="s">
        <v>121</v>
      </c>
      <c r="D1555" s="4">
        <v>21</v>
      </c>
      <c r="E1555" s="4" t="s">
        <v>74</v>
      </c>
      <c r="F1555" s="4">
        <f>VLOOKUP(E1555,基础属性ID!A:B,2,0)</f>
        <v>1</v>
      </c>
      <c r="G1555" s="4">
        <f>VLOOKUP(E1555,基础属性ID!$A:$E,5,0)</f>
        <v>100</v>
      </c>
      <c r="H1555" s="4">
        <v>20</v>
      </c>
      <c r="I1555" s="4">
        <f>H1555*3</f>
        <v>60</v>
      </c>
      <c r="J1555" s="4" t="str">
        <f t="shared" si="346"/>
        <v>1:100:20:60,</v>
      </c>
    </row>
    <row r="1556" spans="1:10">
      <c r="A1556" s="4" t="str">
        <f t="shared" si="353"/>
        <v>21级红手镯法力值</v>
      </c>
      <c r="B1556" s="4" t="s">
        <v>218</v>
      </c>
      <c r="C1556" s="4" t="s">
        <v>121</v>
      </c>
      <c r="D1556" s="4">
        <v>21</v>
      </c>
      <c r="E1556" s="4" t="s">
        <v>75</v>
      </c>
      <c r="F1556" s="4">
        <f>VLOOKUP(E1556,基础属性ID!A:B,2,0)</f>
        <v>2</v>
      </c>
      <c r="G1556" s="4">
        <f>VLOOKUP(E1556,基础属性ID!$A:$E,5,0)</f>
        <v>100</v>
      </c>
      <c r="H1556" s="4">
        <v>18</v>
      </c>
      <c r="I1556" s="4">
        <f>H1556*2</f>
        <v>36</v>
      </c>
      <c r="J1556" s="4" t="str">
        <f t="shared" si="346"/>
        <v>2:100:18:36,</v>
      </c>
    </row>
    <row r="1557" spans="1:10">
      <c r="A1557" s="4" t="str">
        <f t="shared" si="353"/>
        <v>21级红手镯物理攻击</v>
      </c>
      <c r="B1557" s="4" t="s">
        <v>218</v>
      </c>
      <c r="C1557" s="4" t="s">
        <v>121</v>
      </c>
      <c r="D1557" s="4">
        <v>21</v>
      </c>
      <c r="E1557" s="4" t="s">
        <v>13</v>
      </c>
      <c r="F1557" s="4">
        <f>VLOOKUP(E1557,基础属性ID!A:B,2,0)</f>
        <v>3</v>
      </c>
      <c r="G1557" s="4">
        <f>VLOOKUP(E1557,基础属性ID!$A:$E,5,0)</f>
        <v>100</v>
      </c>
      <c r="H1557" s="4">
        <v>8</v>
      </c>
      <c r="I1557" s="4">
        <f t="shared" ref="I1557:I1560" si="357">H1557*3</f>
        <v>24</v>
      </c>
      <c r="J1557" s="4" t="str">
        <f t="shared" si="346"/>
        <v>3:100:8:24,</v>
      </c>
    </row>
    <row r="1558" spans="1:10">
      <c r="A1558" s="4" t="str">
        <f t="shared" si="353"/>
        <v>21级红手镯魔法攻击</v>
      </c>
      <c r="B1558" s="4" t="s">
        <v>218</v>
      </c>
      <c r="C1558" s="4" t="s">
        <v>121</v>
      </c>
      <c r="D1558" s="4">
        <v>21</v>
      </c>
      <c r="E1558" s="4" t="s">
        <v>14</v>
      </c>
      <c r="F1558" s="4">
        <f>VLOOKUP(E1558,基础属性ID!A:B,2,0)</f>
        <v>4</v>
      </c>
      <c r="G1558" s="4">
        <f>VLOOKUP(E1558,基础属性ID!$A:$E,5,0)</f>
        <v>100</v>
      </c>
      <c r="H1558" s="4">
        <v>8</v>
      </c>
      <c r="I1558" s="4">
        <f t="shared" si="357"/>
        <v>24</v>
      </c>
      <c r="J1558" s="4" t="str">
        <f t="shared" si="346"/>
        <v>4:100:8:24,</v>
      </c>
    </row>
    <row r="1559" spans="1:10">
      <c r="A1559" s="4" t="str">
        <f t="shared" si="353"/>
        <v>21级红手镯道术攻击</v>
      </c>
      <c r="B1559" s="4" t="s">
        <v>218</v>
      </c>
      <c r="C1559" s="4" t="s">
        <v>121</v>
      </c>
      <c r="D1559" s="4">
        <v>21</v>
      </c>
      <c r="E1559" s="4" t="s">
        <v>15</v>
      </c>
      <c r="F1559" s="4">
        <f>VLOOKUP(E1559,基础属性ID!A:B,2,0)</f>
        <v>5</v>
      </c>
      <c r="G1559" s="4">
        <f>VLOOKUP(E1559,基础属性ID!$A:$E,5,0)</f>
        <v>100</v>
      </c>
      <c r="H1559" s="4">
        <v>8</v>
      </c>
      <c r="I1559" s="4">
        <f t="shared" si="357"/>
        <v>24</v>
      </c>
      <c r="J1559" s="4" t="str">
        <f t="shared" si="346"/>
        <v>5:100:8:24,</v>
      </c>
    </row>
    <row r="1560" spans="1:10">
      <c r="A1560" s="4" t="str">
        <f t="shared" si="353"/>
        <v>21级红手镯防御</v>
      </c>
      <c r="B1560" s="4" t="s">
        <v>218</v>
      </c>
      <c r="C1560" s="4" t="s">
        <v>121</v>
      </c>
      <c r="D1560" s="4">
        <v>21</v>
      </c>
      <c r="E1560" s="4" t="s">
        <v>17</v>
      </c>
      <c r="F1560" s="4">
        <f>VLOOKUP(E1560,基础属性ID!A:B,2,0)</f>
        <v>6</v>
      </c>
      <c r="G1560" s="4">
        <f>VLOOKUP(E1560,基础属性ID!$A:$E,5,0)</f>
        <v>100</v>
      </c>
      <c r="H1560" s="4">
        <v>8</v>
      </c>
      <c r="I1560" s="4">
        <f t="shared" si="357"/>
        <v>24</v>
      </c>
      <c r="J1560" s="4" t="str">
        <f t="shared" si="346"/>
        <v>6:100:8:24,</v>
      </c>
    </row>
    <row r="1561" spans="1:10">
      <c r="A1561" s="4" t="str">
        <f t="shared" si="353"/>
        <v>21级红手镯攻速</v>
      </c>
      <c r="B1561" s="4" t="s">
        <v>218</v>
      </c>
      <c r="C1561" s="4" t="s">
        <v>121</v>
      </c>
      <c r="D1561" s="4">
        <v>21</v>
      </c>
      <c r="E1561" s="4" t="s">
        <v>18</v>
      </c>
      <c r="F1561" s="4">
        <f>VLOOKUP(E1561,基础属性ID!A:B,2,0)</f>
        <v>7</v>
      </c>
      <c r="G1561" s="4">
        <f>VLOOKUP(E1561,基础属性ID!$A:$E,5,0)</f>
        <v>20</v>
      </c>
      <c r="H1561" s="4">
        <v>1</v>
      </c>
      <c r="I1561" s="4">
        <v>5</v>
      </c>
      <c r="J1561" s="4" t="str">
        <f t="shared" si="346"/>
        <v>7:20:1:5,</v>
      </c>
    </row>
    <row r="1562" spans="1:10">
      <c r="A1562" s="4" t="str">
        <f t="shared" si="353"/>
        <v>21级红手镯固定伤害</v>
      </c>
      <c r="B1562" s="4" t="s">
        <v>218</v>
      </c>
      <c r="C1562" s="4" t="s">
        <v>121</v>
      </c>
      <c r="D1562" s="4">
        <v>21</v>
      </c>
      <c r="E1562" s="4" t="s">
        <v>24</v>
      </c>
      <c r="F1562" s="4">
        <f>VLOOKUP(E1562,基础属性ID!A:B,2,0)</f>
        <v>9</v>
      </c>
      <c r="G1562" s="4">
        <f>VLOOKUP(E1562,基础属性ID!$A:$E,5,0)</f>
        <v>50</v>
      </c>
      <c r="H1562" s="4">
        <v>6</v>
      </c>
      <c r="I1562" s="4">
        <f t="shared" ref="I1562:I1563" si="358">H1562*3</f>
        <v>18</v>
      </c>
      <c r="J1562" s="4" t="str">
        <f t="shared" ref="J1562:J1622" si="359">F1562&amp;":"&amp;G1562&amp;":"&amp;H1562&amp;":"&amp;I1562&amp;","</f>
        <v>9:50:6:18,</v>
      </c>
    </row>
    <row r="1563" spans="1:10">
      <c r="A1563" s="4" t="str">
        <f t="shared" si="353"/>
        <v>21级红手镯固定减伤</v>
      </c>
      <c r="B1563" s="4" t="s">
        <v>218</v>
      </c>
      <c r="C1563" s="4" t="s">
        <v>121</v>
      </c>
      <c r="D1563" s="4">
        <v>21</v>
      </c>
      <c r="E1563" s="4" t="s">
        <v>25</v>
      </c>
      <c r="F1563" s="4">
        <f>VLOOKUP(E1563,基础属性ID!A:B,2,0)</f>
        <v>10</v>
      </c>
      <c r="G1563" s="4">
        <f>VLOOKUP(E1563,基础属性ID!$A:$E,5,0)</f>
        <v>50</v>
      </c>
      <c r="H1563" s="4">
        <v>6</v>
      </c>
      <c r="I1563" s="4">
        <f t="shared" si="358"/>
        <v>18</v>
      </c>
      <c r="J1563" s="4" t="str">
        <f t="shared" si="359"/>
        <v>10:50:6:18,</v>
      </c>
    </row>
    <row r="1564" spans="1:10">
      <c r="A1564" s="4" t="str">
        <f t="shared" si="353"/>
        <v>21级红手镯生命吸取</v>
      </c>
      <c r="B1564" s="4" t="s">
        <v>218</v>
      </c>
      <c r="C1564" s="4" t="s">
        <v>121</v>
      </c>
      <c r="D1564" s="4">
        <v>21</v>
      </c>
      <c r="E1564" s="4" t="s">
        <v>28</v>
      </c>
      <c r="F1564" s="4">
        <f>VLOOKUP(E1564,基础属性ID!A:B,2,0)</f>
        <v>11</v>
      </c>
      <c r="G1564" s="4">
        <f>VLOOKUP(E1564,基础属性ID!$A:$E,5,0)</f>
        <v>50</v>
      </c>
      <c r="H1564" s="4">
        <v>6</v>
      </c>
      <c r="I1564" s="4">
        <f t="shared" ref="I1564:I1565" si="360">H1564*3</f>
        <v>18</v>
      </c>
      <c r="J1564" s="4" t="str">
        <f t="shared" si="359"/>
        <v>11:50:6:18,</v>
      </c>
    </row>
    <row r="1565" spans="1:10">
      <c r="A1565" s="4" t="str">
        <f t="shared" si="353"/>
        <v>21级红手镯法力吸取</v>
      </c>
      <c r="B1565" s="4" t="s">
        <v>218</v>
      </c>
      <c r="C1565" s="4" t="s">
        <v>121</v>
      </c>
      <c r="D1565" s="4">
        <v>21</v>
      </c>
      <c r="E1565" s="4" t="s">
        <v>29</v>
      </c>
      <c r="F1565" s="4">
        <f>VLOOKUP(E1565,基础属性ID!A:B,2,0)</f>
        <v>12</v>
      </c>
      <c r="G1565" s="4">
        <f>VLOOKUP(E1565,基础属性ID!$A:$E,5,0)</f>
        <v>50</v>
      </c>
      <c r="H1565" s="4">
        <v>6</v>
      </c>
      <c r="I1565" s="4">
        <f t="shared" si="360"/>
        <v>18</v>
      </c>
      <c r="J1565" s="4" t="str">
        <f t="shared" si="359"/>
        <v>12:50:6:18,</v>
      </c>
    </row>
    <row r="1566" spans="1:10">
      <c r="A1566" s="4" t="str">
        <f t="shared" si="353"/>
        <v>21级红手镯暴击几率</v>
      </c>
      <c r="B1566" s="4" t="s">
        <v>218</v>
      </c>
      <c r="C1566" s="4" t="s">
        <v>121</v>
      </c>
      <c r="D1566" s="4">
        <v>21</v>
      </c>
      <c r="E1566" s="4" t="s">
        <v>21</v>
      </c>
      <c r="F1566" s="4">
        <f>VLOOKUP(E1566,基础属性ID!A:B,2,0)</f>
        <v>13</v>
      </c>
      <c r="G1566" s="4">
        <f>VLOOKUP(E1566,基础属性ID!$A:$E,5,0)</f>
        <v>20</v>
      </c>
      <c r="H1566" s="4">
        <v>300</v>
      </c>
      <c r="I1566" s="4">
        <v>500</v>
      </c>
      <c r="J1566" s="4" t="str">
        <f t="shared" si="359"/>
        <v>13:20:300:500,</v>
      </c>
    </row>
    <row r="1567" spans="1:10">
      <c r="A1567" s="4" t="str">
        <f t="shared" si="353"/>
        <v>21级红手镯爆击伤害</v>
      </c>
      <c r="B1567" s="4" t="s">
        <v>218</v>
      </c>
      <c r="C1567" s="4" t="s">
        <v>121</v>
      </c>
      <c r="D1567" s="4">
        <v>21</v>
      </c>
      <c r="E1567" s="4" t="s">
        <v>76</v>
      </c>
      <c r="F1567" s="4">
        <f>VLOOKUP(E1567,基础属性ID!A:B,2,0)</f>
        <v>14</v>
      </c>
      <c r="G1567" s="4">
        <f>VLOOKUP(E1567,基础属性ID!$A:$E,5,0)</f>
        <v>20</v>
      </c>
      <c r="H1567" s="4">
        <v>10</v>
      </c>
      <c r="I1567" s="4">
        <v>20</v>
      </c>
      <c r="J1567" s="4" t="str">
        <f t="shared" si="359"/>
        <v>14:20:10:20,</v>
      </c>
    </row>
    <row r="1568" spans="1:10">
      <c r="A1568" s="4" t="str">
        <f t="shared" si="353"/>
        <v>21级红手镯伤害增加</v>
      </c>
      <c r="B1568" s="4" t="s">
        <v>218</v>
      </c>
      <c r="C1568" s="4" t="s">
        <v>121</v>
      </c>
      <c r="D1568" s="4">
        <v>21</v>
      </c>
      <c r="E1568" s="4" t="s">
        <v>26</v>
      </c>
      <c r="F1568" s="4">
        <f>VLOOKUP(E1568,基础属性ID!A:B,2,0)</f>
        <v>15</v>
      </c>
      <c r="G1568" s="4">
        <f>VLOOKUP(E1568,基础属性ID!$A:$E,5,0)</f>
        <v>10</v>
      </c>
      <c r="H1568" s="4">
        <v>2</v>
      </c>
      <c r="I1568" s="4">
        <v>5</v>
      </c>
      <c r="J1568" s="4" t="str">
        <f t="shared" si="359"/>
        <v>15:10:2:5,</v>
      </c>
    </row>
    <row r="1569" spans="1:10">
      <c r="A1569" s="4" t="str">
        <f t="shared" si="353"/>
        <v>21级红手镯伤害减免</v>
      </c>
      <c r="B1569" s="4" t="s">
        <v>218</v>
      </c>
      <c r="C1569" s="4" t="s">
        <v>121</v>
      </c>
      <c r="D1569" s="4">
        <v>21</v>
      </c>
      <c r="E1569" s="4" t="s">
        <v>27</v>
      </c>
      <c r="F1569" s="4">
        <f>VLOOKUP(E1569,基础属性ID!A:B,2,0)</f>
        <v>16</v>
      </c>
      <c r="G1569" s="4">
        <f>VLOOKUP(E1569,基础属性ID!$A:$E,5,0)</f>
        <v>10</v>
      </c>
      <c r="H1569" s="4">
        <v>2</v>
      </c>
      <c r="I1569" s="4">
        <v>5</v>
      </c>
      <c r="J1569" s="4" t="str">
        <f t="shared" si="359"/>
        <v>16:10:2:5,</v>
      </c>
    </row>
    <row r="1570" spans="1:10">
      <c r="A1570" s="4" t="str">
        <f t="shared" si="353"/>
        <v>21级红手镯装备掉率</v>
      </c>
      <c r="B1570" s="4" t="s">
        <v>218</v>
      </c>
      <c r="C1570" s="4" t="s">
        <v>121</v>
      </c>
      <c r="D1570" s="4">
        <v>21</v>
      </c>
      <c r="E1570" s="4" t="s">
        <v>30</v>
      </c>
      <c r="F1570" s="4">
        <f>VLOOKUP(E1570,基础属性ID!A:B,2,0)</f>
        <v>17</v>
      </c>
      <c r="G1570" s="4">
        <f>VLOOKUP(E1570,基础属性ID!$A:$E,5,0)</f>
        <v>60</v>
      </c>
      <c r="H1570" s="4">
        <v>5</v>
      </c>
      <c r="I1570" s="4">
        <v>15</v>
      </c>
      <c r="J1570" s="4" t="str">
        <f t="shared" si="359"/>
        <v>17:60:5:15,</v>
      </c>
    </row>
    <row r="1571" spans="1:10">
      <c r="A1571" s="4" t="str">
        <f t="shared" si="353"/>
        <v>21级红手镯极品掉率</v>
      </c>
      <c r="B1571" s="4" t="s">
        <v>218</v>
      </c>
      <c r="C1571" s="4" t="s">
        <v>121</v>
      </c>
      <c r="D1571" s="4">
        <v>21</v>
      </c>
      <c r="E1571" s="4" t="s">
        <v>31</v>
      </c>
      <c r="F1571" s="4">
        <f>VLOOKUP(E1571,基础属性ID!A:B,2,0)</f>
        <v>18</v>
      </c>
      <c r="G1571" s="4">
        <f>VLOOKUP(E1571,基础属性ID!$A:$E,5,0)</f>
        <v>60</v>
      </c>
      <c r="H1571" s="4">
        <v>5</v>
      </c>
      <c r="I1571" s="4">
        <v>15</v>
      </c>
      <c r="J1571" s="4" t="str">
        <f t="shared" si="359"/>
        <v>18:60:5:15,</v>
      </c>
    </row>
    <row r="1572" spans="1:10">
      <c r="A1572" s="4" t="str">
        <f t="shared" si="353"/>
        <v>41级红手镯生命值</v>
      </c>
      <c r="B1572" s="4" t="s">
        <v>218</v>
      </c>
      <c r="C1572" s="4" t="s">
        <v>121</v>
      </c>
      <c r="D1572" s="4">
        <v>41</v>
      </c>
      <c r="E1572" s="4" t="s">
        <v>74</v>
      </c>
      <c r="F1572" s="4">
        <f>VLOOKUP(E1572,基础属性ID!A:B,2,0)</f>
        <v>1</v>
      </c>
      <c r="G1572" s="4">
        <f>VLOOKUP(E1572,基础属性ID!$A:$E,5,0)</f>
        <v>100</v>
      </c>
      <c r="H1572" s="4">
        <v>40</v>
      </c>
      <c r="I1572" s="4">
        <f>H1572*3</f>
        <v>120</v>
      </c>
      <c r="J1572" s="4" t="str">
        <f t="shared" si="359"/>
        <v>1:100:40:120,</v>
      </c>
    </row>
    <row r="1573" spans="1:10">
      <c r="A1573" s="4" t="str">
        <f t="shared" si="353"/>
        <v>41级红手镯法力值</v>
      </c>
      <c r="B1573" s="4" t="s">
        <v>218</v>
      </c>
      <c r="C1573" s="4" t="s">
        <v>121</v>
      </c>
      <c r="D1573" s="4">
        <v>41</v>
      </c>
      <c r="E1573" s="4" t="s">
        <v>75</v>
      </c>
      <c r="F1573" s="4">
        <f>VLOOKUP(E1573,基础属性ID!A:B,2,0)</f>
        <v>2</v>
      </c>
      <c r="G1573" s="4">
        <f>VLOOKUP(E1573,基础属性ID!$A:$E,5,0)</f>
        <v>100</v>
      </c>
      <c r="H1573" s="4">
        <v>21</v>
      </c>
      <c r="I1573" s="4">
        <f>H1573*2</f>
        <v>42</v>
      </c>
      <c r="J1573" s="4" t="str">
        <f t="shared" si="359"/>
        <v>2:100:21:42,</v>
      </c>
    </row>
    <row r="1574" spans="1:10">
      <c r="A1574" s="4" t="str">
        <f t="shared" si="353"/>
        <v>41级红手镯物理攻击</v>
      </c>
      <c r="B1574" s="4" t="s">
        <v>218</v>
      </c>
      <c r="C1574" s="4" t="s">
        <v>121</v>
      </c>
      <c r="D1574" s="4">
        <v>41</v>
      </c>
      <c r="E1574" s="4" t="s">
        <v>13</v>
      </c>
      <c r="F1574" s="4">
        <f>VLOOKUP(E1574,基础属性ID!A:B,2,0)</f>
        <v>3</v>
      </c>
      <c r="G1574" s="4">
        <f>VLOOKUP(E1574,基础属性ID!$A:$E,5,0)</f>
        <v>100</v>
      </c>
      <c r="H1574" s="4">
        <v>11</v>
      </c>
      <c r="I1574" s="4">
        <f t="shared" ref="I1574:I1577" si="361">H1574*3</f>
        <v>33</v>
      </c>
      <c r="J1574" s="4" t="str">
        <f t="shared" si="359"/>
        <v>3:100:11:33,</v>
      </c>
    </row>
    <row r="1575" spans="1:10">
      <c r="A1575" s="4" t="str">
        <f t="shared" si="353"/>
        <v>41级红手镯魔法攻击</v>
      </c>
      <c r="B1575" s="4" t="s">
        <v>218</v>
      </c>
      <c r="C1575" s="4" t="s">
        <v>121</v>
      </c>
      <c r="D1575" s="4">
        <v>41</v>
      </c>
      <c r="E1575" s="4" t="s">
        <v>14</v>
      </c>
      <c r="F1575" s="4">
        <f>VLOOKUP(E1575,基础属性ID!A:B,2,0)</f>
        <v>4</v>
      </c>
      <c r="G1575" s="4">
        <f>VLOOKUP(E1575,基础属性ID!$A:$E,5,0)</f>
        <v>100</v>
      </c>
      <c r="H1575" s="4">
        <v>11</v>
      </c>
      <c r="I1575" s="4">
        <f t="shared" si="361"/>
        <v>33</v>
      </c>
      <c r="J1575" s="4" t="str">
        <f t="shared" si="359"/>
        <v>4:100:11:33,</v>
      </c>
    </row>
    <row r="1576" spans="1:10">
      <c r="A1576" s="4" t="str">
        <f t="shared" si="353"/>
        <v>41级红手镯道术攻击</v>
      </c>
      <c r="B1576" s="4" t="s">
        <v>218</v>
      </c>
      <c r="C1576" s="4" t="s">
        <v>121</v>
      </c>
      <c r="D1576" s="4">
        <v>41</v>
      </c>
      <c r="E1576" s="4" t="s">
        <v>15</v>
      </c>
      <c r="F1576" s="4">
        <f>VLOOKUP(E1576,基础属性ID!A:B,2,0)</f>
        <v>5</v>
      </c>
      <c r="G1576" s="4">
        <f>VLOOKUP(E1576,基础属性ID!$A:$E,5,0)</f>
        <v>100</v>
      </c>
      <c r="H1576" s="4">
        <v>11</v>
      </c>
      <c r="I1576" s="4">
        <f t="shared" si="361"/>
        <v>33</v>
      </c>
      <c r="J1576" s="4" t="str">
        <f t="shared" si="359"/>
        <v>5:100:11:33,</v>
      </c>
    </row>
    <row r="1577" spans="1:10">
      <c r="A1577" s="4" t="str">
        <f t="shared" si="353"/>
        <v>41级红手镯防御</v>
      </c>
      <c r="B1577" s="4" t="s">
        <v>218</v>
      </c>
      <c r="C1577" s="4" t="s">
        <v>121</v>
      </c>
      <c r="D1577" s="4">
        <v>41</v>
      </c>
      <c r="E1577" s="4" t="s">
        <v>17</v>
      </c>
      <c r="F1577" s="4">
        <f>VLOOKUP(E1577,基础属性ID!A:B,2,0)</f>
        <v>6</v>
      </c>
      <c r="G1577" s="4">
        <f>VLOOKUP(E1577,基础属性ID!$A:$E,5,0)</f>
        <v>100</v>
      </c>
      <c r="H1577" s="4">
        <v>11</v>
      </c>
      <c r="I1577" s="4">
        <f t="shared" si="361"/>
        <v>33</v>
      </c>
      <c r="J1577" s="4" t="str">
        <f t="shared" si="359"/>
        <v>6:100:11:33,</v>
      </c>
    </row>
    <row r="1578" spans="1:10">
      <c r="A1578" s="4" t="str">
        <f t="shared" si="353"/>
        <v>41级红手镯攻速</v>
      </c>
      <c r="B1578" s="4" t="s">
        <v>218</v>
      </c>
      <c r="C1578" s="4" t="s">
        <v>121</v>
      </c>
      <c r="D1578" s="4">
        <v>41</v>
      </c>
      <c r="E1578" s="4" t="s">
        <v>18</v>
      </c>
      <c r="F1578" s="4">
        <f>VLOOKUP(E1578,基础属性ID!A:B,2,0)</f>
        <v>7</v>
      </c>
      <c r="G1578" s="4">
        <f>VLOOKUP(E1578,基础属性ID!$A:$E,5,0)</f>
        <v>20</v>
      </c>
      <c r="H1578" s="4">
        <v>1</v>
      </c>
      <c r="I1578" s="4">
        <v>5</v>
      </c>
      <c r="J1578" s="4" t="str">
        <f t="shared" si="359"/>
        <v>7:20:1:5,</v>
      </c>
    </row>
    <row r="1579" spans="1:10">
      <c r="A1579" s="4" t="str">
        <f t="shared" si="353"/>
        <v>41级红手镯固定伤害</v>
      </c>
      <c r="B1579" s="4" t="s">
        <v>218</v>
      </c>
      <c r="C1579" s="4" t="s">
        <v>121</v>
      </c>
      <c r="D1579" s="4">
        <v>41</v>
      </c>
      <c r="E1579" s="4" t="s">
        <v>24</v>
      </c>
      <c r="F1579" s="4">
        <f>VLOOKUP(E1579,基础属性ID!A:B,2,0)</f>
        <v>9</v>
      </c>
      <c r="G1579" s="4">
        <f>VLOOKUP(E1579,基础属性ID!$A:$E,5,0)</f>
        <v>50</v>
      </c>
      <c r="H1579" s="4">
        <v>8</v>
      </c>
      <c r="I1579" s="4">
        <f t="shared" ref="I1579:I1580" si="362">H1579*3</f>
        <v>24</v>
      </c>
      <c r="J1579" s="4" t="str">
        <f t="shared" si="359"/>
        <v>9:50:8:24,</v>
      </c>
    </row>
    <row r="1580" spans="1:10">
      <c r="A1580" s="4" t="str">
        <f t="shared" si="353"/>
        <v>41级红手镯固定减伤</v>
      </c>
      <c r="B1580" s="4" t="s">
        <v>218</v>
      </c>
      <c r="C1580" s="4" t="s">
        <v>121</v>
      </c>
      <c r="D1580" s="4">
        <v>41</v>
      </c>
      <c r="E1580" s="4" t="s">
        <v>25</v>
      </c>
      <c r="F1580" s="4">
        <f>VLOOKUP(E1580,基础属性ID!A:B,2,0)</f>
        <v>10</v>
      </c>
      <c r="G1580" s="4">
        <f>VLOOKUP(E1580,基础属性ID!$A:$E,5,0)</f>
        <v>50</v>
      </c>
      <c r="H1580" s="4">
        <v>8</v>
      </c>
      <c r="I1580" s="4">
        <f t="shared" si="362"/>
        <v>24</v>
      </c>
      <c r="J1580" s="4" t="str">
        <f t="shared" si="359"/>
        <v>10:50:8:24,</v>
      </c>
    </row>
    <row r="1581" spans="1:10">
      <c r="A1581" s="4" t="str">
        <f t="shared" si="353"/>
        <v>41级红手镯生命吸取</v>
      </c>
      <c r="B1581" s="4" t="s">
        <v>218</v>
      </c>
      <c r="C1581" s="4" t="s">
        <v>121</v>
      </c>
      <c r="D1581" s="4">
        <v>41</v>
      </c>
      <c r="E1581" s="4" t="s">
        <v>28</v>
      </c>
      <c r="F1581" s="4">
        <f>VLOOKUP(E1581,基础属性ID!A:B,2,0)</f>
        <v>11</v>
      </c>
      <c r="G1581" s="4">
        <f>VLOOKUP(E1581,基础属性ID!$A:$E,5,0)</f>
        <v>50</v>
      </c>
      <c r="H1581" s="4">
        <v>8</v>
      </c>
      <c r="I1581" s="4">
        <f t="shared" ref="I1581:I1582" si="363">H1581*3</f>
        <v>24</v>
      </c>
      <c r="J1581" s="4" t="str">
        <f t="shared" si="359"/>
        <v>11:50:8:24,</v>
      </c>
    </row>
    <row r="1582" spans="1:10">
      <c r="A1582" s="4" t="str">
        <f t="shared" si="353"/>
        <v>41级红手镯法力吸取</v>
      </c>
      <c r="B1582" s="4" t="s">
        <v>218</v>
      </c>
      <c r="C1582" s="4" t="s">
        <v>121</v>
      </c>
      <c r="D1582" s="4">
        <v>41</v>
      </c>
      <c r="E1582" s="4" t="s">
        <v>29</v>
      </c>
      <c r="F1582" s="4">
        <f>VLOOKUP(E1582,基础属性ID!A:B,2,0)</f>
        <v>12</v>
      </c>
      <c r="G1582" s="4">
        <f>VLOOKUP(E1582,基础属性ID!$A:$E,5,0)</f>
        <v>50</v>
      </c>
      <c r="H1582" s="4">
        <v>8</v>
      </c>
      <c r="I1582" s="4">
        <f t="shared" si="363"/>
        <v>24</v>
      </c>
      <c r="J1582" s="4" t="str">
        <f t="shared" si="359"/>
        <v>12:50:8:24,</v>
      </c>
    </row>
    <row r="1583" spans="1:10">
      <c r="A1583" s="4" t="str">
        <f t="shared" si="353"/>
        <v>41级红手镯暴击几率</v>
      </c>
      <c r="B1583" s="4" t="s">
        <v>218</v>
      </c>
      <c r="C1583" s="4" t="s">
        <v>121</v>
      </c>
      <c r="D1583" s="4">
        <v>41</v>
      </c>
      <c r="E1583" s="4" t="s">
        <v>21</v>
      </c>
      <c r="F1583" s="4">
        <f>VLOOKUP(E1583,基础属性ID!A:B,2,0)</f>
        <v>13</v>
      </c>
      <c r="G1583" s="4">
        <f>VLOOKUP(E1583,基础属性ID!$A:$E,5,0)</f>
        <v>20</v>
      </c>
      <c r="H1583" s="4">
        <v>300</v>
      </c>
      <c r="I1583" s="4">
        <v>500</v>
      </c>
      <c r="J1583" s="4" t="str">
        <f t="shared" si="359"/>
        <v>13:20:300:500,</v>
      </c>
    </row>
    <row r="1584" spans="1:10">
      <c r="A1584" s="4" t="str">
        <f t="shared" si="353"/>
        <v>41级红手镯爆击伤害</v>
      </c>
      <c r="B1584" s="4" t="s">
        <v>218</v>
      </c>
      <c r="C1584" s="4" t="s">
        <v>121</v>
      </c>
      <c r="D1584" s="4">
        <v>41</v>
      </c>
      <c r="E1584" s="4" t="s">
        <v>76</v>
      </c>
      <c r="F1584" s="4">
        <f>VLOOKUP(E1584,基础属性ID!A:B,2,0)</f>
        <v>14</v>
      </c>
      <c r="G1584" s="4">
        <f>VLOOKUP(E1584,基础属性ID!$A:$E,5,0)</f>
        <v>20</v>
      </c>
      <c r="H1584" s="4">
        <v>10</v>
      </c>
      <c r="I1584" s="4">
        <v>20</v>
      </c>
      <c r="J1584" s="4" t="str">
        <f t="shared" si="359"/>
        <v>14:20:10:20,</v>
      </c>
    </row>
    <row r="1585" spans="1:10">
      <c r="A1585" s="4" t="str">
        <f t="shared" si="353"/>
        <v>41级红手镯伤害增加</v>
      </c>
      <c r="B1585" s="4" t="s">
        <v>218</v>
      </c>
      <c r="C1585" s="4" t="s">
        <v>121</v>
      </c>
      <c r="D1585" s="4">
        <v>41</v>
      </c>
      <c r="E1585" s="4" t="s">
        <v>26</v>
      </c>
      <c r="F1585" s="4">
        <f>VLOOKUP(E1585,基础属性ID!A:B,2,0)</f>
        <v>15</v>
      </c>
      <c r="G1585" s="4">
        <f>VLOOKUP(E1585,基础属性ID!$A:$E,5,0)</f>
        <v>10</v>
      </c>
      <c r="H1585" s="4">
        <v>2</v>
      </c>
      <c r="I1585" s="4">
        <v>5</v>
      </c>
      <c r="J1585" s="4" t="str">
        <f t="shared" si="359"/>
        <v>15:10:2:5,</v>
      </c>
    </row>
    <row r="1586" spans="1:10">
      <c r="A1586" s="4" t="str">
        <f t="shared" si="353"/>
        <v>41级红手镯伤害减免</v>
      </c>
      <c r="B1586" s="4" t="s">
        <v>218</v>
      </c>
      <c r="C1586" s="4" t="s">
        <v>121</v>
      </c>
      <c r="D1586" s="4">
        <v>41</v>
      </c>
      <c r="E1586" s="4" t="s">
        <v>27</v>
      </c>
      <c r="F1586" s="4">
        <f>VLOOKUP(E1586,基础属性ID!A:B,2,0)</f>
        <v>16</v>
      </c>
      <c r="G1586" s="4">
        <f>VLOOKUP(E1586,基础属性ID!$A:$E,5,0)</f>
        <v>10</v>
      </c>
      <c r="H1586" s="4">
        <v>2</v>
      </c>
      <c r="I1586" s="4">
        <v>5</v>
      </c>
      <c r="J1586" s="4" t="str">
        <f t="shared" si="359"/>
        <v>16:10:2:5,</v>
      </c>
    </row>
    <row r="1587" spans="1:10">
      <c r="A1587" s="4" t="str">
        <f t="shared" si="353"/>
        <v>41级红手镯装备掉率</v>
      </c>
      <c r="B1587" s="4" t="s">
        <v>218</v>
      </c>
      <c r="C1587" s="4" t="s">
        <v>121</v>
      </c>
      <c r="D1587" s="4">
        <v>41</v>
      </c>
      <c r="E1587" s="4" t="s">
        <v>30</v>
      </c>
      <c r="F1587" s="4">
        <f>VLOOKUP(E1587,基础属性ID!A:B,2,0)</f>
        <v>17</v>
      </c>
      <c r="G1587" s="4">
        <f>VLOOKUP(E1587,基础属性ID!$A:$E,5,0)</f>
        <v>60</v>
      </c>
      <c r="H1587" s="4">
        <v>5</v>
      </c>
      <c r="I1587" s="4">
        <v>15</v>
      </c>
      <c r="J1587" s="4" t="str">
        <f t="shared" si="359"/>
        <v>17:60:5:15,</v>
      </c>
    </row>
    <row r="1588" spans="1:10">
      <c r="A1588" s="4" t="str">
        <f t="shared" si="353"/>
        <v>41级红手镯极品掉率</v>
      </c>
      <c r="B1588" s="4" t="s">
        <v>218</v>
      </c>
      <c r="C1588" s="4" t="s">
        <v>121</v>
      </c>
      <c r="D1588" s="4">
        <v>41</v>
      </c>
      <c r="E1588" s="4" t="s">
        <v>31</v>
      </c>
      <c r="F1588" s="4">
        <f>VLOOKUP(E1588,基础属性ID!A:B,2,0)</f>
        <v>18</v>
      </c>
      <c r="G1588" s="4">
        <f>VLOOKUP(E1588,基础属性ID!$A:$E,5,0)</f>
        <v>60</v>
      </c>
      <c r="H1588" s="4">
        <v>5</v>
      </c>
      <c r="I1588" s="4">
        <v>15</v>
      </c>
      <c r="J1588" s="4" t="str">
        <f t="shared" si="359"/>
        <v>18:60:5:15,</v>
      </c>
    </row>
    <row r="1589" spans="1:10">
      <c r="A1589" s="4" t="str">
        <f t="shared" si="353"/>
        <v>61级红手镯生命值</v>
      </c>
      <c r="B1589" s="4" t="s">
        <v>218</v>
      </c>
      <c r="C1589" s="4" t="s">
        <v>121</v>
      </c>
      <c r="D1589" s="4">
        <v>61</v>
      </c>
      <c r="E1589" s="4" t="s">
        <v>74</v>
      </c>
      <c r="F1589" s="4">
        <f>VLOOKUP(E1589,基础属性ID!A:B,2,0)</f>
        <v>1</v>
      </c>
      <c r="G1589" s="4">
        <f>VLOOKUP(E1589,基础属性ID!$A:$E,5,0)</f>
        <v>100</v>
      </c>
      <c r="H1589" s="4">
        <v>60</v>
      </c>
      <c r="I1589" s="4">
        <f>H1589*3</f>
        <v>180</v>
      </c>
      <c r="J1589" s="4" t="str">
        <f t="shared" si="359"/>
        <v>1:100:60:180,</v>
      </c>
    </row>
    <row r="1590" spans="1:10">
      <c r="A1590" s="4" t="str">
        <f t="shared" si="353"/>
        <v>61级红手镯法力值</v>
      </c>
      <c r="B1590" s="4" t="s">
        <v>218</v>
      </c>
      <c r="C1590" s="4" t="s">
        <v>121</v>
      </c>
      <c r="D1590" s="4">
        <v>61</v>
      </c>
      <c r="E1590" s="4" t="s">
        <v>75</v>
      </c>
      <c r="F1590" s="4">
        <f>VLOOKUP(E1590,基础属性ID!A:B,2,0)</f>
        <v>2</v>
      </c>
      <c r="G1590" s="4">
        <f>VLOOKUP(E1590,基础属性ID!$A:$E,5,0)</f>
        <v>100</v>
      </c>
      <c r="H1590" s="4">
        <v>24</v>
      </c>
      <c r="I1590" s="4">
        <f>H1590*2</f>
        <v>48</v>
      </c>
      <c r="J1590" s="4" t="str">
        <f t="shared" si="359"/>
        <v>2:100:24:48,</v>
      </c>
    </row>
    <row r="1591" spans="1:10">
      <c r="A1591" s="4" t="str">
        <f t="shared" si="353"/>
        <v>61级红手镯物理攻击</v>
      </c>
      <c r="B1591" s="4" t="s">
        <v>218</v>
      </c>
      <c r="C1591" s="4" t="s">
        <v>121</v>
      </c>
      <c r="D1591" s="4">
        <v>61</v>
      </c>
      <c r="E1591" s="4" t="s">
        <v>13</v>
      </c>
      <c r="F1591" s="4">
        <f>VLOOKUP(E1591,基础属性ID!A:B,2,0)</f>
        <v>3</v>
      </c>
      <c r="G1591" s="4">
        <f>VLOOKUP(E1591,基础属性ID!$A:$E,5,0)</f>
        <v>100</v>
      </c>
      <c r="H1591" s="4">
        <v>15</v>
      </c>
      <c r="I1591" s="4">
        <f t="shared" ref="I1591:I1594" si="364">H1591*3</f>
        <v>45</v>
      </c>
      <c r="J1591" s="4" t="str">
        <f t="shared" si="359"/>
        <v>3:100:15:45,</v>
      </c>
    </row>
    <row r="1592" spans="1:10">
      <c r="A1592" s="4" t="str">
        <f t="shared" si="353"/>
        <v>61级红手镯魔法攻击</v>
      </c>
      <c r="B1592" s="4" t="s">
        <v>218</v>
      </c>
      <c r="C1592" s="4" t="s">
        <v>121</v>
      </c>
      <c r="D1592" s="4">
        <v>61</v>
      </c>
      <c r="E1592" s="4" t="s">
        <v>14</v>
      </c>
      <c r="F1592" s="4">
        <f>VLOOKUP(E1592,基础属性ID!A:B,2,0)</f>
        <v>4</v>
      </c>
      <c r="G1592" s="4">
        <f>VLOOKUP(E1592,基础属性ID!$A:$E,5,0)</f>
        <v>100</v>
      </c>
      <c r="H1592" s="4">
        <v>15</v>
      </c>
      <c r="I1592" s="4">
        <f t="shared" si="364"/>
        <v>45</v>
      </c>
      <c r="J1592" s="4" t="str">
        <f t="shared" si="359"/>
        <v>4:100:15:45,</v>
      </c>
    </row>
    <row r="1593" spans="1:10">
      <c r="A1593" s="4" t="str">
        <f t="shared" si="353"/>
        <v>61级红手镯道术攻击</v>
      </c>
      <c r="B1593" s="4" t="s">
        <v>218</v>
      </c>
      <c r="C1593" s="4" t="s">
        <v>121</v>
      </c>
      <c r="D1593" s="4">
        <v>61</v>
      </c>
      <c r="E1593" s="4" t="s">
        <v>15</v>
      </c>
      <c r="F1593" s="4">
        <f>VLOOKUP(E1593,基础属性ID!A:B,2,0)</f>
        <v>5</v>
      </c>
      <c r="G1593" s="4">
        <f>VLOOKUP(E1593,基础属性ID!$A:$E,5,0)</f>
        <v>100</v>
      </c>
      <c r="H1593" s="4">
        <v>15</v>
      </c>
      <c r="I1593" s="4">
        <f t="shared" si="364"/>
        <v>45</v>
      </c>
      <c r="J1593" s="4" t="str">
        <f t="shared" si="359"/>
        <v>5:100:15:45,</v>
      </c>
    </row>
    <row r="1594" spans="1:10">
      <c r="A1594" s="4" t="str">
        <f t="shared" si="353"/>
        <v>61级红手镯防御</v>
      </c>
      <c r="B1594" s="4" t="s">
        <v>218</v>
      </c>
      <c r="C1594" s="4" t="s">
        <v>121</v>
      </c>
      <c r="D1594" s="4">
        <v>61</v>
      </c>
      <c r="E1594" s="4" t="s">
        <v>17</v>
      </c>
      <c r="F1594" s="4">
        <f>VLOOKUP(E1594,基础属性ID!A:B,2,0)</f>
        <v>6</v>
      </c>
      <c r="G1594" s="4">
        <f>VLOOKUP(E1594,基础属性ID!$A:$E,5,0)</f>
        <v>100</v>
      </c>
      <c r="H1594" s="4">
        <v>15</v>
      </c>
      <c r="I1594" s="4">
        <f t="shared" si="364"/>
        <v>45</v>
      </c>
      <c r="J1594" s="4" t="str">
        <f t="shared" si="359"/>
        <v>6:100:15:45,</v>
      </c>
    </row>
    <row r="1595" spans="1:10">
      <c r="A1595" s="4" t="str">
        <f t="shared" si="353"/>
        <v>61级红手镯攻速</v>
      </c>
      <c r="B1595" s="4" t="s">
        <v>218</v>
      </c>
      <c r="C1595" s="4" t="s">
        <v>121</v>
      </c>
      <c r="D1595" s="4">
        <v>61</v>
      </c>
      <c r="E1595" s="4" t="s">
        <v>18</v>
      </c>
      <c r="F1595" s="4">
        <f>VLOOKUP(E1595,基础属性ID!A:B,2,0)</f>
        <v>7</v>
      </c>
      <c r="G1595" s="4">
        <f>VLOOKUP(E1595,基础属性ID!$A:$E,5,0)</f>
        <v>20</v>
      </c>
      <c r="H1595" s="4">
        <v>1</v>
      </c>
      <c r="I1595" s="4">
        <v>5</v>
      </c>
      <c r="J1595" s="4" t="str">
        <f t="shared" si="359"/>
        <v>7:20:1:5,</v>
      </c>
    </row>
    <row r="1596" spans="1:10">
      <c r="A1596" s="4" t="str">
        <f t="shared" si="353"/>
        <v>61级红手镯固定伤害</v>
      </c>
      <c r="B1596" s="4" t="s">
        <v>218</v>
      </c>
      <c r="C1596" s="4" t="s">
        <v>121</v>
      </c>
      <c r="D1596" s="4">
        <v>61</v>
      </c>
      <c r="E1596" s="4" t="s">
        <v>24</v>
      </c>
      <c r="F1596" s="4">
        <f>VLOOKUP(E1596,基础属性ID!A:B,2,0)</f>
        <v>9</v>
      </c>
      <c r="G1596" s="4">
        <f>VLOOKUP(E1596,基础属性ID!$A:$E,5,0)</f>
        <v>50</v>
      </c>
      <c r="H1596" s="4">
        <v>10</v>
      </c>
      <c r="I1596" s="4">
        <f t="shared" ref="I1596:I1597" si="365">H1596*3</f>
        <v>30</v>
      </c>
      <c r="J1596" s="4" t="str">
        <f t="shared" si="359"/>
        <v>9:50:10:30,</v>
      </c>
    </row>
    <row r="1597" spans="1:10">
      <c r="A1597" s="4" t="str">
        <f t="shared" si="353"/>
        <v>61级红手镯固定减伤</v>
      </c>
      <c r="B1597" s="4" t="s">
        <v>218</v>
      </c>
      <c r="C1597" s="4" t="s">
        <v>121</v>
      </c>
      <c r="D1597" s="4">
        <v>61</v>
      </c>
      <c r="E1597" s="4" t="s">
        <v>25</v>
      </c>
      <c r="F1597" s="4">
        <f>VLOOKUP(E1597,基础属性ID!A:B,2,0)</f>
        <v>10</v>
      </c>
      <c r="G1597" s="4">
        <f>VLOOKUP(E1597,基础属性ID!$A:$E,5,0)</f>
        <v>50</v>
      </c>
      <c r="H1597" s="4">
        <v>10</v>
      </c>
      <c r="I1597" s="4">
        <f t="shared" si="365"/>
        <v>30</v>
      </c>
      <c r="J1597" s="4" t="str">
        <f t="shared" si="359"/>
        <v>10:50:10:30,</v>
      </c>
    </row>
    <row r="1598" spans="1:10">
      <c r="A1598" s="4" t="str">
        <f t="shared" si="353"/>
        <v>61级红手镯生命吸取</v>
      </c>
      <c r="B1598" s="4" t="s">
        <v>218</v>
      </c>
      <c r="C1598" s="4" t="s">
        <v>121</v>
      </c>
      <c r="D1598" s="4">
        <v>61</v>
      </c>
      <c r="E1598" s="4" t="s">
        <v>28</v>
      </c>
      <c r="F1598" s="4">
        <f>VLOOKUP(E1598,基础属性ID!A:B,2,0)</f>
        <v>11</v>
      </c>
      <c r="G1598" s="4">
        <f>VLOOKUP(E1598,基础属性ID!$A:$E,5,0)</f>
        <v>50</v>
      </c>
      <c r="H1598" s="4">
        <v>10</v>
      </c>
      <c r="I1598" s="4">
        <f t="shared" ref="I1598:I1599" si="366">H1598*3</f>
        <v>30</v>
      </c>
      <c r="J1598" s="4" t="str">
        <f t="shared" si="359"/>
        <v>11:50:10:30,</v>
      </c>
    </row>
    <row r="1599" spans="1:10">
      <c r="A1599" s="4" t="str">
        <f t="shared" si="353"/>
        <v>61级红手镯法力吸取</v>
      </c>
      <c r="B1599" s="4" t="s">
        <v>218</v>
      </c>
      <c r="C1599" s="4" t="s">
        <v>121</v>
      </c>
      <c r="D1599" s="4">
        <v>61</v>
      </c>
      <c r="E1599" s="4" t="s">
        <v>29</v>
      </c>
      <c r="F1599" s="4">
        <f>VLOOKUP(E1599,基础属性ID!A:B,2,0)</f>
        <v>12</v>
      </c>
      <c r="G1599" s="4">
        <f>VLOOKUP(E1599,基础属性ID!$A:$E,5,0)</f>
        <v>50</v>
      </c>
      <c r="H1599" s="4">
        <v>10</v>
      </c>
      <c r="I1599" s="4">
        <f t="shared" si="366"/>
        <v>30</v>
      </c>
      <c r="J1599" s="4" t="str">
        <f t="shared" si="359"/>
        <v>12:50:10:30,</v>
      </c>
    </row>
    <row r="1600" spans="1:10">
      <c r="A1600" s="4" t="str">
        <f t="shared" si="353"/>
        <v>61级红手镯暴击几率</v>
      </c>
      <c r="B1600" s="4" t="s">
        <v>218</v>
      </c>
      <c r="C1600" s="4" t="s">
        <v>121</v>
      </c>
      <c r="D1600" s="4">
        <v>61</v>
      </c>
      <c r="E1600" s="4" t="s">
        <v>21</v>
      </c>
      <c r="F1600" s="4">
        <f>VLOOKUP(E1600,基础属性ID!A:B,2,0)</f>
        <v>13</v>
      </c>
      <c r="G1600" s="4">
        <f>VLOOKUP(E1600,基础属性ID!$A:$E,5,0)</f>
        <v>20</v>
      </c>
      <c r="H1600" s="4">
        <v>300</v>
      </c>
      <c r="I1600" s="4">
        <v>500</v>
      </c>
      <c r="J1600" s="4" t="str">
        <f t="shared" si="359"/>
        <v>13:20:300:500,</v>
      </c>
    </row>
    <row r="1601" spans="1:10">
      <c r="A1601" s="4" t="str">
        <f t="shared" si="353"/>
        <v>61级红手镯爆击伤害</v>
      </c>
      <c r="B1601" s="4" t="s">
        <v>218</v>
      </c>
      <c r="C1601" s="4" t="s">
        <v>121</v>
      </c>
      <c r="D1601" s="4">
        <v>61</v>
      </c>
      <c r="E1601" s="4" t="s">
        <v>76</v>
      </c>
      <c r="F1601" s="4">
        <f>VLOOKUP(E1601,基础属性ID!A:B,2,0)</f>
        <v>14</v>
      </c>
      <c r="G1601" s="4">
        <f>VLOOKUP(E1601,基础属性ID!$A:$E,5,0)</f>
        <v>20</v>
      </c>
      <c r="H1601" s="4">
        <v>10</v>
      </c>
      <c r="I1601" s="4">
        <v>20</v>
      </c>
      <c r="J1601" s="4" t="str">
        <f t="shared" si="359"/>
        <v>14:20:10:20,</v>
      </c>
    </row>
    <row r="1602" spans="1:10">
      <c r="A1602" s="4" t="str">
        <f t="shared" si="353"/>
        <v>61级红手镯伤害增加</v>
      </c>
      <c r="B1602" s="4" t="s">
        <v>218</v>
      </c>
      <c r="C1602" s="4" t="s">
        <v>121</v>
      </c>
      <c r="D1602" s="4">
        <v>61</v>
      </c>
      <c r="E1602" s="4" t="s">
        <v>26</v>
      </c>
      <c r="F1602" s="4">
        <f>VLOOKUP(E1602,基础属性ID!A:B,2,0)</f>
        <v>15</v>
      </c>
      <c r="G1602" s="4">
        <f>VLOOKUP(E1602,基础属性ID!$A:$E,5,0)</f>
        <v>10</v>
      </c>
      <c r="H1602" s="4">
        <v>2</v>
      </c>
      <c r="I1602" s="4">
        <v>5</v>
      </c>
      <c r="J1602" s="4" t="str">
        <f t="shared" si="359"/>
        <v>15:10:2:5,</v>
      </c>
    </row>
    <row r="1603" spans="1:10">
      <c r="A1603" s="4" t="str">
        <f t="shared" ref="A1603:A1656" si="367">D1603&amp;"级"&amp;C1603&amp;B1603&amp;E1603</f>
        <v>61级红手镯伤害减免</v>
      </c>
      <c r="B1603" s="4" t="s">
        <v>218</v>
      </c>
      <c r="C1603" s="4" t="s">
        <v>121</v>
      </c>
      <c r="D1603" s="4">
        <v>61</v>
      </c>
      <c r="E1603" s="4" t="s">
        <v>27</v>
      </c>
      <c r="F1603" s="4">
        <f>VLOOKUP(E1603,基础属性ID!A:B,2,0)</f>
        <v>16</v>
      </c>
      <c r="G1603" s="4">
        <f>VLOOKUP(E1603,基础属性ID!$A:$E,5,0)</f>
        <v>10</v>
      </c>
      <c r="H1603" s="4">
        <v>2</v>
      </c>
      <c r="I1603" s="4">
        <v>5</v>
      </c>
      <c r="J1603" s="4" t="str">
        <f t="shared" si="359"/>
        <v>16:10:2:5,</v>
      </c>
    </row>
    <row r="1604" spans="1:10">
      <c r="A1604" s="4" t="str">
        <f t="shared" si="367"/>
        <v>61级红手镯装备掉率</v>
      </c>
      <c r="B1604" s="4" t="s">
        <v>218</v>
      </c>
      <c r="C1604" s="4" t="s">
        <v>121</v>
      </c>
      <c r="D1604" s="4">
        <v>61</v>
      </c>
      <c r="E1604" s="4" t="s">
        <v>30</v>
      </c>
      <c r="F1604" s="4">
        <f>VLOOKUP(E1604,基础属性ID!A:B,2,0)</f>
        <v>17</v>
      </c>
      <c r="G1604" s="4">
        <f>VLOOKUP(E1604,基础属性ID!$A:$E,5,0)</f>
        <v>60</v>
      </c>
      <c r="H1604" s="4">
        <v>5</v>
      </c>
      <c r="I1604" s="4">
        <v>15</v>
      </c>
      <c r="J1604" s="4" t="str">
        <f t="shared" si="359"/>
        <v>17:60:5:15,</v>
      </c>
    </row>
    <row r="1605" spans="1:10">
      <c r="A1605" s="4" t="str">
        <f t="shared" si="367"/>
        <v>61级红手镯极品掉率</v>
      </c>
      <c r="B1605" s="4" t="s">
        <v>218</v>
      </c>
      <c r="C1605" s="4" t="s">
        <v>121</v>
      </c>
      <c r="D1605" s="4">
        <v>61</v>
      </c>
      <c r="E1605" s="4" t="s">
        <v>31</v>
      </c>
      <c r="F1605" s="4">
        <f>VLOOKUP(E1605,基础属性ID!A:B,2,0)</f>
        <v>18</v>
      </c>
      <c r="G1605" s="4">
        <f>VLOOKUP(E1605,基础属性ID!$A:$E,5,0)</f>
        <v>60</v>
      </c>
      <c r="H1605" s="4">
        <v>5</v>
      </c>
      <c r="I1605" s="4">
        <v>15</v>
      </c>
      <c r="J1605" s="4" t="str">
        <f t="shared" si="359"/>
        <v>18:60:5:15,</v>
      </c>
    </row>
    <row r="1606" spans="1:10">
      <c r="A1606" s="4" t="str">
        <f t="shared" si="367"/>
        <v>21级红戒指生命值</v>
      </c>
      <c r="B1606" s="4" t="s">
        <v>221</v>
      </c>
      <c r="C1606" s="4" t="s">
        <v>121</v>
      </c>
      <c r="D1606" s="4">
        <v>21</v>
      </c>
      <c r="E1606" s="4" t="s">
        <v>74</v>
      </c>
      <c r="F1606" s="4">
        <f>VLOOKUP(E1606,基础属性ID!A:B,2,0)</f>
        <v>1</v>
      </c>
      <c r="G1606" s="4">
        <f>VLOOKUP(E1606,基础属性ID!$A:$E,5,0)</f>
        <v>100</v>
      </c>
      <c r="H1606" s="4">
        <v>20</v>
      </c>
      <c r="I1606" s="4">
        <f>H1606*3</f>
        <v>60</v>
      </c>
      <c r="J1606" s="4" t="str">
        <f t="shared" si="359"/>
        <v>1:100:20:60,</v>
      </c>
    </row>
    <row r="1607" spans="1:10">
      <c r="A1607" s="4" t="str">
        <f t="shared" si="367"/>
        <v>21级红戒指法力值</v>
      </c>
      <c r="B1607" s="4" t="s">
        <v>221</v>
      </c>
      <c r="C1607" s="4" t="s">
        <v>121</v>
      </c>
      <c r="D1607" s="4">
        <v>21</v>
      </c>
      <c r="E1607" s="4" t="s">
        <v>75</v>
      </c>
      <c r="F1607" s="4">
        <f>VLOOKUP(E1607,基础属性ID!A:B,2,0)</f>
        <v>2</v>
      </c>
      <c r="G1607" s="4">
        <f>VLOOKUP(E1607,基础属性ID!$A:$E,5,0)</f>
        <v>100</v>
      </c>
      <c r="H1607" s="4">
        <v>18</v>
      </c>
      <c r="I1607" s="4">
        <f>H1607*2</f>
        <v>36</v>
      </c>
      <c r="J1607" s="4" t="str">
        <f t="shared" si="359"/>
        <v>2:100:18:36,</v>
      </c>
    </row>
    <row r="1608" spans="1:10">
      <c r="A1608" s="4" t="str">
        <f t="shared" si="367"/>
        <v>21级红戒指物理攻击</v>
      </c>
      <c r="B1608" s="4" t="s">
        <v>221</v>
      </c>
      <c r="C1608" s="4" t="s">
        <v>121</v>
      </c>
      <c r="D1608" s="4">
        <v>21</v>
      </c>
      <c r="E1608" s="4" t="s">
        <v>13</v>
      </c>
      <c r="F1608" s="4">
        <f>VLOOKUP(E1608,基础属性ID!A:B,2,0)</f>
        <v>3</v>
      </c>
      <c r="G1608" s="4">
        <f>VLOOKUP(E1608,基础属性ID!$A:$E,5,0)</f>
        <v>100</v>
      </c>
      <c r="H1608" s="4">
        <v>8</v>
      </c>
      <c r="I1608" s="4">
        <f t="shared" ref="I1608:I1611" si="368">H1608*3</f>
        <v>24</v>
      </c>
      <c r="J1608" s="4" t="str">
        <f t="shared" si="359"/>
        <v>3:100:8:24,</v>
      </c>
    </row>
    <row r="1609" spans="1:10">
      <c r="A1609" s="4" t="str">
        <f t="shared" si="367"/>
        <v>21级红戒指魔法攻击</v>
      </c>
      <c r="B1609" s="4" t="s">
        <v>221</v>
      </c>
      <c r="C1609" s="4" t="s">
        <v>121</v>
      </c>
      <c r="D1609" s="4">
        <v>21</v>
      </c>
      <c r="E1609" s="4" t="s">
        <v>14</v>
      </c>
      <c r="F1609" s="4">
        <f>VLOOKUP(E1609,基础属性ID!A:B,2,0)</f>
        <v>4</v>
      </c>
      <c r="G1609" s="4">
        <f>VLOOKUP(E1609,基础属性ID!$A:$E,5,0)</f>
        <v>100</v>
      </c>
      <c r="H1609" s="4">
        <v>8</v>
      </c>
      <c r="I1609" s="4">
        <f t="shared" si="368"/>
        <v>24</v>
      </c>
      <c r="J1609" s="4" t="str">
        <f t="shared" si="359"/>
        <v>4:100:8:24,</v>
      </c>
    </row>
    <row r="1610" spans="1:10">
      <c r="A1610" s="4" t="str">
        <f t="shared" si="367"/>
        <v>21级红戒指道术攻击</v>
      </c>
      <c r="B1610" s="4" t="s">
        <v>221</v>
      </c>
      <c r="C1610" s="4" t="s">
        <v>121</v>
      </c>
      <c r="D1610" s="4">
        <v>21</v>
      </c>
      <c r="E1610" s="4" t="s">
        <v>15</v>
      </c>
      <c r="F1610" s="4">
        <f>VLOOKUP(E1610,基础属性ID!A:B,2,0)</f>
        <v>5</v>
      </c>
      <c r="G1610" s="4">
        <f>VLOOKUP(E1610,基础属性ID!$A:$E,5,0)</f>
        <v>100</v>
      </c>
      <c r="H1610" s="4">
        <v>8</v>
      </c>
      <c r="I1610" s="4">
        <f t="shared" si="368"/>
        <v>24</v>
      </c>
      <c r="J1610" s="4" t="str">
        <f t="shared" si="359"/>
        <v>5:100:8:24,</v>
      </c>
    </row>
    <row r="1611" spans="1:10">
      <c r="A1611" s="4" t="str">
        <f t="shared" si="367"/>
        <v>21级红戒指防御</v>
      </c>
      <c r="B1611" s="4" t="s">
        <v>221</v>
      </c>
      <c r="C1611" s="4" t="s">
        <v>121</v>
      </c>
      <c r="D1611" s="4">
        <v>21</v>
      </c>
      <c r="E1611" s="4" t="s">
        <v>17</v>
      </c>
      <c r="F1611" s="4">
        <f>VLOOKUP(E1611,基础属性ID!A:B,2,0)</f>
        <v>6</v>
      </c>
      <c r="G1611" s="4">
        <f>VLOOKUP(E1611,基础属性ID!$A:$E,5,0)</f>
        <v>100</v>
      </c>
      <c r="H1611" s="4">
        <v>8</v>
      </c>
      <c r="I1611" s="4">
        <f t="shared" si="368"/>
        <v>24</v>
      </c>
      <c r="J1611" s="4" t="str">
        <f t="shared" si="359"/>
        <v>6:100:8:24,</v>
      </c>
    </row>
    <row r="1612" spans="1:10">
      <c r="A1612" s="4" t="str">
        <f t="shared" si="367"/>
        <v>21级红戒指攻速</v>
      </c>
      <c r="B1612" s="4" t="s">
        <v>221</v>
      </c>
      <c r="C1612" s="4" t="s">
        <v>121</v>
      </c>
      <c r="D1612" s="4">
        <v>21</v>
      </c>
      <c r="E1612" s="4" t="s">
        <v>18</v>
      </c>
      <c r="F1612" s="4">
        <f>VLOOKUP(E1612,基础属性ID!A:B,2,0)</f>
        <v>7</v>
      </c>
      <c r="G1612" s="4">
        <f>VLOOKUP(E1612,基础属性ID!$A:$E,5,0)</f>
        <v>20</v>
      </c>
      <c r="H1612" s="4">
        <v>1</v>
      </c>
      <c r="I1612" s="4">
        <v>5</v>
      </c>
      <c r="J1612" s="4" t="str">
        <f t="shared" si="359"/>
        <v>7:20:1:5,</v>
      </c>
    </row>
    <row r="1613" spans="1:10">
      <c r="A1613" s="4" t="str">
        <f t="shared" si="367"/>
        <v>21级红戒指固定伤害</v>
      </c>
      <c r="B1613" s="4" t="s">
        <v>221</v>
      </c>
      <c r="C1613" s="4" t="s">
        <v>121</v>
      </c>
      <c r="D1613" s="4">
        <v>21</v>
      </c>
      <c r="E1613" s="4" t="s">
        <v>24</v>
      </c>
      <c r="F1613" s="4">
        <f>VLOOKUP(E1613,基础属性ID!A:B,2,0)</f>
        <v>9</v>
      </c>
      <c r="G1613" s="4">
        <f>VLOOKUP(E1613,基础属性ID!$A:$E,5,0)</f>
        <v>50</v>
      </c>
      <c r="H1613" s="4">
        <v>6</v>
      </c>
      <c r="I1613" s="4">
        <f t="shared" ref="I1613:I1614" si="369">H1613*3</f>
        <v>18</v>
      </c>
      <c r="J1613" s="4" t="str">
        <f t="shared" si="359"/>
        <v>9:50:6:18,</v>
      </c>
    </row>
    <row r="1614" spans="1:10">
      <c r="A1614" s="4" t="str">
        <f t="shared" si="367"/>
        <v>21级红戒指固定减伤</v>
      </c>
      <c r="B1614" s="4" t="s">
        <v>221</v>
      </c>
      <c r="C1614" s="4" t="s">
        <v>121</v>
      </c>
      <c r="D1614" s="4">
        <v>21</v>
      </c>
      <c r="E1614" s="4" t="s">
        <v>25</v>
      </c>
      <c r="F1614" s="4">
        <f>VLOOKUP(E1614,基础属性ID!A:B,2,0)</f>
        <v>10</v>
      </c>
      <c r="G1614" s="4">
        <f>VLOOKUP(E1614,基础属性ID!$A:$E,5,0)</f>
        <v>50</v>
      </c>
      <c r="H1614" s="4">
        <v>6</v>
      </c>
      <c r="I1614" s="4">
        <f t="shared" si="369"/>
        <v>18</v>
      </c>
      <c r="J1614" s="4" t="str">
        <f t="shared" si="359"/>
        <v>10:50:6:18,</v>
      </c>
    </row>
    <row r="1615" spans="1:10">
      <c r="A1615" s="4" t="str">
        <f t="shared" si="367"/>
        <v>21级红戒指生命吸取</v>
      </c>
      <c r="B1615" s="4" t="s">
        <v>221</v>
      </c>
      <c r="C1615" s="4" t="s">
        <v>121</v>
      </c>
      <c r="D1615" s="4">
        <v>21</v>
      </c>
      <c r="E1615" s="4" t="s">
        <v>28</v>
      </c>
      <c r="F1615" s="4">
        <f>VLOOKUP(E1615,基础属性ID!A:B,2,0)</f>
        <v>11</v>
      </c>
      <c r="G1615" s="4">
        <f>VLOOKUP(E1615,基础属性ID!$A:$E,5,0)</f>
        <v>50</v>
      </c>
      <c r="H1615" s="4">
        <v>6</v>
      </c>
      <c r="I1615" s="4">
        <f t="shared" ref="I1615:I1616" si="370">H1615*3</f>
        <v>18</v>
      </c>
      <c r="J1615" s="4" t="str">
        <f t="shared" si="359"/>
        <v>11:50:6:18,</v>
      </c>
    </row>
    <row r="1616" spans="1:10">
      <c r="A1616" s="4" t="str">
        <f t="shared" si="367"/>
        <v>21级红戒指法力吸取</v>
      </c>
      <c r="B1616" s="4" t="s">
        <v>221</v>
      </c>
      <c r="C1616" s="4" t="s">
        <v>121</v>
      </c>
      <c r="D1616" s="4">
        <v>21</v>
      </c>
      <c r="E1616" s="4" t="s">
        <v>29</v>
      </c>
      <c r="F1616" s="4">
        <f>VLOOKUP(E1616,基础属性ID!A:B,2,0)</f>
        <v>12</v>
      </c>
      <c r="G1616" s="4">
        <f>VLOOKUP(E1616,基础属性ID!$A:$E,5,0)</f>
        <v>50</v>
      </c>
      <c r="H1616" s="4">
        <v>6</v>
      </c>
      <c r="I1616" s="4">
        <f t="shared" si="370"/>
        <v>18</v>
      </c>
      <c r="J1616" s="4" t="str">
        <f t="shared" si="359"/>
        <v>12:50:6:18,</v>
      </c>
    </row>
    <row r="1617" spans="1:10">
      <c r="A1617" s="4" t="str">
        <f t="shared" si="367"/>
        <v>21级红戒指暴击几率</v>
      </c>
      <c r="B1617" s="4" t="s">
        <v>221</v>
      </c>
      <c r="C1617" s="4" t="s">
        <v>121</v>
      </c>
      <c r="D1617" s="4">
        <v>21</v>
      </c>
      <c r="E1617" s="4" t="s">
        <v>21</v>
      </c>
      <c r="F1617" s="4">
        <f>VLOOKUP(E1617,基础属性ID!A:B,2,0)</f>
        <v>13</v>
      </c>
      <c r="G1617" s="4">
        <f>VLOOKUP(E1617,基础属性ID!$A:$E,5,0)</f>
        <v>20</v>
      </c>
      <c r="H1617" s="4">
        <v>300</v>
      </c>
      <c r="I1617" s="4">
        <v>500</v>
      </c>
      <c r="J1617" s="4" t="str">
        <f t="shared" si="359"/>
        <v>13:20:300:500,</v>
      </c>
    </row>
    <row r="1618" spans="1:10">
      <c r="A1618" s="4" t="str">
        <f t="shared" si="367"/>
        <v>21级红戒指爆击伤害</v>
      </c>
      <c r="B1618" s="4" t="s">
        <v>221</v>
      </c>
      <c r="C1618" s="4" t="s">
        <v>121</v>
      </c>
      <c r="D1618" s="4">
        <v>21</v>
      </c>
      <c r="E1618" s="4" t="s">
        <v>76</v>
      </c>
      <c r="F1618" s="4">
        <f>VLOOKUP(E1618,基础属性ID!A:B,2,0)</f>
        <v>14</v>
      </c>
      <c r="G1618" s="4">
        <f>VLOOKUP(E1618,基础属性ID!$A:$E,5,0)</f>
        <v>20</v>
      </c>
      <c r="H1618" s="4">
        <v>10</v>
      </c>
      <c r="I1618" s="4">
        <v>20</v>
      </c>
      <c r="J1618" s="4" t="str">
        <f t="shared" si="359"/>
        <v>14:20:10:20,</v>
      </c>
    </row>
    <row r="1619" spans="1:10">
      <c r="A1619" s="4" t="str">
        <f t="shared" si="367"/>
        <v>21级红戒指伤害增加</v>
      </c>
      <c r="B1619" s="4" t="s">
        <v>221</v>
      </c>
      <c r="C1619" s="4" t="s">
        <v>121</v>
      </c>
      <c r="D1619" s="4">
        <v>21</v>
      </c>
      <c r="E1619" s="4" t="s">
        <v>26</v>
      </c>
      <c r="F1619" s="4">
        <f>VLOOKUP(E1619,基础属性ID!A:B,2,0)</f>
        <v>15</v>
      </c>
      <c r="G1619" s="4">
        <f>VLOOKUP(E1619,基础属性ID!$A:$E,5,0)</f>
        <v>10</v>
      </c>
      <c r="H1619" s="4">
        <v>2</v>
      </c>
      <c r="I1619" s="4">
        <v>5</v>
      </c>
      <c r="J1619" s="4" t="str">
        <f t="shared" si="359"/>
        <v>15:10:2:5,</v>
      </c>
    </row>
    <row r="1620" spans="1:10">
      <c r="A1620" s="4" t="str">
        <f t="shared" si="367"/>
        <v>21级红戒指伤害减免</v>
      </c>
      <c r="B1620" s="4" t="s">
        <v>221</v>
      </c>
      <c r="C1620" s="4" t="s">
        <v>121</v>
      </c>
      <c r="D1620" s="4">
        <v>21</v>
      </c>
      <c r="E1620" s="4" t="s">
        <v>27</v>
      </c>
      <c r="F1620" s="4">
        <f>VLOOKUP(E1620,基础属性ID!A:B,2,0)</f>
        <v>16</v>
      </c>
      <c r="G1620" s="4">
        <f>VLOOKUP(E1620,基础属性ID!$A:$E,5,0)</f>
        <v>10</v>
      </c>
      <c r="H1620" s="4">
        <v>2</v>
      </c>
      <c r="I1620" s="4">
        <v>5</v>
      </c>
      <c r="J1620" s="4" t="str">
        <f t="shared" si="359"/>
        <v>16:10:2:5,</v>
      </c>
    </row>
    <row r="1621" spans="1:10">
      <c r="A1621" s="4" t="str">
        <f t="shared" si="367"/>
        <v>21级红戒指装备掉率</v>
      </c>
      <c r="B1621" s="4" t="s">
        <v>221</v>
      </c>
      <c r="C1621" s="4" t="s">
        <v>121</v>
      </c>
      <c r="D1621" s="4">
        <v>21</v>
      </c>
      <c r="E1621" s="4" t="s">
        <v>30</v>
      </c>
      <c r="F1621" s="4">
        <f>VLOOKUP(E1621,基础属性ID!A:B,2,0)</f>
        <v>17</v>
      </c>
      <c r="G1621" s="4">
        <f>VLOOKUP(E1621,基础属性ID!$A:$E,5,0)</f>
        <v>60</v>
      </c>
      <c r="H1621" s="4">
        <v>5</v>
      </c>
      <c r="I1621" s="4">
        <v>15</v>
      </c>
      <c r="J1621" s="4" t="str">
        <f t="shared" si="359"/>
        <v>17:60:5:15,</v>
      </c>
    </row>
    <row r="1622" spans="1:10">
      <c r="A1622" s="4" t="str">
        <f t="shared" si="367"/>
        <v>21级红戒指极品掉率</v>
      </c>
      <c r="B1622" s="4" t="s">
        <v>221</v>
      </c>
      <c r="C1622" s="4" t="s">
        <v>121</v>
      </c>
      <c r="D1622" s="4">
        <v>21</v>
      </c>
      <c r="E1622" s="4" t="s">
        <v>31</v>
      </c>
      <c r="F1622" s="4">
        <f>VLOOKUP(E1622,基础属性ID!A:B,2,0)</f>
        <v>18</v>
      </c>
      <c r="G1622" s="4">
        <f>VLOOKUP(E1622,基础属性ID!$A:$E,5,0)</f>
        <v>60</v>
      </c>
      <c r="H1622" s="4">
        <v>5</v>
      </c>
      <c r="I1622" s="4">
        <v>15</v>
      </c>
      <c r="J1622" s="4" t="str">
        <f t="shared" si="359"/>
        <v>18:60:5:15,</v>
      </c>
    </row>
    <row r="1623" spans="1:10">
      <c r="A1623" s="4" t="str">
        <f t="shared" si="367"/>
        <v>41级红戒指生命值</v>
      </c>
      <c r="B1623" s="4" t="s">
        <v>221</v>
      </c>
      <c r="C1623" s="4" t="s">
        <v>121</v>
      </c>
      <c r="D1623" s="4">
        <v>41</v>
      </c>
      <c r="E1623" s="4" t="s">
        <v>74</v>
      </c>
      <c r="F1623" s="4">
        <f>VLOOKUP(E1623,基础属性ID!A:B,2,0)</f>
        <v>1</v>
      </c>
      <c r="G1623" s="4">
        <f>VLOOKUP(E1623,基础属性ID!$A:$E,5,0)</f>
        <v>100</v>
      </c>
      <c r="H1623" s="4">
        <v>40</v>
      </c>
      <c r="I1623" s="4">
        <f>H1623*3</f>
        <v>120</v>
      </c>
      <c r="J1623" s="4" t="str">
        <f t="shared" ref="J1623:J1656" si="371">F1623&amp;":"&amp;G1623&amp;":"&amp;H1623&amp;":"&amp;I1623&amp;","</f>
        <v>1:100:40:120,</v>
      </c>
    </row>
    <row r="1624" spans="1:10">
      <c r="A1624" s="4" t="str">
        <f t="shared" si="367"/>
        <v>41级红戒指法力值</v>
      </c>
      <c r="B1624" s="4" t="s">
        <v>221</v>
      </c>
      <c r="C1624" s="4" t="s">
        <v>121</v>
      </c>
      <c r="D1624" s="4">
        <v>41</v>
      </c>
      <c r="E1624" s="4" t="s">
        <v>75</v>
      </c>
      <c r="F1624" s="4">
        <f>VLOOKUP(E1624,基础属性ID!A:B,2,0)</f>
        <v>2</v>
      </c>
      <c r="G1624" s="4">
        <f>VLOOKUP(E1624,基础属性ID!$A:$E,5,0)</f>
        <v>100</v>
      </c>
      <c r="H1624" s="4">
        <v>21</v>
      </c>
      <c r="I1624" s="4">
        <f>H1624*2</f>
        <v>42</v>
      </c>
      <c r="J1624" s="4" t="str">
        <f t="shared" si="371"/>
        <v>2:100:21:42,</v>
      </c>
    </row>
    <row r="1625" spans="1:10">
      <c r="A1625" s="4" t="str">
        <f t="shared" si="367"/>
        <v>41级红戒指物理攻击</v>
      </c>
      <c r="B1625" s="4" t="s">
        <v>221</v>
      </c>
      <c r="C1625" s="4" t="s">
        <v>121</v>
      </c>
      <c r="D1625" s="4">
        <v>41</v>
      </c>
      <c r="E1625" s="4" t="s">
        <v>13</v>
      </c>
      <c r="F1625" s="4">
        <f>VLOOKUP(E1625,基础属性ID!A:B,2,0)</f>
        <v>3</v>
      </c>
      <c r="G1625" s="4">
        <f>VLOOKUP(E1625,基础属性ID!$A:$E,5,0)</f>
        <v>100</v>
      </c>
      <c r="H1625" s="4">
        <v>11</v>
      </c>
      <c r="I1625" s="4">
        <f t="shared" ref="I1625:I1628" si="372">H1625*3</f>
        <v>33</v>
      </c>
      <c r="J1625" s="4" t="str">
        <f t="shared" si="371"/>
        <v>3:100:11:33,</v>
      </c>
    </row>
    <row r="1626" spans="1:10">
      <c r="A1626" s="4" t="str">
        <f t="shared" si="367"/>
        <v>41级红戒指魔法攻击</v>
      </c>
      <c r="B1626" s="4" t="s">
        <v>221</v>
      </c>
      <c r="C1626" s="4" t="s">
        <v>121</v>
      </c>
      <c r="D1626" s="4">
        <v>41</v>
      </c>
      <c r="E1626" s="4" t="s">
        <v>14</v>
      </c>
      <c r="F1626" s="4">
        <f>VLOOKUP(E1626,基础属性ID!A:B,2,0)</f>
        <v>4</v>
      </c>
      <c r="G1626" s="4">
        <f>VLOOKUP(E1626,基础属性ID!$A:$E,5,0)</f>
        <v>100</v>
      </c>
      <c r="H1626" s="4">
        <v>11</v>
      </c>
      <c r="I1626" s="4">
        <f t="shared" si="372"/>
        <v>33</v>
      </c>
      <c r="J1626" s="4" t="str">
        <f t="shared" si="371"/>
        <v>4:100:11:33,</v>
      </c>
    </row>
    <row r="1627" spans="1:10">
      <c r="A1627" s="4" t="str">
        <f t="shared" si="367"/>
        <v>41级红戒指道术攻击</v>
      </c>
      <c r="B1627" s="4" t="s">
        <v>221</v>
      </c>
      <c r="C1627" s="4" t="s">
        <v>121</v>
      </c>
      <c r="D1627" s="4">
        <v>41</v>
      </c>
      <c r="E1627" s="4" t="s">
        <v>15</v>
      </c>
      <c r="F1627" s="4">
        <f>VLOOKUP(E1627,基础属性ID!A:B,2,0)</f>
        <v>5</v>
      </c>
      <c r="G1627" s="4">
        <f>VLOOKUP(E1627,基础属性ID!$A:$E,5,0)</f>
        <v>100</v>
      </c>
      <c r="H1627" s="4">
        <v>11</v>
      </c>
      <c r="I1627" s="4">
        <f t="shared" si="372"/>
        <v>33</v>
      </c>
      <c r="J1627" s="4" t="str">
        <f t="shared" si="371"/>
        <v>5:100:11:33,</v>
      </c>
    </row>
    <row r="1628" spans="1:10">
      <c r="A1628" s="4" t="str">
        <f t="shared" si="367"/>
        <v>41级红戒指防御</v>
      </c>
      <c r="B1628" s="4" t="s">
        <v>221</v>
      </c>
      <c r="C1628" s="4" t="s">
        <v>121</v>
      </c>
      <c r="D1628" s="4">
        <v>41</v>
      </c>
      <c r="E1628" s="4" t="s">
        <v>17</v>
      </c>
      <c r="F1628" s="4">
        <f>VLOOKUP(E1628,基础属性ID!A:B,2,0)</f>
        <v>6</v>
      </c>
      <c r="G1628" s="4">
        <f>VLOOKUP(E1628,基础属性ID!$A:$E,5,0)</f>
        <v>100</v>
      </c>
      <c r="H1628" s="4">
        <v>11</v>
      </c>
      <c r="I1628" s="4">
        <f t="shared" si="372"/>
        <v>33</v>
      </c>
      <c r="J1628" s="4" t="str">
        <f t="shared" si="371"/>
        <v>6:100:11:33,</v>
      </c>
    </row>
    <row r="1629" spans="1:10">
      <c r="A1629" s="4" t="str">
        <f t="shared" si="367"/>
        <v>41级红戒指攻速</v>
      </c>
      <c r="B1629" s="4" t="s">
        <v>221</v>
      </c>
      <c r="C1629" s="4" t="s">
        <v>121</v>
      </c>
      <c r="D1629" s="4">
        <v>41</v>
      </c>
      <c r="E1629" s="4" t="s">
        <v>18</v>
      </c>
      <c r="F1629" s="4">
        <f>VLOOKUP(E1629,基础属性ID!A:B,2,0)</f>
        <v>7</v>
      </c>
      <c r="G1629" s="4">
        <f>VLOOKUP(E1629,基础属性ID!$A:$E,5,0)</f>
        <v>20</v>
      </c>
      <c r="H1629" s="4">
        <v>1</v>
      </c>
      <c r="I1629" s="4">
        <v>5</v>
      </c>
      <c r="J1629" s="4" t="str">
        <f t="shared" si="371"/>
        <v>7:20:1:5,</v>
      </c>
    </row>
    <row r="1630" spans="1:10">
      <c r="A1630" s="4" t="str">
        <f t="shared" si="367"/>
        <v>41级红戒指固定伤害</v>
      </c>
      <c r="B1630" s="4" t="s">
        <v>221</v>
      </c>
      <c r="C1630" s="4" t="s">
        <v>121</v>
      </c>
      <c r="D1630" s="4">
        <v>41</v>
      </c>
      <c r="E1630" s="4" t="s">
        <v>24</v>
      </c>
      <c r="F1630" s="4">
        <f>VLOOKUP(E1630,基础属性ID!A:B,2,0)</f>
        <v>9</v>
      </c>
      <c r="G1630" s="4">
        <f>VLOOKUP(E1630,基础属性ID!$A:$E,5,0)</f>
        <v>50</v>
      </c>
      <c r="H1630" s="4">
        <v>8</v>
      </c>
      <c r="I1630" s="4">
        <f t="shared" ref="I1630:I1631" si="373">H1630*3</f>
        <v>24</v>
      </c>
      <c r="J1630" s="4" t="str">
        <f t="shared" si="371"/>
        <v>9:50:8:24,</v>
      </c>
    </row>
    <row r="1631" spans="1:10">
      <c r="A1631" s="4" t="str">
        <f t="shared" si="367"/>
        <v>41级红戒指固定减伤</v>
      </c>
      <c r="B1631" s="4" t="s">
        <v>221</v>
      </c>
      <c r="C1631" s="4" t="s">
        <v>121</v>
      </c>
      <c r="D1631" s="4">
        <v>41</v>
      </c>
      <c r="E1631" s="4" t="s">
        <v>25</v>
      </c>
      <c r="F1631" s="4">
        <f>VLOOKUP(E1631,基础属性ID!A:B,2,0)</f>
        <v>10</v>
      </c>
      <c r="G1631" s="4">
        <f>VLOOKUP(E1631,基础属性ID!$A:$E,5,0)</f>
        <v>50</v>
      </c>
      <c r="H1631" s="4">
        <v>8</v>
      </c>
      <c r="I1631" s="4">
        <f t="shared" si="373"/>
        <v>24</v>
      </c>
      <c r="J1631" s="4" t="str">
        <f t="shared" si="371"/>
        <v>10:50:8:24,</v>
      </c>
    </row>
    <row r="1632" spans="1:10">
      <c r="A1632" s="4" t="str">
        <f t="shared" si="367"/>
        <v>41级红戒指生命吸取</v>
      </c>
      <c r="B1632" s="4" t="s">
        <v>221</v>
      </c>
      <c r="C1632" s="4" t="s">
        <v>121</v>
      </c>
      <c r="D1632" s="4">
        <v>41</v>
      </c>
      <c r="E1632" s="4" t="s">
        <v>28</v>
      </c>
      <c r="F1632" s="4">
        <f>VLOOKUP(E1632,基础属性ID!A:B,2,0)</f>
        <v>11</v>
      </c>
      <c r="G1632" s="4">
        <f>VLOOKUP(E1632,基础属性ID!$A:$E,5,0)</f>
        <v>50</v>
      </c>
      <c r="H1632" s="4">
        <v>8</v>
      </c>
      <c r="I1632" s="4">
        <f t="shared" ref="I1632:I1633" si="374">H1632*3</f>
        <v>24</v>
      </c>
      <c r="J1632" s="4" t="str">
        <f t="shared" si="371"/>
        <v>11:50:8:24,</v>
      </c>
    </row>
    <row r="1633" spans="1:10">
      <c r="A1633" s="4" t="str">
        <f t="shared" si="367"/>
        <v>41级红戒指法力吸取</v>
      </c>
      <c r="B1633" s="4" t="s">
        <v>221</v>
      </c>
      <c r="C1633" s="4" t="s">
        <v>121</v>
      </c>
      <c r="D1633" s="4">
        <v>41</v>
      </c>
      <c r="E1633" s="4" t="s">
        <v>29</v>
      </c>
      <c r="F1633" s="4">
        <f>VLOOKUP(E1633,基础属性ID!A:B,2,0)</f>
        <v>12</v>
      </c>
      <c r="G1633" s="4">
        <f>VLOOKUP(E1633,基础属性ID!$A:$E,5,0)</f>
        <v>50</v>
      </c>
      <c r="H1633" s="4">
        <v>8</v>
      </c>
      <c r="I1633" s="4">
        <f t="shared" si="374"/>
        <v>24</v>
      </c>
      <c r="J1633" s="4" t="str">
        <f t="shared" si="371"/>
        <v>12:50:8:24,</v>
      </c>
    </row>
    <row r="1634" spans="1:10">
      <c r="A1634" s="4" t="str">
        <f t="shared" si="367"/>
        <v>41级红戒指暴击几率</v>
      </c>
      <c r="B1634" s="4" t="s">
        <v>221</v>
      </c>
      <c r="C1634" s="4" t="s">
        <v>121</v>
      </c>
      <c r="D1634" s="4">
        <v>41</v>
      </c>
      <c r="E1634" s="4" t="s">
        <v>21</v>
      </c>
      <c r="F1634" s="4">
        <f>VLOOKUP(E1634,基础属性ID!A:B,2,0)</f>
        <v>13</v>
      </c>
      <c r="G1634" s="4">
        <f>VLOOKUP(E1634,基础属性ID!$A:$E,5,0)</f>
        <v>20</v>
      </c>
      <c r="H1634" s="4">
        <v>300</v>
      </c>
      <c r="I1634" s="4">
        <v>500</v>
      </c>
      <c r="J1634" s="4" t="str">
        <f t="shared" si="371"/>
        <v>13:20:300:500,</v>
      </c>
    </row>
    <row r="1635" spans="1:10">
      <c r="A1635" s="4" t="str">
        <f t="shared" si="367"/>
        <v>41级红戒指爆击伤害</v>
      </c>
      <c r="B1635" s="4" t="s">
        <v>221</v>
      </c>
      <c r="C1635" s="4" t="s">
        <v>121</v>
      </c>
      <c r="D1635" s="4">
        <v>41</v>
      </c>
      <c r="E1635" s="4" t="s">
        <v>76</v>
      </c>
      <c r="F1635" s="4">
        <f>VLOOKUP(E1635,基础属性ID!A:B,2,0)</f>
        <v>14</v>
      </c>
      <c r="G1635" s="4">
        <f>VLOOKUP(E1635,基础属性ID!$A:$E,5,0)</f>
        <v>20</v>
      </c>
      <c r="H1635" s="4">
        <v>10</v>
      </c>
      <c r="I1635" s="4">
        <v>20</v>
      </c>
      <c r="J1635" s="4" t="str">
        <f t="shared" si="371"/>
        <v>14:20:10:20,</v>
      </c>
    </row>
    <row r="1636" spans="1:10">
      <c r="A1636" s="4" t="str">
        <f t="shared" si="367"/>
        <v>41级红戒指伤害增加</v>
      </c>
      <c r="B1636" s="4" t="s">
        <v>221</v>
      </c>
      <c r="C1636" s="4" t="s">
        <v>121</v>
      </c>
      <c r="D1636" s="4">
        <v>41</v>
      </c>
      <c r="E1636" s="4" t="s">
        <v>26</v>
      </c>
      <c r="F1636" s="4">
        <f>VLOOKUP(E1636,基础属性ID!A:B,2,0)</f>
        <v>15</v>
      </c>
      <c r="G1636" s="4">
        <f>VLOOKUP(E1636,基础属性ID!$A:$E,5,0)</f>
        <v>10</v>
      </c>
      <c r="H1636" s="4">
        <v>2</v>
      </c>
      <c r="I1636" s="4">
        <v>5</v>
      </c>
      <c r="J1636" s="4" t="str">
        <f t="shared" si="371"/>
        <v>15:10:2:5,</v>
      </c>
    </row>
    <row r="1637" spans="1:10">
      <c r="A1637" s="4" t="str">
        <f t="shared" si="367"/>
        <v>41级红戒指伤害减免</v>
      </c>
      <c r="B1637" s="4" t="s">
        <v>221</v>
      </c>
      <c r="C1637" s="4" t="s">
        <v>121</v>
      </c>
      <c r="D1637" s="4">
        <v>41</v>
      </c>
      <c r="E1637" s="4" t="s">
        <v>27</v>
      </c>
      <c r="F1637" s="4">
        <f>VLOOKUP(E1637,基础属性ID!A:B,2,0)</f>
        <v>16</v>
      </c>
      <c r="G1637" s="4">
        <f>VLOOKUP(E1637,基础属性ID!$A:$E,5,0)</f>
        <v>10</v>
      </c>
      <c r="H1637" s="4">
        <v>2</v>
      </c>
      <c r="I1637" s="4">
        <v>5</v>
      </c>
      <c r="J1637" s="4" t="str">
        <f t="shared" si="371"/>
        <v>16:10:2:5,</v>
      </c>
    </row>
    <row r="1638" spans="1:10">
      <c r="A1638" s="4" t="str">
        <f t="shared" si="367"/>
        <v>41级红戒指装备掉率</v>
      </c>
      <c r="B1638" s="4" t="s">
        <v>221</v>
      </c>
      <c r="C1638" s="4" t="s">
        <v>121</v>
      </c>
      <c r="D1638" s="4">
        <v>41</v>
      </c>
      <c r="E1638" s="4" t="s">
        <v>30</v>
      </c>
      <c r="F1638" s="4">
        <f>VLOOKUP(E1638,基础属性ID!A:B,2,0)</f>
        <v>17</v>
      </c>
      <c r="G1638" s="4">
        <f>VLOOKUP(E1638,基础属性ID!$A:$E,5,0)</f>
        <v>60</v>
      </c>
      <c r="H1638" s="4">
        <v>5</v>
      </c>
      <c r="I1638" s="4">
        <v>15</v>
      </c>
      <c r="J1638" s="4" t="str">
        <f t="shared" si="371"/>
        <v>17:60:5:15,</v>
      </c>
    </row>
    <row r="1639" spans="1:10">
      <c r="A1639" s="4" t="str">
        <f t="shared" si="367"/>
        <v>41级红戒指极品掉率</v>
      </c>
      <c r="B1639" s="4" t="s">
        <v>221</v>
      </c>
      <c r="C1639" s="4" t="s">
        <v>121</v>
      </c>
      <c r="D1639" s="4">
        <v>41</v>
      </c>
      <c r="E1639" s="4" t="s">
        <v>31</v>
      </c>
      <c r="F1639" s="4">
        <f>VLOOKUP(E1639,基础属性ID!A:B,2,0)</f>
        <v>18</v>
      </c>
      <c r="G1639" s="4">
        <f>VLOOKUP(E1639,基础属性ID!$A:$E,5,0)</f>
        <v>60</v>
      </c>
      <c r="H1639" s="4">
        <v>5</v>
      </c>
      <c r="I1639" s="4">
        <v>15</v>
      </c>
      <c r="J1639" s="4" t="str">
        <f t="shared" si="371"/>
        <v>18:60:5:15,</v>
      </c>
    </row>
    <row r="1640" spans="1:10">
      <c r="A1640" s="4" t="str">
        <f t="shared" si="367"/>
        <v>61级红戒指生命值</v>
      </c>
      <c r="B1640" s="4" t="s">
        <v>221</v>
      </c>
      <c r="C1640" s="4" t="s">
        <v>121</v>
      </c>
      <c r="D1640" s="4">
        <v>61</v>
      </c>
      <c r="E1640" s="4" t="s">
        <v>74</v>
      </c>
      <c r="F1640" s="4">
        <f>VLOOKUP(E1640,基础属性ID!A:B,2,0)</f>
        <v>1</v>
      </c>
      <c r="G1640" s="4">
        <f>VLOOKUP(E1640,基础属性ID!$A:$E,5,0)</f>
        <v>100</v>
      </c>
      <c r="H1640" s="4">
        <v>60</v>
      </c>
      <c r="I1640" s="4">
        <f>H1640*3</f>
        <v>180</v>
      </c>
      <c r="J1640" s="4" t="str">
        <f t="shared" si="371"/>
        <v>1:100:60:180,</v>
      </c>
    </row>
    <row r="1641" spans="1:10">
      <c r="A1641" s="4" t="str">
        <f t="shared" si="367"/>
        <v>61级红戒指法力值</v>
      </c>
      <c r="B1641" s="4" t="s">
        <v>221</v>
      </c>
      <c r="C1641" s="4" t="s">
        <v>121</v>
      </c>
      <c r="D1641" s="4">
        <v>61</v>
      </c>
      <c r="E1641" s="4" t="s">
        <v>75</v>
      </c>
      <c r="F1641" s="4">
        <f>VLOOKUP(E1641,基础属性ID!A:B,2,0)</f>
        <v>2</v>
      </c>
      <c r="G1641" s="4">
        <f>VLOOKUP(E1641,基础属性ID!$A:$E,5,0)</f>
        <v>100</v>
      </c>
      <c r="H1641" s="4">
        <v>24</v>
      </c>
      <c r="I1641" s="4">
        <f>H1641*2</f>
        <v>48</v>
      </c>
      <c r="J1641" s="4" t="str">
        <f t="shared" si="371"/>
        <v>2:100:24:48,</v>
      </c>
    </row>
    <row r="1642" spans="1:10">
      <c r="A1642" s="4" t="str">
        <f t="shared" si="367"/>
        <v>61级红戒指物理攻击</v>
      </c>
      <c r="B1642" s="4" t="s">
        <v>221</v>
      </c>
      <c r="C1642" s="4" t="s">
        <v>121</v>
      </c>
      <c r="D1642" s="4">
        <v>61</v>
      </c>
      <c r="E1642" s="4" t="s">
        <v>13</v>
      </c>
      <c r="F1642" s="4">
        <f>VLOOKUP(E1642,基础属性ID!A:B,2,0)</f>
        <v>3</v>
      </c>
      <c r="G1642" s="4">
        <f>VLOOKUP(E1642,基础属性ID!$A:$E,5,0)</f>
        <v>100</v>
      </c>
      <c r="H1642" s="4">
        <v>15</v>
      </c>
      <c r="I1642" s="4">
        <f t="shared" ref="I1642:I1645" si="375">H1642*3</f>
        <v>45</v>
      </c>
      <c r="J1642" s="4" t="str">
        <f t="shared" si="371"/>
        <v>3:100:15:45,</v>
      </c>
    </row>
    <row r="1643" spans="1:10">
      <c r="A1643" s="4" t="str">
        <f t="shared" si="367"/>
        <v>61级红戒指魔法攻击</v>
      </c>
      <c r="B1643" s="4" t="s">
        <v>221</v>
      </c>
      <c r="C1643" s="4" t="s">
        <v>121</v>
      </c>
      <c r="D1643" s="4">
        <v>61</v>
      </c>
      <c r="E1643" s="4" t="s">
        <v>14</v>
      </c>
      <c r="F1643" s="4">
        <f>VLOOKUP(E1643,基础属性ID!A:B,2,0)</f>
        <v>4</v>
      </c>
      <c r="G1643" s="4">
        <f>VLOOKUP(E1643,基础属性ID!$A:$E,5,0)</f>
        <v>100</v>
      </c>
      <c r="H1643" s="4">
        <v>15</v>
      </c>
      <c r="I1643" s="4">
        <f t="shared" si="375"/>
        <v>45</v>
      </c>
      <c r="J1643" s="4" t="str">
        <f t="shared" si="371"/>
        <v>4:100:15:45,</v>
      </c>
    </row>
    <row r="1644" spans="1:10">
      <c r="A1644" s="4" t="str">
        <f t="shared" si="367"/>
        <v>61级红戒指道术攻击</v>
      </c>
      <c r="B1644" s="4" t="s">
        <v>221</v>
      </c>
      <c r="C1644" s="4" t="s">
        <v>121</v>
      </c>
      <c r="D1644" s="4">
        <v>61</v>
      </c>
      <c r="E1644" s="4" t="s">
        <v>15</v>
      </c>
      <c r="F1644" s="4">
        <f>VLOOKUP(E1644,基础属性ID!A:B,2,0)</f>
        <v>5</v>
      </c>
      <c r="G1644" s="4">
        <f>VLOOKUP(E1644,基础属性ID!$A:$E,5,0)</f>
        <v>100</v>
      </c>
      <c r="H1644" s="4">
        <v>15</v>
      </c>
      <c r="I1644" s="4">
        <f t="shared" si="375"/>
        <v>45</v>
      </c>
      <c r="J1644" s="4" t="str">
        <f t="shared" si="371"/>
        <v>5:100:15:45,</v>
      </c>
    </row>
    <row r="1645" spans="1:10">
      <c r="A1645" s="4" t="str">
        <f t="shared" si="367"/>
        <v>61级红戒指防御</v>
      </c>
      <c r="B1645" s="4" t="s">
        <v>221</v>
      </c>
      <c r="C1645" s="4" t="s">
        <v>121</v>
      </c>
      <c r="D1645" s="4">
        <v>61</v>
      </c>
      <c r="E1645" s="4" t="s">
        <v>17</v>
      </c>
      <c r="F1645" s="4">
        <f>VLOOKUP(E1645,基础属性ID!A:B,2,0)</f>
        <v>6</v>
      </c>
      <c r="G1645" s="4">
        <f>VLOOKUP(E1645,基础属性ID!$A:$E,5,0)</f>
        <v>100</v>
      </c>
      <c r="H1645" s="4">
        <v>15</v>
      </c>
      <c r="I1645" s="4">
        <f t="shared" si="375"/>
        <v>45</v>
      </c>
      <c r="J1645" s="4" t="str">
        <f t="shared" si="371"/>
        <v>6:100:15:45,</v>
      </c>
    </row>
    <row r="1646" spans="1:10">
      <c r="A1646" s="4" t="str">
        <f t="shared" si="367"/>
        <v>61级红戒指攻速</v>
      </c>
      <c r="B1646" s="4" t="s">
        <v>221</v>
      </c>
      <c r="C1646" s="4" t="s">
        <v>121</v>
      </c>
      <c r="D1646" s="4">
        <v>61</v>
      </c>
      <c r="E1646" s="4" t="s">
        <v>18</v>
      </c>
      <c r="F1646" s="4">
        <f>VLOOKUP(E1646,基础属性ID!A:B,2,0)</f>
        <v>7</v>
      </c>
      <c r="G1646" s="4">
        <f>VLOOKUP(E1646,基础属性ID!$A:$E,5,0)</f>
        <v>20</v>
      </c>
      <c r="H1646" s="4">
        <v>1</v>
      </c>
      <c r="I1646" s="4">
        <v>5</v>
      </c>
      <c r="J1646" s="4" t="str">
        <f t="shared" si="371"/>
        <v>7:20:1:5,</v>
      </c>
    </row>
    <row r="1647" spans="1:10">
      <c r="A1647" s="4" t="str">
        <f t="shared" si="367"/>
        <v>61级红戒指固定伤害</v>
      </c>
      <c r="B1647" s="4" t="s">
        <v>221</v>
      </c>
      <c r="C1647" s="4" t="s">
        <v>121</v>
      </c>
      <c r="D1647" s="4">
        <v>61</v>
      </c>
      <c r="E1647" s="4" t="s">
        <v>24</v>
      </c>
      <c r="F1647" s="4">
        <f>VLOOKUP(E1647,基础属性ID!A:B,2,0)</f>
        <v>9</v>
      </c>
      <c r="G1647" s="4">
        <f>VLOOKUP(E1647,基础属性ID!$A:$E,5,0)</f>
        <v>50</v>
      </c>
      <c r="H1647" s="4">
        <v>10</v>
      </c>
      <c r="I1647" s="4">
        <f t="shared" ref="I1647:I1648" si="376">H1647*3</f>
        <v>30</v>
      </c>
      <c r="J1647" s="4" t="str">
        <f t="shared" si="371"/>
        <v>9:50:10:30,</v>
      </c>
    </row>
    <row r="1648" spans="1:10">
      <c r="A1648" s="4" t="str">
        <f t="shared" si="367"/>
        <v>61级红戒指固定减伤</v>
      </c>
      <c r="B1648" s="4" t="s">
        <v>221</v>
      </c>
      <c r="C1648" s="4" t="s">
        <v>121</v>
      </c>
      <c r="D1648" s="4">
        <v>61</v>
      </c>
      <c r="E1648" s="4" t="s">
        <v>25</v>
      </c>
      <c r="F1648" s="4">
        <f>VLOOKUP(E1648,基础属性ID!A:B,2,0)</f>
        <v>10</v>
      </c>
      <c r="G1648" s="4">
        <f>VLOOKUP(E1648,基础属性ID!$A:$E,5,0)</f>
        <v>50</v>
      </c>
      <c r="H1648" s="4">
        <v>10</v>
      </c>
      <c r="I1648" s="4">
        <f t="shared" si="376"/>
        <v>30</v>
      </c>
      <c r="J1648" s="4" t="str">
        <f t="shared" si="371"/>
        <v>10:50:10:30,</v>
      </c>
    </row>
    <row r="1649" spans="1:10">
      <c r="A1649" s="4" t="str">
        <f t="shared" si="367"/>
        <v>61级红戒指生命吸取</v>
      </c>
      <c r="B1649" s="4" t="s">
        <v>221</v>
      </c>
      <c r="C1649" s="4" t="s">
        <v>121</v>
      </c>
      <c r="D1649" s="4">
        <v>61</v>
      </c>
      <c r="E1649" s="4" t="s">
        <v>28</v>
      </c>
      <c r="F1649" s="4">
        <f>VLOOKUP(E1649,基础属性ID!A:B,2,0)</f>
        <v>11</v>
      </c>
      <c r="G1649" s="4">
        <f>VLOOKUP(E1649,基础属性ID!$A:$E,5,0)</f>
        <v>50</v>
      </c>
      <c r="H1649" s="4">
        <v>10</v>
      </c>
      <c r="I1649" s="4">
        <f t="shared" ref="I1649:I1650" si="377">H1649*3</f>
        <v>30</v>
      </c>
      <c r="J1649" s="4" t="str">
        <f t="shared" si="371"/>
        <v>11:50:10:30,</v>
      </c>
    </row>
    <row r="1650" spans="1:10">
      <c r="A1650" s="4" t="str">
        <f t="shared" si="367"/>
        <v>61级红戒指法力吸取</v>
      </c>
      <c r="B1650" s="4" t="s">
        <v>221</v>
      </c>
      <c r="C1650" s="4" t="s">
        <v>121</v>
      </c>
      <c r="D1650" s="4">
        <v>61</v>
      </c>
      <c r="E1650" s="4" t="s">
        <v>29</v>
      </c>
      <c r="F1650" s="4">
        <f>VLOOKUP(E1650,基础属性ID!A:B,2,0)</f>
        <v>12</v>
      </c>
      <c r="G1650" s="4">
        <f>VLOOKUP(E1650,基础属性ID!$A:$E,5,0)</f>
        <v>50</v>
      </c>
      <c r="H1650" s="4">
        <v>10</v>
      </c>
      <c r="I1650" s="4">
        <f t="shared" si="377"/>
        <v>30</v>
      </c>
      <c r="J1650" s="4" t="str">
        <f t="shared" si="371"/>
        <v>12:50:10:30,</v>
      </c>
    </row>
    <row r="1651" spans="1:10">
      <c r="A1651" s="4" t="str">
        <f t="shared" si="367"/>
        <v>61级红戒指暴击几率</v>
      </c>
      <c r="B1651" s="4" t="s">
        <v>221</v>
      </c>
      <c r="C1651" s="4" t="s">
        <v>121</v>
      </c>
      <c r="D1651" s="4">
        <v>61</v>
      </c>
      <c r="E1651" s="4" t="s">
        <v>21</v>
      </c>
      <c r="F1651" s="4">
        <f>VLOOKUP(E1651,基础属性ID!A:B,2,0)</f>
        <v>13</v>
      </c>
      <c r="G1651" s="4">
        <f>VLOOKUP(E1651,基础属性ID!$A:$E,5,0)</f>
        <v>20</v>
      </c>
      <c r="H1651" s="4">
        <v>300</v>
      </c>
      <c r="I1651" s="4">
        <v>500</v>
      </c>
      <c r="J1651" s="4" t="str">
        <f t="shared" si="371"/>
        <v>13:20:300:500,</v>
      </c>
    </row>
    <row r="1652" spans="1:10">
      <c r="A1652" s="4" t="str">
        <f t="shared" si="367"/>
        <v>61级红戒指爆击伤害</v>
      </c>
      <c r="B1652" s="4" t="s">
        <v>221</v>
      </c>
      <c r="C1652" s="4" t="s">
        <v>121</v>
      </c>
      <c r="D1652" s="4">
        <v>61</v>
      </c>
      <c r="E1652" s="4" t="s">
        <v>76</v>
      </c>
      <c r="F1652" s="4">
        <f>VLOOKUP(E1652,基础属性ID!A:B,2,0)</f>
        <v>14</v>
      </c>
      <c r="G1652" s="4">
        <f>VLOOKUP(E1652,基础属性ID!$A:$E,5,0)</f>
        <v>20</v>
      </c>
      <c r="H1652" s="4">
        <v>10</v>
      </c>
      <c r="I1652" s="4">
        <v>20</v>
      </c>
      <c r="J1652" s="4" t="str">
        <f t="shared" si="371"/>
        <v>14:20:10:20,</v>
      </c>
    </row>
    <row r="1653" spans="1:10">
      <c r="A1653" s="4" t="str">
        <f t="shared" si="367"/>
        <v>61级红戒指伤害增加</v>
      </c>
      <c r="B1653" s="4" t="s">
        <v>221</v>
      </c>
      <c r="C1653" s="4" t="s">
        <v>121</v>
      </c>
      <c r="D1653" s="4">
        <v>61</v>
      </c>
      <c r="E1653" s="4" t="s">
        <v>26</v>
      </c>
      <c r="F1653" s="4">
        <f>VLOOKUP(E1653,基础属性ID!A:B,2,0)</f>
        <v>15</v>
      </c>
      <c r="G1653" s="4">
        <f>VLOOKUP(E1653,基础属性ID!$A:$E,5,0)</f>
        <v>10</v>
      </c>
      <c r="H1653" s="4">
        <v>2</v>
      </c>
      <c r="I1653" s="4">
        <v>5</v>
      </c>
      <c r="J1653" s="4" t="str">
        <f t="shared" si="371"/>
        <v>15:10:2:5,</v>
      </c>
    </row>
    <row r="1654" spans="1:10">
      <c r="A1654" s="4" t="str">
        <f t="shared" si="367"/>
        <v>61级红戒指伤害减免</v>
      </c>
      <c r="B1654" s="4" t="s">
        <v>221</v>
      </c>
      <c r="C1654" s="4" t="s">
        <v>121</v>
      </c>
      <c r="D1654" s="4">
        <v>61</v>
      </c>
      <c r="E1654" s="4" t="s">
        <v>27</v>
      </c>
      <c r="F1654" s="4">
        <f>VLOOKUP(E1654,基础属性ID!A:B,2,0)</f>
        <v>16</v>
      </c>
      <c r="G1654" s="4">
        <f>VLOOKUP(E1654,基础属性ID!$A:$E,5,0)</f>
        <v>10</v>
      </c>
      <c r="H1654" s="4">
        <v>2</v>
      </c>
      <c r="I1654" s="4">
        <v>5</v>
      </c>
      <c r="J1654" s="4" t="str">
        <f t="shared" si="371"/>
        <v>16:10:2:5,</v>
      </c>
    </row>
    <row r="1655" spans="1:10">
      <c r="A1655" s="4" t="str">
        <f t="shared" si="367"/>
        <v>61级红戒指装备掉率</v>
      </c>
      <c r="B1655" s="4" t="s">
        <v>221</v>
      </c>
      <c r="C1655" s="4" t="s">
        <v>121</v>
      </c>
      <c r="D1655" s="4">
        <v>61</v>
      </c>
      <c r="E1655" s="4" t="s">
        <v>30</v>
      </c>
      <c r="F1655" s="4">
        <f>VLOOKUP(E1655,基础属性ID!A:B,2,0)</f>
        <v>17</v>
      </c>
      <c r="G1655" s="4">
        <f>VLOOKUP(E1655,基础属性ID!$A:$E,5,0)</f>
        <v>60</v>
      </c>
      <c r="H1655" s="4">
        <v>5</v>
      </c>
      <c r="I1655" s="4">
        <v>15</v>
      </c>
      <c r="J1655" s="4" t="str">
        <f t="shared" si="371"/>
        <v>17:60:5:15,</v>
      </c>
    </row>
    <row r="1656" spans="1:10">
      <c r="A1656" s="4" t="str">
        <f t="shared" si="367"/>
        <v>61级红戒指极品掉率</v>
      </c>
      <c r="B1656" s="4" t="s">
        <v>221</v>
      </c>
      <c r="C1656" s="4" t="s">
        <v>121</v>
      </c>
      <c r="D1656" s="4">
        <v>61</v>
      </c>
      <c r="E1656" s="4" t="s">
        <v>31</v>
      </c>
      <c r="F1656" s="4">
        <f>VLOOKUP(E1656,基础属性ID!A:B,2,0)</f>
        <v>18</v>
      </c>
      <c r="G1656" s="4">
        <f>VLOOKUP(E1656,基础属性ID!$A:$E,5,0)</f>
        <v>60</v>
      </c>
      <c r="H1656" s="4">
        <v>5</v>
      </c>
      <c r="I1656" s="4">
        <v>15</v>
      </c>
      <c r="J1656" s="4" t="str">
        <f t="shared" si="371"/>
        <v>18:60:5:15,</v>
      </c>
    </row>
  </sheetData>
  <autoFilter ref="B1:I1656">
    <extLst/>
  </autoFilter>
  <sortState ref="Q3:T122">
    <sortCondition ref="R3:R122"/>
    <sortCondition ref="Q3:Q122"/>
    <sortCondition ref="T3:T122"/>
  </sortState>
  <pageMargins left="0.7" right="0.7" top="0.75" bottom="0.75" header="0.3" footer="0.3"/>
  <pageSetup paperSize="9" orientation="portrait" horizontalDpi="360" verticalDpi="36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7:AF35"/>
  <sheetViews>
    <sheetView topLeftCell="D1" workbookViewId="0">
      <selection activeCell="Z32" sqref="Z32"/>
    </sheetView>
  </sheetViews>
  <sheetFormatPr defaultColWidth="9" defaultRowHeight="14.25"/>
  <cols>
    <col min="1" max="6" width="9" style="29"/>
    <col min="7" max="7" width="1.75" style="29" customWidth="1"/>
    <col min="8" max="8" width="9" style="29"/>
    <col min="9" max="9" width="1.75" style="29" customWidth="1"/>
    <col min="10" max="10" width="9" style="30"/>
    <col min="11" max="11" width="2" style="30" customWidth="1"/>
    <col min="12" max="12" width="9" style="30"/>
    <col min="13" max="13" width="1.125" style="30" customWidth="1"/>
    <col min="14" max="14" width="9" style="30"/>
    <col min="15" max="15" width="1" style="30" customWidth="1"/>
    <col min="16" max="16" width="9" style="30"/>
    <col min="17" max="17" width="0.875" style="29" customWidth="1"/>
    <col min="18" max="18" width="9" style="29"/>
    <col min="19" max="19" width="1.625" style="29" customWidth="1"/>
    <col min="20" max="20" width="9" style="29"/>
    <col min="21" max="21" width="1.625" style="29" customWidth="1"/>
    <col min="22" max="22" width="9" style="29"/>
    <col min="23" max="23" width="1.625" style="29" customWidth="1"/>
    <col min="24" max="24" width="9" style="29"/>
    <col min="25" max="25" width="1.625" style="29" customWidth="1"/>
    <col min="26" max="26" width="11" style="29" customWidth="1"/>
    <col min="27" max="27" width="1.625" style="29" customWidth="1"/>
    <col min="28" max="28" width="12.125" style="29" customWidth="1"/>
    <col min="29" max="29" width="1.625" style="29" customWidth="1"/>
    <col min="30" max="30" width="14.75" style="29" customWidth="1"/>
    <col min="31" max="31" width="1.625" style="29" customWidth="1"/>
    <col min="32" max="32" width="12.125" style="29" customWidth="1"/>
    <col min="33" max="33" width="1.625" style="29" customWidth="1"/>
    <col min="34" max="34" width="12.125" style="29" customWidth="1"/>
    <col min="35" max="16384" width="9" style="29"/>
  </cols>
  <sheetData>
    <row r="7" spans="8:8">
      <c r="H7" s="30"/>
    </row>
    <row r="8" spans="8:8">
      <c r="H8" s="30"/>
    </row>
    <row r="9" spans="8:8">
      <c r="H9" s="30"/>
    </row>
    <row r="10" ht="15" spans="8:8">
      <c r="H10" s="30"/>
    </row>
    <row r="11" ht="15" spans="8:22">
      <c r="H11" s="30"/>
      <c r="V11" s="31" t="s">
        <v>633</v>
      </c>
    </row>
    <row r="12" ht="15" spans="8:8">
      <c r="H12" s="30"/>
    </row>
    <row r="13" ht="15" spans="8:22">
      <c r="H13" s="30"/>
      <c r="R13" s="31" t="s">
        <v>634</v>
      </c>
      <c r="V13" s="31" t="s">
        <v>635</v>
      </c>
    </row>
    <row r="14" ht="15" spans="8:8">
      <c r="H14" s="30"/>
    </row>
    <row r="15" ht="15" spans="18:22">
      <c r="R15" s="31" t="s">
        <v>636</v>
      </c>
      <c r="V15" s="31" t="s">
        <v>637</v>
      </c>
    </row>
    <row r="16" ht="15"/>
    <row r="17" ht="15" spans="14:32">
      <c r="N17" s="31" t="s">
        <v>638</v>
      </c>
      <c r="R17" s="31" t="s">
        <v>639</v>
      </c>
      <c r="V17" s="31" t="s">
        <v>640</v>
      </c>
      <c r="Z17" s="31" t="s">
        <v>641</v>
      </c>
      <c r="AB17" s="31" t="s">
        <v>642</v>
      </c>
      <c r="AD17" s="31" t="s">
        <v>643</v>
      </c>
      <c r="AF17" s="31" t="s">
        <v>644</v>
      </c>
    </row>
    <row r="18" ht="15"/>
    <row r="19" ht="15" spans="14:22">
      <c r="N19" s="31" t="s">
        <v>645</v>
      </c>
      <c r="R19" s="31" t="s">
        <v>646</v>
      </c>
      <c r="V19" s="32" t="s">
        <v>647</v>
      </c>
    </row>
    <row r="20" ht="15"/>
    <row r="21" ht="15" spans="14:30">
      <c r="N21" s="31" t="s">
        <v>648</v>
      </c>
      <c r="R21" s="32" t="s">
        <v>649</v>
      </c>
      <c r="T21" s="31" t="s">
        <v>650</v>
      </c>
      <c r="V21" s="31" t="s">
        <v>651</v>
      </c>
      <c r="Z21" s="31" t="s">
        <v>652</v>
      </c>
      <c r="AB21" s="31" t="s">
        <v>653</v>
      </c>
      <c r="AD21" s="31" t="s">
        <v>654</v>
      </c>
    </row>
    <row r="22" ht="15"/>
    <row r="23" ht="15" spans="6:24">
      <c r="F23" s="31" t="s">
        <v>655</v>
      </c>
      <c r="H23" s="31" t="s">
        <v>656</v>
      </c>
      <c r="J23" s="31" t="s">
        <v>657</v>
      </c>
      <c r="L23" s="31" t="s">
        <v>658</v>
      </c>
      <c r="N23" s="32" t="s">
        <v>659</v>
      </c>
      <c r="P23" s="31" t="s">
        <v>660</v>
      </c>
      <c r="R23" s="31" t="s">
        <v>661</v>
      </c>
      <c r="V23" s="31" t="s">
        <v>662</v>
      </c>
      <c r="X23" s="31" t="s">
        <v>663</v>
      </c>
    </row>
    <row r="24" ht="15"/>
    <row r="25" ht="15" spans="6:22">
      <c r="F25" s="31" t="s">
        <v>664</v>
      </c>
      <c r="N25" s="31" t="s">
        <v>665</v>
      </c>
      <c r="R25" s="31" t="s">
        <v>666</v>
      </c>
      <c r="V25" s="31" t="s">
        <v>667</v>
      </c>
    </row>
    <row r="26" ht="15"/>
    <row r="27" ht="15" spans="14:22">
      <c r="N27" s="31" t="s">
        <v>668</v>
      </c>
      <c r="V27" s="31" t="s">
        <v>669</v>
      </c>
    </row>
    <row r="28" ht="15"/>
    <row r="29" ht="15" spans="14:22">
      <c r="N29" s="31" t="s">
        <v>670</v>
      </c>
      <c r="V29" s="31" t="s">
        <v>671</v>
      </c>
    </row>
    <row r="30" ht="15"/>
    <row r="31" ht="15" spans="22:22">
      <c r="V31" s="31" t="s">
        <v>672</v>
      </c>
    </row>
    <row r="32" ht="15"/>
    <row r="33" ht="15" spans="22:22">
      <c r="V33" s="31" t="s">
        <v>673</v>
      </c>
    </row>
    <row r="34" ht="15"/>
    <row r="35" ht="15" spans="22:22">
      <c r="V35" s="31" t="s">
        <v>674</v>
      </c>
    </row>
  </sheetData>
  <pageMargins left="0.7" right="0.7" top="0.75" bottom="0.75" header="0.3" footer="0.3"/>
  <pageSetup paperSize="9" orientation="portrait" horizontalDpi="360" verticalDpi="36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E37"/>
  <sheetViews>
    <sheetView workbookViewId="0">
      <selection activeCell="P37" sqref="P37"/>
    </sheetView>
  </sheetViews>
  <sheetFormatPr defaultColWidth="9" defaultRowHeight="14.25"/>
  <cols>
    <col min="1" max="1" width="9" style="8"/>
    <col min="2" max="2" width="16.375" style="8" customWidth="1"/>
    <col min="3" max="3" width="3.375" style="8" customWidth="1"/>
    <col min="4" max="4" width="13.5" style="8" customWidth="1"/>
    <col min="5" max="5" width="3.375" style="8" customWidth="1"/>
    <col min="6" max="6" width="17.875" style="8" customWidth="1"/>
    <col min="7" max="7" width="3.375" style="8" customWidth="1"/>
    <col min="8" max="8" width="18.75" style="8" customWidth="1"/>
    <col min="9" max="9" width="3.375" style="8" customWidth="1"/>
    <col min="10" max="10" width="18.5" style="8" customWidth="1"/>
    <col min="11" max="11" width="3.375" style="8" customWidth="1"/>
    <col min="12" max="12" width="21.625" style="8" customWidth="1"/>
    <col min="13" max="13" width="3.375" style="8" customWidth="1"/>
    <col min="14" max="14" width="14.125" style="8" customWidth="1"/>
    <col min="15" max="15" width="4.75" style="8" customWidth="1"/>
    <col min="16" max="16" width="15.125" style="8" customWidth="1"/>
    <col min="17" max="17" width="4.75" style="8" customWidth="1"/>
    <col min="18" max="18" width="22.5" style="8" customWidth="1"/>
    <col min="19" max="19" width="4.75" style="9" customWidth="1"/>
    <col min="20" max="20" width="21.625" style="8" customWidth="1"/>
    <col min="21" max="21" width="4.75" style="8" customWidth="1"/>
    <col min="22" max="22" width="9.25" style="8" customWidth="1"/>
    <col min="23" max="23" width="4.75" style="8" customWidth="1"/>
    <col min="24" max="24" width="3.375" style="8" customWidth="1"/>
    <col min="25" max="25" width="13.875" style="8" customWidth="1"/>
    <col min="26" max="26" width="3.375" style="8" customWidth="1"/>
    <col min="27" max="27" width="21" style="8" customWidth="1"/>
    <col min="28" max="28" width="3.375" style="8" customWidth="1"/>
    <col min="29" max="29" width="12.75" style="8" customWidth="1"/>
    <col min="30" max="16384" width="9" style="8"/>
  </cols>
  <sheetData>
    <row r="1" spans="6:8">
      <c r="F1" s="8" t="s">
        <v>675</v>
      </c>
      <c r="H1" s="8" t="s">
        <v>676</v>
      </c>
    </row>
    <row r="2" spans="4:18">
      <c r="D2" s="8" t="s">
        <v>677</v>
      </c>
      <c r="F2" s="8" t="s">
        <v>678</v>
      </c>
      <c r="H2" s="8" t="s">
        <v>679</v>
      </c>
      <c r="R2" s="8" t="s">
        <v>680</v>
      </c>
    </row>
    <row r="3" spans="4:18">
      <c r="D3" s="8" t="s">
        <v>681</v>
      </c>
      <c r="F3" s="8" t="s">
        <v>682</v>
      </c>
      <c r="H3" s="8" t="s">
        <v>683</v>
      </c>
      <c r="R3" s="8" t="s">
        <v>684</v>
      </c>
    </row>
    <row r="4" spans="4:18">
      <c r="D4" s="8" t="s">
        <v>685</v>
      </c>
      <c r="F4" s="8" t="s">
        <v>686</v>
      </c>
      <c r="H4" s="8" t="s">
        <v>687</v>
      </c>
      <c r="R4" s="8" t="s">
        <v>688</v>
      </c>
    </row>
    <row r="5" spans="4:18">
      <c r="D5" s="8" t="s">
        <v>689</v>
      </c>
      <c r="F5" s="8" t="s">
        <v>690</v>
      </c>
      <c r="H5" s="8" t="s">
        <v>691</v>
      </c>
      <c r="R5" s="8" t="s">
        <v>692</v>
      </c>
    </row>
    <row r="6" spans="4:18">
      <c r="D6" s="8" t="s">
        <v>693</v>
      </c>
      <c r="F6" s="8" t="s">
        <v>694</v>
      </c>
      <c r="H6" s="8" t="s">
        <v>695</v>
      </c>
      <c r="R6" s="8" t="s">
        <v>696</v>
      </c>
    </row>
    <row r="7" spans="18:18">
      <c r="R7" s="8" t="s">
        <v>697</v>
      </c>
    </row>
    <row r="8" spans="18:18">
      <c r="R8" s="8" t="s">
        <v>698</v>
      </c>
    </row>
    <row r="10" spans="6:25">
      <c r="F10" s="10"/>
      <c r="W10" s="8">
        <v>1</v>
      </c>
      <c r="X10" s="8">
        <v>2</v>
      </c>
      <c r="Y10" s="8">
        <v>3</v>
      </c>
    </row>
    <row r="11" spans="2:28">
      <c r="B11" s="11"/>
      <c r="C11" s="11"/>
      <c r="D11" s="11"/>
      <c r="E11" s="11"/>
      <c r="F11" s="12" t="s">
        <v>699</v>
      </c>
      <c r="G11" s="11"/>
      <c r="I11" s="11"/>
      <c r="J11" s="17" t="s">
        <v>700</v>
      </c>
      <c r="K11" s="11"/>
      <c r="L11" s="11"/>
      <c r="M11" s="11"/>
      <c r="N11" s="11"/>
      <c r="O11" s="17"/>
      <c r="P11" s="11"/>
      <c r="Q11" s="17"/>
      <c r="R11" s="11"/>
      <c r="S11" s="25"/>
      <c r="T11" s="11"/>
      <c r="U11" s="17"/>
      <c r="V11" s="11"/>
      <c r="W11" s="17">
        <v>4</v>
      </c>
      <c r="X11" s="26">
        <v>0</v>
      </c>
      <c r="Y11" s="8">
        <v>5</v>
      </c>
      <c r="Z11" s="11"/>
      <c r="AB11" s="11"/>
    </row>
    <row r="12" spans="2:28">
      <c r="B12" s="11"/>
      <c r="C12" s="11"/>
      <c r="D12" s="11"/>
      <c r="E12" s="11"/>
      <c r="F12" s="12" t="s">
        <v>701</v>
      </c>
      <c r="G12" s="11"/>
      <c r="I12" s="11"/>
      <c r="J12" s="18" t="s">
        <v>701</v>
      </c>
      <c r="K12" s="11"/>
      <c r="L12" s="11"/>
      <c r="M12" s="11"/>
      <c r="N12" s="11"/>
      <c r="O12" s="17"/>
      <c r="P12" s="11"/>
      <c r="Q12" s="17"/>
      <c r="R12" s="11"/>
      <c r="S12" s="25"/>
      <c r="T12" s="11"/>
      <c r="U12" s="17"/>
      <c r="V12" s="11"/>
      <c r="W12" s="17">
        <v>6</v>
      </c>
      <c r="X12" s="11">
        <v>7</v>
      </c>
      <c r="Y12" s="8">
        <v>8</v>
      </c>
      <c r="Z12" s="11"/>
      <c r="AB12" s="11"/>
    </row>
    <row r="13" spans="2:28">
      <c r="B13" s="11"/>
      <c r="C13" s="11"/>
      <c r="D13" s="11"/>
      <c r="E13" s="11"/>
      <c r="F13" s="12" t="s">
        <v>702</v>
      </c>
      <c r="G13" s="11"/>
      <c r="I13" s="11"/>
      <c r="J13" s="17" t="s">
        <v>703</v>
      </c>
      <c r="K13" s="11"/>
      <c r="L13" s="17" t="s">
        <v>704</v>
      </c>
      <c r="M13" s="11"/>
      <c r="N13" s="17"/>
      <c r="O13" s="11"/>
      <c r="P13" s="17"/>
      <c r="Q13" s="11"/>
      <c r="R13" s="17"/>
      <c r="S13" s="27"/>
      <c r="T13" s="17"/>
      <c r="X13" s="11"/>
      <c r="Z13" s="11"/>
      <c r="AB13" s="11"/>
    </row>
    <row r="14" spans="2:28">
      <c r="B14" s="11"/>
      <c r="C14" s="11"/>
      <c r="D14" s="11"/>
      <c r="E14" s="11"/>
      <c r="F14" s="12" t="s">
        <v>701</v>
      </c>
      <c r="G14" s="11"/>
      <c r="I14" s="11"/>
      <c r="J14" s="18" t="s">
        <v>701</v>
      </c>
      <c r="K14" s="11"/>
      <c r="L14" s="18" t="s">
        <v>701</v>
      </c>
      <c r="M14" s="11"/>
      <c r="N14" s="17"/>
      <c r="O14" s="11"/>
      <c r="P14" s="17"/>
      <c r="Q14" s="11"/>
      <c r="R14" s="17"/>
      <c r="S14" s="27"/>
      <c r="T14" s="17"/>
      <c r="X14" s="11"/>
      <c r="Z14" s="11"/>
      <c r="AB14" s="11"/>
    </row>
    <row r="15" spans="2:28">
      <c r="B15" s="11"/>
      <c r="C15" s="11"/>
      <c r="D15" s="11"/>
      <c r="E15" s="11"/>
      <c r="F15" s="12" t="s">
        <v>705</v>
      </c>
      <c r="G15" s="11"/>
      <c r="I15" s="11"/>
      <c r="J15" s="17" t="s">
        <v>706</v>
      </c>
      <c r="K15" s="11"/>
      <c r="L15" s="17" t="s">
        <v>707</v>
      </c>
      <c r="M15" s="11"/>
      <c r="N15" s="17"/>
      <c r="O15" s="11"/>
      <c r="P15" s="17"/>
      <c r="Q15" s="11"/>
      <c r="R15" s="17"/>
      <c r="S15" s="27"/>
      <c r="T15" s="17"/>
      <c r="X15" s="11"/>
      <c r="Z15" s="11"/>
      <c r="AB15" s="11"/>
    </row>
    <row r="16" spans="2:28">
      <c r="B16" s="11"/>
      <c r="C16" s="11"/>
      <c r="D16" s="11"/>
      <c r="E16" s="11"/>
      <c r="F16" s="12" t="s">
        <v>701</v>
      </c>
      <c r="G16" s="11"/>
      <c r="I16" s="11"/>
      <c r="J16" s="18" t="s">
        <v>701</v>
      </c>
      <c r="K16" s="11"/>
      <c r="L16" s="18" t="s">
        <v>701</v>
      </c>
      <c r="M16" s="11"/>
      <c r="N16" s="17"/>
      <c r="O16" s="11"/>
      <c r="P16" s="17"/>
      <c r="Q16" s="11"/>
      <c r="R16" s="17"/>
      <c r="S16" s="27"/>
      <c r="T16" s="17"/>
      <c r="X16" s="11"/>
      <c r="Z16" s="11"/>
      <c r="AB16" s="11"/>
    </row>
    <row r="17" spans="2:28">
      <c r="B17" s="11" t="s">
        <v>708</v>
      </c>
      <c r="C17" s="11"/>
      <c r="D17" s="11" t="s">
        <v>709</v>
      </c>
      <c r="E17" s="11"/>
      <c r="F17" s="12" t="s">
        <v>710</v>
      </c>
      <c r="G17" s="11"/>
      <c r="I17" s="11"/>
      <c r="J17" s="17" t="s">
        <v>711</v>
      </c>
      <c r="K17" s="11" t="s">
        <v>712</v>
      </c>
      <c r="L17" s="17" t="s">
        <v>713</v>
      </c>
      <c r="M17" s="11" t="s">
        <v>712</v>
      </c>
      <c r="N17" s="19" t="s">
        <v>714</v>
      </c>
      <c r="O17" s="11" t="s">
        <v>712</v>
      </c>
      <c r="P17" s="19" t="s">
        <v>715</v>
      </c>
      <c r="Q17" s="11" t="s">
        <v>712</v>
      </c>
      <c r="R17" s="19" t="s">
        <v>716</v>
      </c>
      <c r="S17" s="27"/>
      <c r="T17" s="17"/>
      <c r="X17" s="11"/>
      <c r="Z17" s="11"/>
      <c r="AB17" s="11"/>
    </row>
    <row r="18" ht="15" spans="2:28">
      <c r="B18" s="11" t="s">
        <v>701</v>
      </c>
      <c r="C18" s="11"/>
      <c r="D18" s="11" t="s">
        <v>701</v>
      </c>
      <c r="E18" s="11"/>
      <c r="F18" s="12" t="s">
        <v>701</v>
      </c>
      <c r="G18" s="11"/>
      <c r="I18" s="11"/>
      <c r="J18" s="18" t="s">
        <v>701</v>
      </c>
      <c r="K18" s="11"/>
      <c r="L18" s="17"/>
      <c r="M18" s="11"/>
      <c r="N18" s="19"/>
      <c r="O18" s="11"/>
      <c r="P18" s="19"/>
      <c r="Q18" s="11"/>
      <c r="R18" s="19"/>
      <c r="S18" s="27"/>
      <c r="T18" s="17"/>
      <c r="X18" s="11"/>
      <c r="Z18" s="11"/>
      <c r="AB18" s="11"/>
    </row>
    <row r="19" ht="17.25" spans="2:24">
      <c r="B19" s="11" t="s">
        <v>717</v>
      </c>
      <c r="C19" s="11"/>
      <c r="D19" s="11" t="s">
        <v>718</v>
      </c>
      <c r="E19" s="11" t="s">
        <v>712</v>
      </c>
      <c r="F19" s="13" t="s">
        <v>719</v>
      </c>
      <c r="G19" s="11" t="s">
        <v>712</v>
      </c>
      <c r="H19" s="14" t="s">
        <v>720</v>
      </c>
      <c r="I19" s="11" t="s">
        <v>712</v>
      </c>
      <c r="J19" s="20" t="s">
        <v>721</v>
      </c>
      <c r="K19" s="11" t="s">
        <v>712</v>
      </c>
      <c r="L19" s="17" t="s">
        <v>722</v>
      </c>
      <c r="M19" s="11" t="s">
        <v>712</v>
      </c>
      <c r="N19" s="19" t="s">
        <v>723</v>
      </c>
      <c r="O19" s="11" t="s">
        <v>712</v>
      </c>
      <c r="P19" s="19" t="s">
        <v>724</v>
      </c>
      <c r="Q19" s="11" t="s">
        <v>712</v>
      </c>
      <c r="R19" s="19" t="s">
        <v>725</v>
      </c>
      <c r="S19" s="11" t="s">
        <v>712</v>
      </c>
      <c r="T19" s="17" t="s">
        <v>726</v>
      </c>
      <c r="X19" s="11"/>
    </row>
    <row r="20" spans="2:27">
      <c r="B20" s="11" t="s">
        <v>701</v>
      </c>
      <c r="C20" s="11"/>
      <c r="D20" s="11" t="s">
        <v>701</v>
      </c>
      <c r="E20" s="11"/>
      <c r="F20" s="12" t="s">
        <v>701</v>
      </c>
      <c r="G20" s="11"/>
      <c r="I20" s="11"/>
      <c r="J20" s="10" t="s">
        <v>701</v>
      </c>
      <c r="K20" s="11"/>
      <c r="L20" s="11"/>
      <c r="M20" s="11"/>
      <c r="N20" s="11"/>
      <c r="P20" s="11"/>
      <c r="R20" s="11"/>
      <c r="T20" s="11"/>
      <c r="V20" s="11"/>
      <c r="X20" s="11"/>
      <c r="AA20" s="8" t="s">
        <v>727</v>
      </c>
    </row>
    <row r="21" spans="2:29">
      <c r="B21" s="11" t="s">
        <v>728</v>
      </c>
      <c r="C21" s="11"/>
      <c r="D21" s="11" t="s">
        <v>729</v>
      </c>
      <c r="E21" s="11"/>
      <c r="F21" s="12" t="s">
        <v>730</v>
      </c>
      <c r="G21" s="11"/>
      <c r="I21" s="11"/>
      <c r="J21" s="8" t="s">
        <v>731</v>
      </c>
      <c r="K21" s="11"/>
      <c r="L21" s="11"/>
      <c r="M21" s="11"/>
      <c r="N21" s="11"/>
      <c r="O21" s="21"/>
      <c r="P21" s="11"/>
      <c r="R21" s="11"/>
      <c r="T21" s="11"/>
      <c r="V21" s="11"/>
      <c r="X21" s="11"/>
      <c r="Y21" s="8" t="s">
        <v>732</v>
      </c>
      <c r="Z21" s="11"/>
      <c r="AA21" s="8" t="s">
        <v>733</v>
      </c>
      <c r="AB21" s="27"/>
      <c r="AC21" s="9" t="s">
        <v>734</v>
      </c>
    </row>
    <row r="22" ht="15" spans="2:29">
      <c r="B22" s="11" t="s">
        <v>701</v>
      </c>
      <c r="C22" s="11"/>
      <c r="D22" s="11" t="s">
        <v>701</v>
      </c>
      <c r="E22" s="11"/>
      <c r="F22" s="12" t="s">
        <v>701</v>
      </c>
      <c r="G22" s="11"/>
      <c r="I22" s="11"/>
      <c r="J22" s="10" t="s">
        <v>701</v>
      </c>
      <c r="K22" s="11"/>
      <c r="L22" s="11"/>
      <c r="M22" s="11"/>
      <c r="N22" s="11"/>
      <c r="O22" s="21"/>
      <c r="P22" s="11" t="s">
        <v>735</v>
      </c>
      <c r="R22" s="11"/>
      <c r="T22" s="11"/>
      <c r="V22" s="11"/>
      <c r="X22" s="11"/>
      <c r="Z22" s="11"/>
      <c r="AA22" s="8" t="s">
        <v>701</v>
      </c>
      <c r="AB22" s="11"/>
      <c r="AC22" s="8" t="s">
        <v>701</v>
      </c>
    </row>
    <row r="23" ht="17.25" spans="2:29">
      <c r="B23" s="11" t="s">
        <v>736</v>
      </c>
      <c r="C23" s="11" t="s">
        <v>712</v>
      </c>
      <c r="D23" s="11" t="s">
        <v>737</v>
      </c>
      <c r="E23" s="11"/>
      <c r="F23" s="12" t="s">
        <v>738</v>
      </c>
      <c r="G23" s="11"/>
      <c r="I23" s="11"/>
      <c r="J23" s="8" t="s">
        <v>739</v>
      </c>
      <c r="K23" s="11" t="s">
        <v>712</v>
      </c>
      <c r="L23" s="8" t="s">
        <v>740</v>
      </c>
      <c r="M23" s="11" t="s">
        <v>712</v>
      </c>
      <c r="N23" s="22" t="s">
        <v>741</v>
      </c>
      <c r="O23" s="11" t="s">
        <v>712</v>
      </c>
      <c r="P23" s="21" t="s">
        <v>742</v>
      </c>
      <c r="Q23" s="11" t="s">
        <v>712</v>
      </c>
      <c r="R23" s="21" t="s">
        <v>743</v>
      </c>
      <c r="S23" s="11" t="s">
        <v>712</v>
      </c>
      <c r="T23" s="21" t="s">
        <v>744</v>
      </c>
      <c r="U23" s="11" t="s">
        <v>712</v>
      </c>
      <c r="V23" s="28" t="s">
        <v>745</v>
      </c>
      <c r="W23" s="11" t="s">
        <v>712</v>
      </c>
      <c r="Y23" s="8" t="s">
        <v>746</v>
      </c>
      <c r="Z23" s="11"/>
      <c r="AA23" s="8" t="s">
        <v>747</v>
      </c>
      <c r="AB23" s="11"/>
      <c r="AC23" s="8" t="s">
        <v>748</v>
      </c>
    </row>
    <row r="24" ht="15" spans="2:29">
      <c r="B24" s="11" t="s">
        <v>701</v>
      </c>
      <c r="C24" s="11"/>
      <c r="D24" s="11"/>
      <c r="E24" s="11"/>
      <c r="F24" s="11"/>
      <c r="G24" s="11"/>
      <c r="I24" s="11"/>
      <c r="J24" s="10" t="s">
        <v>701</v>
      </c>
      <c r="K24" s="11"/>
      <c r="L24" s="11"/>
      <c r="M24" s="11"/>
      <c r="N24" s="11"/>
      <c r="P24" s="11"/>
      <c r="R24" s="21" t="s">
        <v>701</v>
      </c>
      <c r="T24" s="11"/>
      <c r="V24" s="11"/>
      <c r="X24" s="11"/>
      <c r="Y24" s="8" t="s">
        <v>701</v>
      </c>
      <c r="Z24" s="11"/>
      <c r="AA24" s="8" t="s">
        <v>701</v>
      </c>
      <c r="AB24" s="11"/>
      <c r="AC24" s="8" t="s">
        <v>701</v>
      </c>
    </row>
    <row r="25" ht="17.25" spans="2:29">
      <c r="B25" s="11" t="s">
        <v>749</v>
      </c>
      <c r="C25" s="11"/>
      <c r="D25" s="11"/>
      <c r="E25" s="11"/>
      <c r="F25" s="11"/>
      <c r="G25" s="11"/>
      <c r="H25" s="15" t="s">
        <v>750</v>
      </c>
      <c r="I25" s="11"/>
      <c r="J25" s="23" t="s">
        <v>751</v>
      </c>
      <c r="K25" s="11" t="s">
        <v>712</v>
      </c>
      <c r="L25" s="15" t="s">
        <v>752</v>
      </c>
      <c r="M25" s="11" t="s">
        <v>712</v>
      </c>
      <c r="N25" s="15" t="s">
        <v>753</v>
      </c>
      <c r="R25" s="21" t="s">
        <v>754</v>
      </c>
      <c r="T25" s="11"/>
      <c r="V25" s="11"/>
      <c r="X25" s="11"/>
      <c r="Y25" s="8" t="s">
        <v>755</v>
      </c>
      <c r="Z25" s="11"/>
      <c r="AA25" s="8" t="s">
        <v>756</v>
      </c>
      <c r="AB25" s="11"/>
      <c r="AC25" s="8" t="s">
        <v>757</v>
      </c>
    </row>
    <row r="26" spans="2:29">
      <c r="B26" s="11" t="s">
        <v>701</v>
      </c>
      <c r="C26" s="11"/>
      <c r="D26" s="11"/>
      <c r="E26" s="11"/>
      <c r="F26" s="11"/>
      <c r="G26" s="11"/>
      <c r="H26" s="16" t="s">
        <v>701</v>
      </c>
      <c r="I26" s="11"/>
      <c r="J26" s="16" t="s">
        <v>701</v>
      </c>
      <c r="K26" s="11"/>
      <c r="L26" s="15"/>
      <c r="M26" s="11"/>
      <c r="N26" s="16" t="s">
        <v>701</v>
      </c>
      <c r="R26" s="21" t="s">
        <v>701</v>
      </c>
      <c r="T26" s="11"/>
      <c r="V26" s="11"/>
      <c r="X26" s="11"/>
      <c r="Y26" s="8" t="s">
        <v>701</v>
      </c>
      <c r="Z26" s="11"/>
      <c r="AA26" s="8" t="s">
        <v>701</v>
      </c>
      <c r="AB26" s="11"/>
      <c r="AC26" s="8" t="s">
        <v>701</v>
      </c>
    </row>
    <row r="27" spans="2:29">
      <c r="B27" s="11" t="s">
        <v>758</v>
      </c>
      <c r="C27" s="11"/>
      <c r="D27" s="11"/>
      <c r="E27" s="11"/>
      <c r="F27" s="11"/>
      <c r="G27" s="11"/>
      <c r="H27" s="15" t="s">
        <v>759</v>
      </c>
      <c r="I27" s="11" t="s">
        <v>712</v>
      </c>
      <c r="J27" s="15" t="s">
        <v>760</v>
      </c>
      <c r="K27" s="11" t="s">
        <v>712</v>
      </c>
      <c r="L27" s="15" t="s">
        <v>761</v>
      </c>
      <c r="M27" s="11"/>
      <c r="N27" s="15" t="s">
        <v>762</v>
      </c>
      <c r="R27" s="21" t="s">
        <v>763</v>
      </c>
      <c r="T27" s="11"/>
      <c r="V27" s="11"/>
      <c r="X27" s="11"/>
      <c r="Y27" s="8" t="s">
        <v>764</v>
      </c>
      <c r="Z27" s="11" t="s">
        <v>712</v>
      </c>
      <c r="AA27" s="8" t="s">
        <v>765</v>
      </c>
      <c r="AB27" s="11"/>
      <c r="AC27" s="8" t="s">
        <v>766</v>
      </c>
    </row>
    <row r="28" spans="2:29">
      <c r="B28" s="11"/>
      <c r="C28" s="11"/>
      <c r="D28" s="11"/>
      <c r="E28" s="11"/>
      <c r="F28" s="11"/>
      <c r="G28" s="11"/>
      <c r="H28" s="16" t="s">
        <v>701</v>
      </c>
      <c r="I28" s="11"/>
      <c r="J28" s="24" t="s">
        <v>767</v>
      </c>
      <c r="K28" s="11"/>
      <c r="L28" s="16" t="s">
        <v>701</v>
      </c>
      <c r="M28" s="11"/>
      <c r="N28" s="16" t="s">
        <v>701</v>
      </c>
      <c r="R28" s="21" t="s">
        <v>701</v>
      </c>
      <c r="T28" s="11"/>
      <c r="V28" s="11"/>
      <c r="X28" s="11"/>
      <c r="Y28" s="8" t="s">
        <v>701</v>
      </c>
      <c r="Z28" s="11"/>
      <c r="AB28" s="11"/>
      <c r="AC28" s="8" t="s">
        <v>701</v>
      </c>
    </row>
    <row r="29" spans="3:31">
      <c r="C29" s="11"/>
      <c r="D29" s="11"/>
      <c r="E29" s="11"/>
      <c r="F29" s="11"/>
      <c r="G29" s="11"/>
      <c r="H29" s="15" t="s">
        <v>768</v>
      </c>
      <c r="I29" s="11"/>
      <c r="K29" s="11"/>
      <c r="L29" s="15" t="s">
        <v>769</v>
      </c>
      <c r="M29" s="11"/>
      <c r="N29" s="15" t="s">
        <v>770</v>
      </c>
      <c r="R29" s="21" t="s">
        <v>771</v>
      </c>
      <c r="T29" s="11"/>
      <c r="V29" s="11"/>
      <c r="X29" s="11"/>
      <c r="Y29" s="8" t="s">
        <v>772</v>
      </c>
      <c r="Z29" s="11" t="s">
        <v>712</v>
      </c>
      <c r="AA29" s="8" t="s">
        <v>773</v>
      </c>
      <c r="AB29" s="11" t="s">
        <v>712</v>
      </c>
      <c r="AC29" s="8" t="s">
        <v>774</v>
      </c>
      <c r="AE29" s="24" t="s">
        <v>775</v>
      </c>
    </row>
    <row r="30" spans="8:31">
      <c r="H30" s="16" t="s">
        <v>701</v>
      </c>
      <c r="L30" s="24" t="s">
        <v>776</v>
      </c>
      <c r="N30" s="16" t="s">
        <v>701</v>
      </c>
      <c r="R30" s="21" t="s">
        <v>701</v>
      </c>
      <c r="Y30" s="8" t="s">
        <v>701</v>
      </c>
      <c r="Z30" s="11"/>
      <c r="AB30" s="11"/>
      <c r="AE30" s="8" t="s">
        <v>777</v>
      </c>
    </row>
    <row r="31" spans="8:28">
      <c r="H31" s="15" t="s">
        <v>778</v>
      </c>
      <c r="L31" s="15"/>
      <c r="N31" s="15" t="s">
        <v>779</v>
      </c>
      <c r="R31" s="21" t="s">
        <v>780</v>
      </c>
      <c r="Y31" s="8" t="s">
        <v>781</v>
      </c>
      <c r="Z31" s="11"/>
      <c r="AB31" s="11"/>
    </row>
    <row r="32" spans="8:18">
      <c r="H32" s="16" t="s">
        <v>701</v>
      </c>
      <c r="O32" s="15"/>
      <c r="Q32" s="15"/>
      <c r="R32" s="21" t="s">
        <v>701</v>
      </c>
    </row>
    <row r="33" spans="8:18">
      <c r="H33" s="15" t="s">
        <v>782</v>
      </c>
      <c r="O33" s="15"/>
      <c r="Q33" s="15"/>
      <c r="R33" s="21" t="s">
        <v>783</v>
      </c>
    </row>
    <row r="34" spans="18:25">
      <c r="R34" s="8" t="s">
        <v>784</v>
      </c>
      <c r="Y34" s="24"/>
    </row>
    <row r="35" spans="25:25">
      <c r="Y35" s="8" t="s">
        <v>785</v>
      </c>
    </row>
    <row r="36" spans="25:25">
      <c r="Y36" s="8" t="s">
        <v>786</v>
      </c>
    </row>
    <row r="37" spans="25:25">
      <c r="Y37" s="8" t="s">
        <v>787</v>
      </c>
    </row>
  </sheetData>
  <pageMargins left="0.7" right="0.7" top="0.75" bottom="0.75" header="0.3" footer="0.3"/>
  <pageSetup paperSize="9"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基础设定</vt:lpstr>
      <vt:lpstr>基础属性ID</vt:lpstr>
      <vt:lpstr>升级</vt:lpstr>
      <vt:lpstr>职业基础属性</vt:lpstr>
      <vt:lpstr>装备设定</vt:lpstr>
      <vt:lpstr>装备强化</vt:lpstr>
      <vt:lpstr>装备额外附加</vt:lpstr>
      <vt:lpstr>地图设定（风云）</vt:lpstr>
      <vt:lpstr>地图（暗黑）</vt:lpstr>
      <vt:lpstr>掉落设定</vt:lpstr>
      <vt:lpstr>角色基础</vt:lpstr>
      <vt:lpstr>技能设定</vt:lpstr>
      <vt:lpstr>怪物</vt:lpstr>
      <vt:lpstr>怪物类型</vt:lpstr>
      <vt:lpstr>任务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2022-11-01T09:51:22Z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41F4EB05A64045129A073CBDDCB809E1</vt:lpwstr>
  </property>
  <property fmtid="{D5CDD505-2E9C-101B-9397-08002B2CF9AE}" pid="3" name="KSOProductBuildVer">
    <vt:lpwstr>2052-11.1.0.12598</vt:lpwstr>
  </property>
</Properties>
</file>