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0" firstSheet="0" activeTab="2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Sheet1!$B$1:$H$115</definedName>
    <definedName function="false" hidden="false" localSheetId="0" name="Print_Area_0" vbProcedure="false">Sheet1!$B$1:$H$115</definedName>
    <definedName function="false" hidden="false" localSheetId="0" name="Print_Area_0_0" vbProcedure="false">Sheet1!$B$1:$H$115</definedName>
    <definedName function="false" hidden="false" localSheetId="0" name="_xlnm.Print_Area" vbProcedure="false">Sheet1!$B$1:$H$115</definedName>
    <definedName function="false" hidden="false" localSheetId="0" name="_xlnm.Print_Area_0" vbProcedure="false">Sheet1!$B$1:$H$115</definedName>
    <definedName function="false" hidden="false" localSheetId="0" name="_xlnm.Print_Area_0_0" vbProcedure="false">Sheet1!$B$1:$H$115</definedName>
    <definedName function="false" hidden="false" localSheetId="0" name="_xlnm.Print_Area_0_0_0" vbProcedure="false">Sheet1!$B$1:$H$115</definedName>
    <definedName function="false" hidden="false" localSheetId="0" name="_xlnm.Print_Area_0_0_0_0" vbProcedure="false">Sheet1!$B$1:$H$115</definedName>
    <definedName function="false" hidden="false" localSheetId="0" name="_xlnm.Print_Area_0_0_0_0_0" vbProcedure="false">Sheet1!$B$1:$H$115</definedName>
    <definedName function="false" hidden="false" localSheetId="0" name="_xlnm.Print_Area_0_0_0_0_0_0" vbProcedure="false">Sheet1!$B$1:$H$115</definedName>
    <definedName function="false" hidden="false" localSheetId="0" name="_xlnm.Print_Area_0_0_0_0_0_0_0" vbProcedure="false">Sheet1!$B$1:$H$115</definedName>
    <definedName function="false" hidden="false" localSheetId="0" name="_xlnm.Print_Area_0_0_0_0_0_0_0_0" vbProcedure="false">Sheet1!$B$1:$H$115</definedName>
    <definedName function="false" hidden="false" localSheetId="0" name="_xlnm.Print_Area_0_0_0_0_0_0_0_0_0" vbProcedure="false">Sheet1!$B$1:$H$115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<sst xmlns="http://schemas.openxmlformats.org/spreadsheetml/2006/main" count="1010" uniqueCount="409">
  <si>
    <t>option</t>
  </si>
  <si>
    <t>ITER</t>
  </si>
  <si>
    <t>INPUT</t>
  </si>
  <si>
    <t>[description]</t>
  </si>
  <si>
    <t>[var]</t>
  </si>
  <si>
    <t>[unit]</t>
  </si>
  <si>
    <t>value</t>
  </si>
  <si>
    <t>D’Ippolito p.8</t>
  </si>
  <si>
    <t>electron temperature</t>
  </si>
  <si>
    <t>Te</t>
  </si>
  <si>
    <t>eV</t>
  </si>
  <si>
    <t>magnetic field</t>
  </si>
  <si>
    <t>B</t>
  </si>
  <si>
    <t>gauss=1E-4T</t>
  </si>
  <si>
    <t>background density</t>
  </si>
  <si>
    <t>n_bgrn</t>
  </si>
  <si>
    <t>cm^{-3}</t>
  </si>
  <si>
    <t>blob peak density</t>
  </si>
  <si>
    <t>n_blob</t>
  </si>
  <si>
    <t>D’Ippolito p.4</t>
  </si>
  <si>
    <t>blob density intensity(blob/background)</t>
  </si>
  <si>
    <t>scale_n</t>
  </si>
  <si>
    <t>radius of curvature</t>
  </si>
  <si>
    <t>R_c</t>
  </si>
  <si>
    <t>cm</t>
  </si>
  <si>
    <t>width of scrape off layer?</t>
  </si>
  <si>
    <t>wd</t>
  </si>
  <si>
    <t>Atomic mass unit</t>
  </si>
  <si>
    <t>A</t>
  </si>
  <si>
    <t>Safety factor</t>
  </si>
  <si>
    <t>q</t>
  </si>
  <si>
    <t>normalized blob size</t>
  </si>
  <si>
    <t>delta/deltastar</t>
  </si>
  <si>
    <t>desired size</t>
  </si>
  <si>
    <t>r</t>
  </si>
  <si>
    <t>parallel density bump scale</t>
  </si>
  <si>
    <t>Lb/L</t>
  </si>
  <si>
    <t>blobsize/domainsize (computational)</t>
  </si>
  <si>
    <t>xswd</t>
  </si>
  <si>
    <t>CONSTANTS</t>
  </si>
  <si>
    <t>electron charge</t>
  </si>
  <si>
    <t>qe</t>
  </si>
  <si>
    <t>statC</t>
  </si>
  <si>
    <t>Coulomb</t>
  </si>
  <si>
    <t>electron mass</t>
  </si>
  <si>
    <t>me</t>
  </si>
  <si>
    <t>gram</t>
  </si>
  <si>
    <t>nucleon mass</t>
  </si>
  <si>
    <t>mpn</t>
  </si>
  <si>
    <t>speed of light</t>
  </si>
  <si>
    <t>c</t>
  </si>
  <si>
    <t>cm/s</t>
  </si>
  <si>
    <t>EXPRSSION</t>
  </si>
  <si>
    <t>2.0*(Cs*Cs)/R_0</t>
  </si>
  <si>
    <t>radial effective g_force</t>
  </si>
  <si>
    <t>g</t>
  </si>
  <si>
    <t>cm/s^2</t>
  </si>
  <si>
    <t>9.79E5*sqrt((Te_0+Ti)/A) ; Ti=Te</t>
  </si>
  <si>
    <t>sound speed</t>
  </si>
  <si>
    <t>c_s</t>
  </si>
  <si>
    <t>c_s*(rho_s^2*L/R^3)^(1/5)</t>
  </si>
  <si>
    <t>characteristic blob convecton speed</t>
  </si>
  <si>
    <t>v*(delta*_ref)</t>
  </si>
  <si>
    <t>c_s*(L/R)*(rho_s/delta)^2</t>
  </si>
  <si>
    <t>theoretical blob convection speed (sheath connected)</t>
  </si>
  <si>
    <t>vb(Sheath)</t>
  </si>
  <si>
    <t>c_s*(delta/R)^(1/2)</t>
  </si>
  <si>
    <t>theoretical blob convection speed (RB regime)</t>
  </si>
  <si>
    <t>vb(RB)</t>
  </si>
  <si>
    <t>~q*c_s^2/vA</t>
  </si>
  <si>
    <t>theoretical blob convection speed (RX-EM)</t>
  </si>
  <si>
    <t>vb(RXEM)</t>
  </si>
  <si>
    <t>c_s*rho_s/delta</t>
  </si>
  <si>
    <t>driftwave speed</t>
  </si>
  <si>
    <t>v_driftwave</t>
  </si>
  <si>
    <t>4.19E7*sqrt(Te_0)</t>
  </si>
  <si>
    <t>electron thermal velocity</t>
  </si>
  <si>
    <t>Ve</t>
  </si>
  <si>
    <t>electrostatic parallel speed</t>
  </si>
  <si>
    <t>Vpara(ES)</t>
  </si>
  <si>
    <t>cs*rhos/delta</t>
  </si>
  <si>
    <t>ExB characteristic velocity</t>
  </si>
  <si>
    <t>V_E</t>
  </si>
  <si>
    <t>2.18E11/sqrt(A*N_tilde*(1+scale_ni))*B_0</t>
  </si>
  <si>
    <t>Alfven speed at blob center</t>
  </si>
  <si>
    <t>Va_blob</t>
  </si>
  <si>
    <t>Va_ave</t>
  </si>
  <si>
    <t>2.18E11/sqrt(A*N_tilde)*B_0</t>
  </si>
  <si>
    <t>Alfven speed at background</t>
  </si>
  <si>
    <t>Va_bgrn</t>
  </si>
  <si>
    <t>2*PI/delta</t>
  </si>
  <si>
    <t>k_perp minimum</t>
  </si>
  <si>
    <t>k_perp_min</t>
  </si>
  <si>
    <t>1/cm</t>
  </si>
  <si>
    <t>2*PI/L</t>
  </si>
  <si>
    <t>k_parallel minmum</t>
  </si>
  <si>
    <t>k_parallel_min</t>
  </si>
  <si>
    <t>102*sqrt(A*Te_0)/B_0</t>
  </si>
  <si>
    <t>sound speed / ion cyclotron frequency</t>
  </si>
  <si>
    <t>rho_s</t>
  </si>
  <si>
    <t>q*pi*R_0</t>
  </si>
  <si>
    <t>connection length</t>
  </si>
  <si>
    <t>L</t>
  </si>
  <si>
    <t>L*LboverL</t>
  </si>
  <si>
    <t>parallel density bump scale length</t>
  </si>
  <si>
    <t>Lb</t>
  </si>
  <si>
    <t>rho_s*pow(g*L*L/(4*Cs*Cs*rho_s),0.2)</t>
  </si>
  <si>
    <t>delta star_justin</t>
  </si>
  <si>
    <t>delta*</t>
  </si>
  <si>
    <t>rho_s^(4/5)L^(2/5)/R^(1/5)</t>
  </si>
  <si>
    <t>delta star_ref</t>
  </si>
  <si>
    <t>delta*_ref</t>
  </si>
  <si>
    <t>d_deltastar x deltastar</t>
  </si>
  <si>
    <t>blob size_justin</t>
  </si>
  <si>
    <t>delta</t>
  </si>
  <si>
    <t>blob size_ref</t>
  </si>
  <si>
    <t>delta_ref</t>
  </si>
  <si>
    <t>L^2 *beta_blob/R</t>
  </si>
  <si>
    <t>field line bending</t>
  </si>
  <si>
    <t>delta_bending</t>
  </si>
  <si>
    <t>3E12*Te_0*Te_0/(N_tilde*(1+scale_ni))</t>
  </si>
  <si>
    <t>mean free path at blob center</t>
  </si>
  <si>
    <t>lambda_e_blob</t>
  </si>
  <si>
    <t>3E12*Te_0*Te_0/(N_tilde)</t>
  </si>
  <si>
    <t>mean free path at background</t>
  </si>
  <si>
    <t>lambda_e_bgrn</t>
  </si>
  <si>
    <t>7.43E2*T^(1/2)*n^(-1/2)</t>
  </si>
  <si>
    <t>Debye length</t>
  </si>
  <si>
    <t>lambda_D</t>
  </si>
  <si>
    <t>9.58E3*B_0/A</t>
  </si>
  <si>
    <t>ion cyclotron frequency</t>
  </si>
  <si>
    <t>omega_i</t>
  </si>
  <si>
    <t>1/s</t>
  </si>
  <si>
    <t>sqrt(g/(dstar*d_dstar))</t>
  </si>
  <si>
    <t>flute mode rate</t>
  </si>
  <si>
    <t>omega_g</t>
  </si>
  <si>
    <t>vA_blob/L</t>
  </si>
  <si>
    <t>Alfven rate</t>
  </si>
  <si>
    <t>omega_A</t>
  </si>
  <si>
    <t>c_s*rho_s*k_perp_min/delta</t>
  </si>
  <si>
    <t>drift frequency minimum</t>
  </si>
  <si>
    <t>omega*_min</t>
  </si>
  <si>
    <t>c_s/delta</t>
  </si>
  <si>
    <t>omega*hat</t>
  </si>
  <si>
    <t>(4*pi*n_e*e^2/m_e)^(1/2)</t>
  </si>
  <si>
    <t>electron plasma frequency</t>
  </si>
  <si>
    <t>omega_pe</t>
  </si>
  <si>
    <t>N_tilde*(1+scale_ni)*pow(qe,2)*lambdae/(Ve*me)</t>
  </si>
  <si>
    <t>parallel conductivity at blob center</t>
  </si>
  <si>
    <t>sig_par_blob</t>
  </si>
  <si>
    <t>N_tilde*pow(qe,2)*lambdae/(Ve*me)</t>
  </si>
  <si>
    <t>parallel conductivity at background</t>
  </si>
  <si>
    <t>sig_par_bgrn</t>
  </si>
  <si>
    <t>c^2 k_perp^2/(4*pi*sigma_par)</t>
  </si>
  <si>
    <t>magnetic diffusion rate_minimum k_perp</t>
  </si>
  <si>
    <t>omega_sig</t>
  </si>
  <si>
    <t>c^2 /(4*pi*sigma_par)/delta/delta</t>
  </si>
  <si>
    <t>magnetic diffusion rate_blob diameter size</t>
  </si>
  <si>
    <t>omega_eta</t>
  </si>
  <si>
    <t>magnetic diffusion rate ratio</t>
  </si>
  <si>
    <t>omega_eta/omega_perp</t>
  </si>
  <si>
    <t>-</t>
  </si>
  <si>
    <t>0.51*4*sqrt(2pi)*n*e^4*10/(3*m^2*ve^3); 0.51/taue</t>
  </si>
  <si>
    <t>electron ion collision frequency</t>
  </si>
  <si>
    <t>nu</t>
  </si>
  <si>
    <t>(1.12E-9*L*B*sqrt(n/AA))^(2/5)</t>
  </si>
  <si>
    <t>electron temperature for tau_parallel_chie&lt;tau_parallel</t>
  </si>
  <si>
    <t>Te_crit</t>
  </si>
  <si>
    <t>3.2*ve^2*0.51/nu</t>
  </si>
  <si>
    <t>electron thermal conductivity</t>
  </si>
  <si>
    <t>chi_par_electron</t>
  </si>
  <si>
    <t>cm^2 s^(-1)</t>
  </si>
  <si>
    <t>4.7*k*Te/me/wce^2/tau_e</t>
  </si>
  <si>
    <t>electron thermal conductivity perpendicular</t>
  </si>
  <si>
    <t>chi_perp_electron</t>
  </si>
  <si>
    <t>L^2/chi_parallel_chie</t>
  </si>
  <si>
    <t>electron thermal diffusion time</t>
  </si>
  <si>
    <t>tau_paralle_chie</t>
  </si>
  <si>
    <t>s</t>
  </si>
  <si>
    <t>L/vthe</t>
  </si>
  <si>
    <t>electron transit time</t>
  </si>
  <si>
    <t>tau_parallel_the</t>
  </si>
  <si>
    <t>electron thermal conduction time perp</t>
  </si>
  <si>
    <t>tau_perp_chie</t>
  </si>
  <si>
    <t>L/vAlfven</t>
  </si>
  <si>
    <t>Alfven wave travel time</t>
  </si>
  <si>
    <t>tau_parallel</t>
  </si>
  <si>
    <t>L/cs</t>
  </si>
  <si>
    <t>ion sound travel time</t>
  </si>
  <si>
    <t>tau_cs_parallel</t>
  </si>
  <si>
    <t>electron thermal time</t>
  </si>
  <si>
    <t>tau_te_parallel</t>
  </si>
  <si>
    <t>electrostatic parallel time</t>
  </si>
  <si>
    <t>tau_ES_parallel</t>
  </si>
  <si>
    <t>width/v_blob_sheath</t>
  </si>
  <si>
    <t>radial convection time(Sheat connected)</t>
  </si>
  <si>
    <t>tau_perp</t>
  </si>
  <si>
    <t>width/v_blob_RB</t>
  </si>
  <si>
    <t>radial convection time(RB)</t>
  </si>
  <si>
    <t>tau_perp_RB</t>
  </si>
  <si>
    <t>width/v_blob_RXEM</t>
  </si>
  <si>
    <t>radial convection time(RXEM)</t>
  </si>
  <si>
    <t>tau_perp_RXEM</t>
  </si>
  <si>
    <t>delta/v_*</t>
  </si>
  <si>
    <t>radial convection time(delta/v*)</t>
  </si>
  <si>
    <t>tau_perp_delta_*</t>
  </si>
  <si>
    <t>radial convection time(delta*/v*)</t>
  </si>
  <si>
    <t>tau_perp_delta*_*</t>
  </si>
  <si>
    <t>delta/v_drift</t>
  </si>
  <si>
    <t>drift wave travel time across blob size</t>
  </si>
  <si>
    <t>tau_drift</t>
  </si>
  <si>
    <t>characteristic convection time</t>
  </si>
  <si>
    <t>tau_star ref</t>
  </si>
  <si>
    <t>\sqrt(nb/b0*delta*R/2/cs^2)</t>
  </si>
  <si>
    <t>critical time for macro deformation</t>
  </si>
  <si>
    <t>tau_macro_deform</t>
  </si>
  <si>
    <t>Normalizing current Density</t>
  </si>
  <si>
    <t>J0</t>
  </si>
  <si>
    <t>A/m^2</t>
  </si>
  <si>
    <t>sig_par*4*pi*Wg*pow((d_dstar*dstar),2)/pow(c,2)</t>
  </si>
  <si>
    <t>magnetic Reynolds number</t>
  </si>
  <si>
    <t>Rm</t>
  </si>
  <si>
    <t>omega_*/nu</t>
  </si>
  <si>
    <t>1/tau_perp_delta**/nu</t>
  </si>
  <si>
    <t>tau_para/tau_macro_deform</t>
  </si>
  <si>
    <t>tau_parallel_chie/tau_para</t>
  </si>
  <si>
    <t>tau_parallel_chie/tau_macrodefo</t>
  </si>
  <si>
    <t>tau_parallel/tau_perp</t>
  </si>
  <si>
    <t>alfven / convection time ratio(Sheath)</t>
  </si>
  <si>
    <t>tau_para/tau_perp</t>
  </si>
  <si>
    <t>tau_parallel/tau_perp_RB</t>
  </si>
  <si>
    <t>alfven / convection time ratio(RB)</t>
  </si>
  <si>
    <t>tau_para/tau_perp_RB</t>
  </si>
  <si>
    <t>tau_parallel/tau_perp_delta_*</t>
  </si>
  <si>
    <t>alfven / convection time ratio(*)</t>
  </si>
  <si>
    <t>tau_para/tau_perp_*</t>
  </si>
  <si>
    <t>tau_parallel/tau_perp_delta*_*</t>
  </si>
  <si>
    <t>alfven / convection time ratio(**)</t>
  </si>
  <si>
    <t>tau_para/tau_perp*_*</t>
  </si>
  <si>
    <t>tau_parallel/tau_perp_RXEM</t>
  </si>
  <si>
    <t>alfven / convection time ratio(RXEM)</t>
  </si>
  <si>
    <t>tau_para/tau_perp_RXEM</t>
  </si>
  <si>
    <t>tau_parallel/tau_drift</t>
  </si>
  <si>
    <t>alfven / drift wave travel time ratio</t>
  </si>
  <si>
    <t>tau_para/tau_driftwave</t>
  </si>
  <si>
    <t>alfven/electron thermal time ratio</t>
  </si>
  <si>
    <t>tau_para/tau_te_parallel</t>
  </si>
  <si>
    <t>electron thermal time/convectiontime(RB)</t>
  </si>
  <si>
    <t>tau_te_parallel/tau_perp_RB</t>
  </si>
  <si>
    <t>ES parallel time/convection time(RB)</t>
  </si>
  <si>
    <t>tau_ES_parallel/tau_perp_RB</t>
  </si>
  <si>
    <t>alfven/blob time ratio</t>
  </si>
  <si>
    <t>tau_para/tau_star</t>
  </si>
  <si>
    <t>v_drift/v_a</t>
  </si>
  <si>
    <t>drift/Alfven speed ratio</t>
  </si>
  <si>
    <t>vd/vA</t>
  </si>
  <si>
    <t>lambda/L</t>
  </si>
  <si>
    <t>mean free path /connection length</t>
  </si>
  <si>
    <t>lambda_e/L</t>
  </si>
  <si>
    <t>4.03E-11*N_tilde*(1+scale_ni)*Te_0/(B_0*B_0)</t>
  </si>
  <si>
    <t>beta at the blob center</t>
  </si>
  <si>
    <t>beta_blob</t>
  </si>
  <si>
    <t>4.03E-11*N_tilde*Te_0/(B_0*B_0)</t>
  </si>
  <si>
    <t>beta at the background</t>
  </si>
  <si>
    <t>beta_bgrn</t>
  </si>
  <si>
    <t>me/mpn/A</t>
  </si>
  <si>
    <t>me/mi</t>
  </si>
  <si>
    <t>meovermi</t>
  </si>
  <si>
    <t>beta_blob/meovermi</t>
  </si>
  <si>
    <t>betablmemi</t>
  </si>
  <si>
    <t>beta_bgrn/meovermi</t>
  </si>
  <si>
    <t>betabgmemi</t>
  </si>
  <si>
    <t>sqrt(n0/nb*2*cs^2/delta/R)/omegastarhat</t>
  </si>
  <si>
    <t>k_perp,min^2*c^2/omega_pe^2</t>
  </si>
  <si>
    <t>kperp2c2/omega_pe^2</t>
  </si>
  <si>
    <t>(rho_s*L^3/R^4)^(1/5)</t>
  </si>
  <si>
    <t>critical blob spinning effect due to high Te</t>
  </si>
  <si>
    <t>(deltaT/Tbg)_crit</t>
  </si>
  <si>
    <t>4*pi*sigma_par/c^2*v_driftwave</t>
  </si>
  <si>
    <t>minimum k_perp for ES regime</t>
  </si>
  <si>
    <t>k_perpESmin</t>
  </si>
  <si>
    <t>(4*pi*sigma_par/c^2*v_driftwave*rho_s)^2</t>
  </si>
  <si>
    <t>minimum chi2 for ES regime</t>
  </si>
  <si>
    <t>(chi^2)Esmin</t>
  </si>
  <si>
    <t>c^2*lambda^2*k_par^2/v_driftwave^2</t>
  </si>
  <si>
    <t>parameter: alpha min</t>
  </si>
  <si>
    <t>alpha_min</t>
  </si>
  <si>
    <t>0.3*c_s/sqrt(g*delta)*chi/(1+chi^2)</t>
  </si>
  <si>
    <t>max drift instability/flute frequency ratio</t>
  </si>
  <si>
    <t>gammamax_drift/omega_g</t>
  </si>
  <si>
    <t>0.3*c_s/sqrt(g*delta) = (B R)^(2/5) /(Te q)^(1/5)</t>
  </si>
  <si>
    <t>deltastar/rho_s/xswd</t>
  </si>
  <si>
    <t>grid numbers for k_perp*rhos==1</t>
  </si>
  <si>
    <t>min Nx</t>
  </si>
  <si>
    <t>blobr/rho_s/xswd</t>
  </si>
  <si>
    <t>min Nx for given r=0.5cm</t>
  </si>
  <si>
    <t>(V_A/V_d)^2*Lb/delta</t>
  </si>
  <si>
    <t>Beta tilde inverse</t>
  </si>
  <si>
    <t>log Beta tilde inverse</t>
  </si>
  <si>
    <t>OmegaR</t>
  </si>
  <si>
    <t>log OmegaR</t>
  </si>
  <si>
    <t>OmegaR^(0.48)</t>
  </si>
  <si>
    <t>OmegaA from maximum instability</t>
  </si>
  <si>
    <t>k_parallel from OmegaA</t>
  </si>
  <si>
    <t>lambda wavelength for k_parallel</t>
  </si>
  <si>
    <t>parallel mode number;L/lambda</t>
  </si>
  <si>
    <t>minimum grid for 5 times mode number</t>
  </si>
  <si>
    <t>k_parallel *lambdae</t>
  </si>
  <si>
    <t>chi from maximum instability</t>
  </si>
  <si>
    <t>k_perp from chi</t>
  </si>
  <si>
    <t>lambda wavelength for k_perp</t>
  </si>
  <si>
    <t>perp mode number;delta/lambda</t>
  </si>
  <si>
    <t>global perp mode number</t>
  </si>
  <si>
    <t>(c/wpe/rhos)^2</t>
  </si>
  <si>
    <t>skin frequncy</t>
  </si>
  <si>
    <t>cs/delta</t>
  </si>
  <si>
    <t>omegastarhat</t>
  </si>
  <si>
    <t>gamma taucritical</t>
  </si>
  <si>
    <t>delta R</t>
  </si>
  <si>
    <t>em</t>
  </si>
  <si>
    <t>n</t>
  </si>
  <si>
    <t>n pi /L</t>
  </si>
  <si>
    <t>kpar</t>
  </si>
  <si>
    <t>kpar/sqrt(beta)*delta</t>
  </si>
  <si>
    <t>OmegaA</t>
  </si>
  <si>
    <t>log(OmegaA)</t>
  </si>
  <si>
    <t>m</t>
  </si>
  <si>
    <t>m/delta</t>
  </si>
  <si>
    <t>kperp</t>
  </si>
  <si>
    <t>m*rhos/2/delta</t>
  </si>
  <si>
    <t>chi</t>
  </si>
  <si>
    <t>log(chi)</t>
  </si>
  <si>
    <t>slope</t>
  </si>
  <si>
    <t>slope/omegahat</t>
  </si>
  <si>
    <t>betatildeinverse</t>
  </si>
  <si>
    <t>omegaa</t>
  </si>
  <si>
    <t>elm3</t>
  </si>
  <si>
    <t>elm4</t>
  </si>
  <si>
    <t>elm5</t>
  </si>
  <si>
    <t>elm6</t>
  </si>
  <si>
    <t>elm7</t>
  </si>
  <si>
    <t>v_driftwave_deltaL</t>
  </si>
  <si>
    <t>exponential length</t>
  </si>
  <si>
    <t>deltaL</t>
  </si>
  <si>
    <t>c_s*rho_s*k_y/delta</t>
  </si>
  <si>
    <t>drift frequency for given ky</t>
  </si>
  <si>
    <t>omega*</t>
  </si>
  <si>
    <t>COGENT</t>
  </si>
  <si>
    <t>reference</t>
  </si>
  <si>
    <t>UNIT Temperature</t>
  </si>
  <si>
    <t>iontemperatrue</t>
  </si>
  <si>
    <t>Ti</t>
  </si>
  <si>
    <t>exponential width</t>
  </si>
  <si>
    <t>Y domain size</t>
  </si>
  <si>
    <t>domainY</t>
  </si>
  <si>
    <t>y mode number</t>
  </si>
  <si>
    <t>m_y</t>
  </si>
  <si>
    <t>y wave number</t>
  </si>
  <si>
    <t>k_y</t>
  </si>
  <si>
    <t>y wave length</t>
  </si>
  <si>
    <t>lambda_y</t>
  </si>
  <si>
    <t>y wave length maxmum</t>
  </si>
  <si>
    <t>lambda_y_max</t>
  </si>
  <si>
    <t>LengthUnit (reference)</t>
  </si>
  <si>
    <t>fixed time step</t>
  </si>
  <si>
    <t>9.79E5*sqrt((Te_0)/A) ; Ti=Te</t>
  </si>
  <si>
    <t>c_s*rho_s/deltaL</t>
  </si>
  <si>
    <t>c_s*rho_s*k_y/deltaL</t>
  </si>
  <si>
    <t>driftwave frequency</t>
  </si>
  <si>
    <t>c_s*rho_s*k_perp_min/deltaL</t>
  </si>
  <si>
    <t>One wavelength traveltime</t>
  </si>
  <si>
    <t>tau_t1</t>
  </si>
  <si>
    <t>Domain traveltime</t>
  </si>
  <si>
    <t>tau_t0</t>
  </si>
  <si>
    <t>One wavelength traveltime/gyrora freq</t>
  </si>
  <si>
    <t>tau_t1_kin/tau_gyro</t>
  </si>
  <si>
    <t>2pi*rhos</t>
  </si>
  <si>
    <t>unstable wavelength</t>
  </si>
  <si>
    <t>reference time (transit time)</t>
  </si>
  <si>
    <t>ion gyro frequency</t>
  </si>
  <si>
    <t>omega_i (gyro frequency)</t>
  </si>
  <si>
    <t>Vthe</t>
  </si>
  <si>
    <t>ion thermal speed</t>
  </si>
  <si>
    <t>Vthi</t>
  </si>
  <si>
    <t>Lambda_debye</t>
  </si>
  <si>
    <t>Lamor radius ion</t>
  </si>
  <si>
    <t>rL_i (gyro radius)</t>
  </si>
  <si>
    <t>k_y rho_i</t>
  </si>
  <si>
    <t>Lamor number</t>
  </si>
  <si>
    <t>La (Lamor Number)</t>
  </si>
  <si>
    <t>Debye number</t>
  </si>
  <si>
    <t>De (Debye Number)</t>
  </si>
  <si>
    <t>ky^2rLi^2</t>
  </si>
  <si>
    <t>LAMBDAi</t>
  </si>
  <si>
    <t>Lambda_i</t>
  </si>
  <si>
    <t>1-Lambdai</t>
  </si>
  <si>
    <t>GAMMAi</t>
  </si>
  <si>
    <t>Gamma_i</t>
  </si>
  <si>
    <t>kinetic drift wave frequency(8.151)</t>
  </si>
  <si>
    <t>omega_kinetic*</t>
  </si>
  <si>
    <t>tau_t1_kin</t>
  </si>
  <si>
    <t>tau_t0_kin</t>
  </si>
  <si>
    <t>tau_t1 in comp units</t>
  </si>
  <si>
    <t>tau_t0 in comp units</t>
  </si>
  <si>
    <t>modified bessel function</t>
  </si>
  <si>
    <t>I0(Lambdai)</t>
  </si>
  <si>
    <t>kinetic drift wave frequency(8.150)</t>
  </si>
  <si>
    <t>speed</t>
  </si>
  <si>
    <t>time steps to one wave travel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</si>
</sst>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E+00"/>
    <numFmt numFmtId="167" formatCode="0"/>
    <numFmt numFmtId="168" formatCode="0.00"/>
    <numFmt numFmtId="169" formatCode="0.0"/>
    <numFmt numFmtId="170" formatCode="0.00000"/>
    <numFmt numFmtId="171" formatCode="0.00E+000"/>
    <numFmt numFmtId="172" formatCode="0.0000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i val="true"/>
      <sz val="16"/>
      <color rgb="FF7F7F7F"/>
      <name val="Calibri"/>
      <family val="2"/>
      <charset val="1"/>
    </font>
    <font>
      <b val="true"/>
      <sz val="16"/>
      <color rgb="FF1F497D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3F3F76"/>
      <name val="Calibri"/>
      <family val="2"/>
      <charset val="1"/>
    </font>
    <font>
      <b val="true"/>
      <sz val="16"/>
      <color rgb="FF3F3F3F"/>
      <name val="Calibri"/>
      <family val="2"/>
      <charset val="1"/>
    </font>
    <font>
      <b val="true"/>
      <sz val="16"/>
      <color rgb="FF3F3F76"/>
      <name val="Calibri"/>
      <family val="2"/>
      <charset val="1"/>
    </font>
    <font>
      <sz val="16"/>
      <color rgb="FF800000"/>
      <name val="Calibri"/>
      <family val="2"/>
      <charset val="1"/>
    </font>
    <font>
      <b val="true"/>
      <sz val="16"/>
      <color rgb="FF7E0021"/>
      <name val="Calibri"/>
      <family val="2"/>
      <charset val="1"/>
    </font>
    <font>
      <b val="true"/>
      <sz val="16"/>
      <color rgb="FF8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1F497D"/>
      <name val="Calibri"/>
      <family val="2"/>
      <charset val="1"/>
    </font>
    <font>
      <sz val="16"/>
      <color rgb="FF3F3F3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  <fill>
      <patternFill patternType="solid">
        <fgColor rgb="FFF2F2F2"/>
        <bgColor rgb="FFFFFFFF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 style="thick">
        <color rgb="FF4F81BD"/>
      </top>
      <bottom style="thin">
        <color rgb="FF4F81BD"/>
      </bottom>
      <diagonal/>
    </border>
    <border diagonalUp="false" diagonalDown="false">
      <left/>
      <right style="thin">
        <color rgb="FF7F7F7F"/>
      </right>
      <top style="thick">
        <color rgb="FF4F81BD"/>
      </top>
      <bottom style="thin">
        <color rgb="FF4F81BD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 style="thick">
        <color rgb="FF4F81BD"/>
      </top>
      <bottom style="thin">
        <color rgb="FF7F7F7F"/>
      </bottom>
      <diagonal/>
    </border>
    <border diagonalUp="false" diagonalDown="false">
      <left/>
      <right/>
      <top style="thin">
        <color rgb="FF4F81BD"/>
      </top>
      <bottom style="thin">
        <color rgb="FF4F81BD"/>
      </bottom>
      <diagonal/>
    </border>
    <border diagonalUp="false" diagonalDown="false">
      <left/>
      <right style="thin">
        <color rgb="FF7F7F7F"/>
      </right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ck">
        <color rgb="FFA7C0DE"/>
      </top>
      <bottom style="thin">
        <color rgb="FFA7C0DE"/>
      </bottom>
      <diagonal/>
    </border>
    <border diagonalUp="false" diagonalDown="false">
      <left/>
      <right style="thin">
        <color rgb="FFB2B2B2"/>
      </right>
      <top style="thick">
        <color rgb="FFA7C0DE"/>
      </top>
      <bottom style="thin">
        <color rgb="FFA7C0DE"/>
      </bottom>
      <diagonal/>
    </border>
    <border diagonalUp="false" diagonalDown="false">
      <left style="thin">
        <color rgb="FFB2B2B2"/>
      </left>
      <right/>
      <top style="thick">
        <color rgb="FFA7C0DE"/>
      </top>
      <bottom style="thin">
        <color rgb="FFB2B2B2"/>
      </bottom>
      <diagonal/>
    </border>
    <border diagonalUp="false" diagonalDown="false">
      <left/>
      <right/>
      <top/>
      <bottom style="thin">
        <color rgb="FFA7C0DE"/>
      </bottom>
      <diagonal/>
    </border>
    <border diagonalUp="false" diagonalDown="false">
      <left/>
      <right style="thin">
        <color rgb="FFB2B2B2"/>
      </right>
      <top/>
      <bottom style="thin">
        <color rgb="FFA7C0DE"/>
      </bottom>
      <diagonal/>
    </border>
    <border diagonalUp="false" diagonalDown="false">
      <left style="thin">
        <color rgb="FFB2B2B2"/>
      </left>
      <right/>
      <top/>
      <bottom style="thin">
        <color rgb="FFB2B2B2"/>
      </bottom>
      <diagonal/>
    </border>
    <border diagonalUp="false" diagonalDown="false">
      <left/>
      <right/>
      <top style="thin">
        <color rgb="FFA7C0DE"/>
      </top>
      <bottom style="thin">
        <color rgb="FFA7C0DE"/>
      </bottom>
      <diagonal/>
    </border>
    <border diagonalUp="false" diagonalDown="false">
      <left/>
      <right style="thin">
        <color rgb="FFB2B2B2"/>
      </right>
      <top style="thin">
        <color rgb="FFA7C0DE"/>
      </top>
      <bottom style="thin">
        <color rgb="FFA7C0DE"/>
      </bottom>
      <diagonal/>
    </border>
    <border diagonalUp="false" diagonalDown="false">
      <left style="thin">
        <color rgb="FFB2B2B2"/>
      </left>
      <right/>
      <top style="thin">
        <color rgb="FFB2B2B2"/>
      </top>
      <bottom style="thin">
        <color rgb="FFB2B2B2"/>
      </bottom>
      <diagonal/>
    </border>
    <border diagonalUp="false" diagonalDown="false">
      <left/>
      <right/>
      <top style="thick">
        <color rgb="FF4F81BD"/>
      </top>
      <bottom style="thin">
        <color rgb="FF7F7F7F"/>
      </bottom>
      <diagonal/>
    </border>
    <border diagonalUp="false" diagonalDown="false">
      <left/>
      <right style="thin">
        <color rgb="FF3F3F3F"/>
      </right>
      <top style="thick">
        <color rgb="FF4F81BD"/>
      </top>
      <bottom style="thin">
        <color rgb="FF7F7F7F"/>
      </bottom>
      <diagonal/>
    </border>
    <border diagonalUp="false" diagonalDown="false">
      <left style="thin">
        <color rgb="FF3F3F3F"/>
      </left>
      <right/>
      <top style="thick">
        <color rgb="FF4F81BD"/>
      </top>
      <bottom style="thin">
        <color rgb="FF3F3F3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3F3F3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/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7F7F7F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3F3F3F"/>
      </right>
      <top style="thin">
        <color rgb="FF7F7F7F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3F3F3F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 style="thin">
        <color rgb="FF3F3F3F"/>
      </right>
      <top style="thin">
        <color rgb="FFB2B2B2"/>
      </top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3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4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4" borderId="1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24" fillId="4" borderId="1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4" borderId="1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7F7F7F"/>
      <rgbColor rgb="FF95B3D7"/>
      <rgbColor rgb="FF993366"/>
      <rgbColor rgb="FFFFFFCC"/>
      <rgbColor rgb="FFF2F2F2"/>
      <rgbColor rgb="FF660066"/>
      <rgbColor rgb="FFFF8080"/>
      <rgbColor rgb="FF1F497D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CCFF"/>
      <rgbColor rgb="FFCCFFFF"/>
      <rgbColor rgb="FFCCFFCC"/>
      <rgbColor rgb="FFFFFF99"/>
      <rgbColor rgb="FFA7C0D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B1:I198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pane xSplit="4" ySplit="18" topLeftCell="F19" activePane="bottomRight" state="frozen"/>
      <selection pane="topLeft" activeCell="B1" activeCellId="0" sqref="B1"/>
      <selection pane="topRight" activeCell="F1" activeCellId="0" sqref="F1"/>
      <selection pane="bottomLeft" activeCell="B19" activeCellId="0" sqref="B19"/>
      <selection pane="bottomRight" activeCell="B1" activeCellId="0" sqref="B1"/>
    </sheetView>
  </sheetViews>
  <sheetFormatPr defaultRowHeight="13.8"/>
  <cols>
    <col collapsed="false" hidden="false" max="1" min="1" style="0" width="8.57085020242915"/>
    <col collapsed="false" hidden="false" max="2" min="2" style="0" width="35.8542510121458"/>
    <col collapsed="false" hidden="false" max="3" min="3" style="0" width="39.4251012145749"/>
    <col collapsed="false" hidden="false" max="4" min="4" style="0" width="16.2834008097166"/>
    <col collapsed="false" hidden="false" max="5" min="5" style="0" width="12.995951417004"/>
    <col collapsed="false" hidden="false" max="6" min="6" style="1" width="14.4251012145749"/>
    <col collapsed="false" hidden="false" max="7" min="7" style="0" width="15.7125506072875"/>
    <col collapsed="false" hidden="false" max="8" min="8" style="0" width="8.57085020242915"/>
    <col collapsed="false" hidden="false" max="9" min="9" style="0" width="11.4251012145749"/>
    <col collapsed="false" hidden="false" max="10" min="10" style="0" width="44.4251012145749"/>
    <col collapsed="false" hidden="false" max="1025" min="11" style="0" width="8.57085020242915"/>
  </cols>
  <sheetData>
    <row r="1" customFormat="false" ht="13.8" hidden="false" customHeight="false" outlineLevel="0" collapsed="false">
      <c r="B1" s="2" t="n">
        <f aca="false">(0.0000000011275/2/SQRT(2))^(2/5)</f>
        <v>0.000173871588877903</v>
      </c>
      <c r="C1" s="0" t="n">
        <f aca="false">218000000000*10*I21/3.2/344000/0.0000000000016</f>
        <v>0</v>
      </c>
      <c r="D1" s="0" t="n">
        <f aca="false">(0.0002)*(10000*53000*SQRT(100000000000000))^(2/5)</f>
        <v>389.708917383673</v>
      </c>
      <c r="E1" s="0" t="n">
        <f aca="false">0.05</f>
        <v>0.05</v>
      </c>
      <c r="F1" s="3" t="s">
        <v>0</v>
      </c>
      <c r="G1" s="3"/>
    </row>
    <row r="2" customFormat="false" ht="16.15" hidden="false" customHeight="false" outlineLevel="0" collapsed="false">
      <c r="C2" s="2" t="n">
        <f aca="false">0.000272/0.0000000000403*10^8</f>
        <v>674937965260546</v>
      </c>
      <c r="D2" s="2" t="e">
        <f aca="false">0.000272/0.0000000000403*G5*G5/200</f>
        <v>#VALUE!</v>
      </c>
      <c r="F2" s="4" t="s">
        <v>1</v>
      </c>
      <c r="G2" s="4"/>
    </row>
    <row r="3" customFormat="false" ht="18.55" hidden="false" customHeight="false" outlineLevel="0" collapsed="false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4</v>
      </c>
    </row>
    <row r="4" customFormat="false" ht="13.8" hidden="false" customHeight="false" outlineLevel="0" collapsed="false">
      <c r="B4" s="6" t="s">
        <v>7</v>
      </c>
      <c r="C4" s="7" t="s">
        <v>8</v>
      </c>
      <c r="D4" s="8" t="s">
        <v>9</v>
      </c>
      <c r="E4" s="9" t="s">
        <v>10</v>
      </c>
      <c r="F4" s="10" t="n">
        <v>200</v>
      </c>
      <c r="G4" s="11" t="str">
        <f aca="false">D4</f>
        <v>Te</v>
      </c>
    </row>
    <row r="5" customFormat="false" ht="13.8" hidden="false" customHeight="false" outlineLevel="0" collapsed="false">
      <c r="B5" s="12"/>
      <c r="C5" s="13" t="s">
        <v>11</v>
      </c>
      <c r="D5" s="14" t="s">
        <v>12</v>
      </c>
      <c r="E5" s="15" t="s">
        <v>13</v>
      </c>
      <c r="F5" s="16" t="n">
        <v>53000</v>
      </c>
      <c r="G5" s="17" t="str">
        <f aca="false">D5</f>
        <v>B</v>
      </c>
    </row>
    <row r="6" customFormat="false" ht="13.8" hidden="false" customHeight="false" outlineLevel="0" collapsed="false">
      <c r="B6" s="12" t="s">
        <v>7</v>
      </c>
      <c r="C6" s="13" t="s">
        <v>14</v>
      </c>
      <c r="D6" s="14" t="s">
        <v>15</v>
      </c>
      <c r="E6" s="15" t="s">
        <v>16</v>
      </c>
      <c r="F6" s="18" t="n">
        <v>100000000000000</v>
      </c>
      <c r="G6" s="17" t="str">
        <f aca="false">D6</f>
        <v>n_bgrn</v>
      </c>
    </row>
    <row r="7" customFormat="false" ht="13.8" hidden="false" customHeight="false" outlineLevel="0" collapsed="false">
      <c r="B7" s="12"/>
      <c r="C7" s="13" t="s">
        <v>17</v>
      </c>
      <c r="D7" s="14" t="s">
        <v>18</v>
      </c>
      <c r="E7" s="15" t="s">
        <v>16</v>
      </c>
      <c r="F7" s="19" t="n">
        <f aca="false">F6*F8</f>
        <v>200000000000000</v>
      </c>
      <c r="G7" s="17" t="str">
        <f aca="false">D7</f>
        <v>n_blob</v>
      </c>
    </row>
    <row r="8" customFormat="false" ht="13.8" hidden="false" customHeight="false" outlineLevel="0" collapsed="false">
      <c r="B8" s="12" t="s">
        <v>19</v>
      </c>
      <c r="C8" s="13" t="s">
        <v>20</v>
      </c>
      <c r="D8" s="14" t="s">
        <v>21</v>
      </c>
      <c r="E8" s="15"/>
      <c r="F8" s="10" t="n">
        <v>2</v>
      </c>
      <c r="G8" s="17" t="str">
        <f aca="false">D8</f>
        <v>scale_n</v>
      </c>
    </row>
    <row r="9" customFormat="false" ht="13.8" hidden="false" customHeight="false" outlineLevel="0" collapsed="false">
      <c r="B9" s="12"/>
      <c r="C9" s="13"/>
      <c r="D9" s="14"/>
      <c r="E9" s="15"/>
      <c r="F9" s="20"/>
      <c r="G9" s="17"/>
    </row>
    <row r="10" customFormat="false" ht="13.8" hidden="false" customHeight="false" outlineLevel="0" collapsed="false">
      <c r="B10" s="12"/>
      <c r="C10" s="13" t="s">
        <v>22</v>
      </c>
      <c r="D10" s="14" t="s">
        <v>23</v>
      </c>
      <c r="E10" s="15" t="s">
        <v>24</v>
      </c>
      <c r="F10" s="20" t="n">
        <v>620</v>
      </c>
      <c r="G10" s="17" t="str">
        <f aca="false">D10</f>
        <v>R_c</v>
      </c>
    </row>
    <row r="11" customFormat="false" ht="13.8" hidden="false" customHeight="false" outlineLevel="0" collapsed="false">
      <c r="B11" s="12"/>
      <c r="C11" s="13" t="s">
        <v>25</v>
      </c>
      <c r="D11" s="14" t="s">
        <v>26</v>
      </c>
      <c r="E11" s="15" t="s">
        <v>24</v>
      </c>
      <c r="F11" s="20" t="n">
        <f aca="false">F15/F17</f>
        <v>8.4</v>
      </c>
      <c r="G11" s="17" t="str">
        <f aca="false">D11</f>
        <v>wd</v>
      </c>
    </row>
    <row r="12" customFormat="false" ht="13.8" hidden="false" customHeight="false" outlineLevel="0" collapsed="false">
      <c r="B12" s="12"/>
      <c r="C12" s="13" t="s">
        <v>27</v>
      </c>
      <c r="D12" s="14" t="s">
        <v>28</v>
      </c>
      <c r="E12" s="15"/>
      <c r="F12" s="20" t="n">
        <v>2</v>
      </c>
      <c r="G12" s="17" t="str">
        <f aca="false">D12</f>
        <v>A</v>
      </c>
    </row>
    <row r="13" customFormat="false" ht="13.8" hidden="false" customHeight="false" outlineLevel="0" collapsed="false">
      <c r="B13" s="12"/>
      <c r="C13" s="13" t="s">
        <v>29</v>
      </c>
      <c r="D13" s="14" t="s">
        <v>30</v>
      </c>
      <c r="E13" s="15"/>
      <c r="F13" s="20" t="n">
        <v>7.7</v>
      </c>
      <c r="G13" s="17" t="str">
        <f aca="false">D13</f>
        <v>q</v>
      </c>
    </row>
    <row r="14" customFormat="false" ht="13.8" hidden="false" customHeight="false" outlineLevel="0" collapsed="false">
      <c r="B14" s="12"/>
      <c r="C14" s="13" t="s">
        <v>31</v>
      </c>
      <c r="D14" s="14" t="s">
        <v>32</v>
      </c>
      <c r="E14" s="15"/>
      <c r="F14" s="20" t="n">
        <f aca="false">F18</f>
        <v>1.00987418322841</v>
      </c>
      <c r="G14" s="17" t="str">
        <f aca="false">D14</f>
        <v>delta/deltastar</v>
      </c>
    </row>
    <row r="15" customFormat="false" ht="13.8" hidden="false" customHeight="false" outlineLevel="0" collapsed="false">
      <c r="B15" s="12"/>
      <c r="C15" s="13" t="s">
        <v>33</v>
      </c>
      <c r="D15" s="14" t="s">
        <v>34</v>
      </c>
      <c r="E15" s="15"/>
      <c r="F15" s="20" t="n">
        <v>0.84</v>
      </c>
      <c r="G15" s="17" t="str">
        <f aca="false">D15</f>
        <v>r</v>
      </c>
    </row>
    <row r="16" customFormat="false" ht="13.8" hidden="false" customHeight="false" outlineLevel="0" collapsed="false">
      <c r="B16" s="12"/>
      <c r="C16" s="13" t="s">
        <v>35</v>
      </c>
      <c r="D16" s="14" t="s">
        <v>36</v>
      </c>
      <c r="E16" s="15"/>
      <c r="F16" s="20" t="n">
        <v>0.3</v>
      </c>
      <c r="G16" s="17" t="str">
        <f aca="false">D16</f>
        <v>Lb/L</v>
      </c>
    </row>
    <row r="17" customFormat="false" ht="13.8" hidden="false" customHeight="false" outlineLevel="0" collapsed="false">
      <c r="B17" s="1"/>
      <c r="C17" s="21" t="s">
        <v>37</v>
      </c>
      <c r="D17" s="22" t="s">
        <v>38</v>
      </c>
      <c r="E17" s="21"/>
      <c r="F17" s="20" t="n">
        <v>0.1</v>
      </c>
      <c r="G17" s="22" t="str">
        <f aca="false">D17</f>
        <v>xswd</v>
      </c>
    </row>
    <row r="18" customFormat="false" ht="16.15" hidden="false" customHeight="false" outlineLevel="0" collapsed="false">
      <c r="B18" s="4" t="s">
        <v>39</v>
      </c>
      <c r="C18" s="4"/>
      <c r="D18" s="4"/>
      <c r="E18" s="4"/>
      <c r="F18" s="4" t="n">
        <f aca="false">F15/F43</f>
        <v>1.00987418322841</v>
      </c>
      <c r="G18" s="4"/>
    </row>
    <row r="19" customFormat="false" ht="13.8" hidden="false" customHeight="false" outlineLevel="0" collapsed="false">
      <c r="B19" s="23"/>
      <c r="C19" s="24" t="s">
        <v>40</v>
      </c>
      <c r="D19" s="25" t="s">
        <v>41</v>
      </c>
      <c r="E19" s="26" t="s">
        <v>42</v>
      </c>
      <c r="F19" s="27" t="n">
        <v>4.8032E-010</v>
      </c>
      <c r="G19" s="28" t="str">
        <f aca="false">D19</f>
        <v>qe</v>
      </c>
    </row>
    <row r="20" customFormat="false" ht="13.8" hidden="false" customHeight="false" outlineLevel="0" collapsed="false">
      <c r="B20" s="29"/>
      <c r="C20" s="30" t="s">
        <v>40</v>
      </c>
      <c r="D20" s="31" t="s">
        <v>41</v>
      </c>
      <c r="E20" s="32" t="s">
        <v>43</v>
      </c>
      <c r="F20" s="27" t="n">
        <v>1.6022E-019</v>
      </c>
      <c r="G20" s="33" t="str">
        <f aca="false">D20</f>
        <v>qe</v>
      </c>
    </row>
    <row r="21" customFormat="false" ht="13.8" hidden="false" customHeight="false" outlineLevel="0" collapsed="false">
      <c r="B21" s="34"/>
      <c r="C21" s="35" t="s">
        <v>44</v>
      </c>
      <c r="D21" s="36" t="s">
        <v>45</v>
      </c>
      <c r="E21" s="37" t="s">
        <v>46</v>
      </c>
      <c r="F21" s="27" t="n">
        <v>9.1094E-028</v>
      </c>
      <c r="G21" s="38" t="str">
        <f aca="false">D21</f>
        <v>me</v>
      </c>
    </row>
    <row r="22" customFormat="false" ht="13.8" hidden="false" customHeight="false" outlineLevel="0" collapsed="false">
      <c r="B22" s="34"/>
      <c r="C22" s="35" t="s">
        <v>47</v>
      </c>
      <c r="D22" s="36" t="s">
        <v>48</v>
      </c>
      <c r="E22" s="37" t="s">
        <v>46</v>
      </c>
      <c r="F22" s="27" t="n">
        <v>1.6726E-024</v>
      </c>
      <c r="G22" s="38" t="str">
        <f aca="false">D22</f>
        <v>mpn</v>
      </c>
    </row>
    <row r="23" customFormat="false" ht="13.8" hidden="false" customHeight="false" outlineLevel="0" collapsed="false">
      <c r="B23" s="34"/>
      <c r="C23" s="35" t="s">
        <v>49</v>
      </c>
      <c r="D23" s="36" t="s">
        <v>50</v>
      </c>
      <c r="E23" s="37" t="s">
        <v>51</v>
      </c>
      <c r="F23" s="27" t="n">
        <v>29979000000</v>
      </c>
      <c r="G23" s="38" t="str">
        <f aca="false">D23</f>
        <v>c</v>
      </c>
    </row>
    <row r="24" customFormat="false" ht="18.55" hidden="false" customHeight="false" outlineLevel="0" collapsed="false">
      <c r="B24" s="5" t="s">
        <v>52</v>
      </c>
      <c r="C24" s="5"/>
      <c r="D24" s="5"/>
      <c r="E24" s="5"/>
      <c r="F24" s="5"/>
      <c r="G24" s="5"/>
    </row>
    <row r="25" customFormat="false" ht="13.8" hidden="false" customHeight="false" outlineLevel="0" collapsed="false">
      <c r="B25" s="39" t="s">
        <v>53</v>
      </c>
      <c r="C25" s="40" t="s">
        <v>54</v>
      </c>
      <c r="D25" s="41" t="s">
        <v>55</v>
      </c>
      <c r="E25" s="42" t="s">
        <v>56</v>
      </c>
      <c r="F25" s="43" t="n">
        <f aca="false">2*F26*F26/F10</f>
        <v>309174516129.032</v>
      </c>
      <c r="G25" s="44" t="str">
        <f aca="false">D25</f>
        <v>g</v>
      </c>
    </row>
    <row r="26" customFormat="false" ht="13.8" hidden="false" customHeight="false" outlineLevel="0" collapsed="false">
      <c r="B26" s="39" t="s">
        <v>57</v>
      </c>
      <c r="C26" s="45" t="s">
        <v>58</v>
      </c>
      <c r="D26" s="46" t="s">
        <v>59</v>
      </c>
      <c r="E26" s="47" t="s">
        <v>51</v>
      </c>
      <c r="F26" s="43" t="n">
        <f aca="false">979000*SQRT(F4/F12)</f>
        <v>9790000</v>
      </c>
      <c r="G26" s="48" t="str">
        <f aca="false">D26</f>
        <v>c_s</v>
      </c>
    </row>
    <row r="27" customFormat="false" ht="13.8" hidden="false" customHeight="false" outlineLevel="0" collapsed="false">
      <c r="B27" s="39" t="s">
        <v>60</v>
      </c>
      <c r="C27" s="45" t="s">
        <v>61</v>
      </c>
      <c r="D27" s="46" t="s">
        <v>62</v>
      </c>
      <c r="E27" s="47" t="s">
        <v>51</v>
      </c>
      <c r="F27" s="43" t="n">
        <f aca="false">F26*(F40*F40*F41/F10^3)^(1/5)</f>
        <v>384322.538857317</v>
      </c>
      <c r="G27" s="48" t="str">
        <f aca="false">D27</f>
        <v>v*(delta*_ref)</v>
      </c>
    </row>
    <row r="28" customFormat="false" ht="13.8" hidden="false" customHeight="false" outlineLevel="0" collapsed="false">
      <c r="B28" s="39" t="s">
        <v>63</v>
      </c>
      <c r="C28" s="45" t="s">
        <v>64</v>
      </c>
      <c r="D28" s="46" t="s">
        <v>65</v>
      </c>
      <c r="E28" s="47" t="s">
        <v>51</v>
      </c>
      <c r="F28" s="43" t="n">
        <f aca="false">F26*F41/F10*(F40/F45)^2</f>
        <v>497248.307064077</v>
      </c>
      <c r="G28" s="48" t="str">
        <f aca="false">D28</f>
        <v>vb(Sheath)</v>
      </c>
    </row>
    <row r="29" customFormat="false" ht="13.8" hidden="false" customHeight="false" outlineLevel="0" collapsed="false">
      <c r="B29" s="39" t="s">
        <v>66</v>
      </c>
      <c r="C29" s="45" t="s">
        <v>67</v>
      </c>
      <c r="D29" s="46" t="s">
        <v>68</v>
      </c>
      <c r="E29" s="47" t="s">
        <v>51</v>
      </c>
      <c r="F29" s="43" t="n">
        <f aca="false">F26*(F45/F10)^(1/2)</f>
        <v>360351.629348604</v>
      </c>
      <c r="G29" s="48" t="str">
        <f aca="false">D29</f>
        <v>vb(RB)</v>
      </c>
    </row>
    <row r="30" customFormat="false" ht="13.8" hidden="false" customHeight="false" outlineLevel="0" collapsed="false">
      <c r="B30" s="39" t="s">
        <v>69</v>
      </c>
      <c r="C30" s="45" t="s">
        <v>70</v>
      </c>
      <c r="D30" s="46" t="s">
        <v>71</v>
      </c>
      <c r="E30" s="47" t="s">
        <v>51</v>
      </c>
      <c r="F30" s="43" t="n">
        <f aca="false">F13*F26^2/F35</f>
        <v>1564585.75116271</v>
      </c>
      <c r="G30" s="48" t="str">
        <f aca="false">D30</f>
        <v>vb(RXEM)</v>
      </c>
    </row>
    <row r="31" customFormat="false" ht="13.8" hidden="false" customHeight="false" outlineLevel="0" collapsed="false">
      <c r="B31" s="39" t="s">
        <v>72</v>
      </c>
      <c r="C31" s="45" t="s">
        <v>73</v>
      </c>
      <c r="D31" s="46" t="s">
        <v>74</v>
      </c>
      <c r="E31" s="47" t="s">
        <v>51</v>
      </c>
      <c r="F31" s="43" t="n">
        <f aca="false">F26*F40/F45</f>
        <v>448598.382749326</v>
      </c>
      <c r="G31" s="48" t="str">
        <f aca="false">D31</f>
        <v>v_driftwave</v>
      </c>
    </row>
    <row r="32" customFormat="false" ht="13.8" hidden="false" customHeight="false" outlineLevel="0" collapsed="false">
      <c r="B32" s="39" t="s">
        <v>75</v>
      </c>
      <c r="C32" s="45" t="s">
        <v>76</v>
      </c>
      <c r="D32" s="46" t="s">
        <v>77</v>
      </c>
      <c r="E32" s="47" t="s">
        <v>51</v>
      </c>
      <c r="F32" s="43" t="n">
        <f aca="false">41900000*SQRT(F4)</f>
        <v>592555482.634327</v>
      </c>
      <c r="G32" s="48" t="str">
        <f aca="false">D32</f>
        <v>Ve</v>
      </c>
    </row>
    <row r="33" customFormat="false" ht="13.8" hidden="false" customHeight="false" outlineLevel="0" collapsed="false">
      <c r="B33" s="39"/>
      <c r="C33" s="45" t="s">
        <v>78</v>
      </c>
      <c r="D33" s="46" t="s">
        <v>79</v>
      </c>
      <c r="E33" s="47" t="s">
        <v>51</v>
      </c>
      <c r="F33" s="43" t="n">
        <f aca="false">F36*F36/F54/F41</f>
        <v>8750364.82253996</v>
      </c>
      <c r="G33" s="48" t="str">
        <f aca="false">D33</f>
        <v>Vpara(ES)</v>
      </c>
    </row>
    <row r="34" customFormat="false" ht="13.8" hidden="false" customHeight="false" outlineLevel="0" collapsed="false">
      <c r="B34" s="39" t="s">
        <v>80</v>
      </c>
      <c r="C34" s="45" t="s">
        <v>81</v>
      </c>
      <c r="D34" s="46" t="s">
        <v>82</v>
      </c>
      <c r="E34" s="47" t="s">
        <v>51</v>
      </c>
      <c r="F34" s="43" t="n">
        <f aca="false">F26*F40/F45</f>
        <v>448598.382749326</v>
      </c>
      <c r="G34" s="48" t="str">
        <f aca="false">D34</f>
        <v>V_E</v>
      </c>
    </row>
    <row r="35" customFormat="false" ht="13.8" hidden="false" customHeight="false" outlineLevel="0" collapsed="false">
      <c r="B35" s="39" t="s">
        <v>83</v>
      </c>
      <c r="C35" s="45" t="s">
        <v>84</v>
      </c>
      <c r="D35" s="46" t="s">
        <v>85</v>
      </c>
      <c r="E35" s="47" t="s">
        <v>51</v>
      </c>
      <c r="F35" s="43" t="n">
        <f aca="false">218000000000/SQRT(F12*F6*(1+F8))*F5</f>
        <v>471690074.801947</v>
      </c>
      <c r="G35" s="48" t="str">
        <f aca="false">D35</f>
        <v>Va_blob</v>
      </c>
    </row>
    <row r="36" customFormat="false" ht="13.8" hidden="false" customHeight="false" outlineLevel="0" collapsed="false">
      <c r="B36" s="39"/>
      <c r="C36" s="45" t="s">
        <v>84</v>
      </c>
      <c r="D36" s="46" t="s">
        <v>86</v>
      </c>
      <c r="E36" s="47" t="s">
        <v>51</v>
      </c>
      <c r="F36" s="43" t="n">
        <f aca="false">218000000000/SQRT(F12*F6*(1+F8/2))*F5</f>
        <v>577700000</v>
      </c>
      <c r="G36" s="48" t="str">
        <f aca="false">D36</f>
        <v>Va_ave</v>
      </c>
    </row>
    <row r="37" customFormat="false" ht="13.8" hidden="false" customHeight="false" outlineLevel="0" collapsed="false">
      <c r="B37" s="39" t="s">
        <v>87</v>
      </c>
      <c r="C37" s="45" t="s">
        <v>88</v>
      </c>
      <c r="D37" s="46" t="s">
        <v>89</v>
      </c>
      <c r="E37" s="47" t="s">
        <v>51</v>
      </c>
      <c r="F37" s="43" t="n">
        <f aca="false">218000000000/SQRT(F12*F6)*F5</f>
        <v>816991174.982937</v>
      </c>
      <c r="G37" s="48" t="str">
        <f aca="false">D37</f>
        <v>Va_bgrn</v>
      </c>
    </row>
    <row r="38" customFormat="false" ht="13.8" hidden="false" customHeight="false" outlineLevel="0" collapsed="false">
      <c r="B38" s="39" t="s">
        <v>90</v>
      </c>
      <c r="C38" s="45" t="s">
        <v>91</v>
      </c>
      <c r="D38" s="46" t="s">
        <v>92</v>
      </c>
      <c r="E38" s="47" t="s">
        <v>93</v>
      </c>
      <c r="F38" s="43" t="n">
        <f aca="false">2*PI()/F46</f>
        <v>6.51170298626086</v>
      </c>
      <c r="G38" s="48" t="str">
        <f aca="false">D38</f>
        <v>k_perp_min</v>
      </c>
    </row>
    <row r="39" customFormat="false" ht="13.8" hidden="false" customHeight="false" outlineLevel="0" collapsed="false">
      <c r="B39" s="39" t="s">
        <v>94</v>
      </c>
      <c r="C39" s="45" t="s">
        <v>95</v>
      </c>
      <c r="D39" s="46" t="s">
        <v>96</v>
      </c>
      <c r="E39" s="47" t="s">
        <v>93</v>
      </c>
      <c r="F39" s="43" t="n">
        <f aca="false">2*PI()/F41</f>
        <v>0.000418935902806871</v>
      </c>
      <c r="G39" s="48" t="str">
        <f aca="false">D39</f>
        <v>k_parallel_min</v>
      </c>
    </row>
    <row r="40" customFormat="false" ht="13.8" hidden="false" customHeight="false" outlineLevel="0" collapsed="false">
      <c r="B40" s="39" t="s">
        <v>97</v>
      </c>
      <c r="C40" s="45" t="s">
        <v>98</v>
      </c>
      <c r="D40" s="46" t="s">
        <v>99</v>
      </c>
      <c r="E40" s="47" t="s">
        <v>24</v>
      </c>
      <c r="F40" s="43" t="n">
        <f aca="false">102*SQRT(F12*F4)/F5</f>
        <v>0.0384905660377358</v>
      </c>
      <c r="G40" s="48" t="str">
        <f aca="false">D40</f>
        <v>rho_s</v>
      </c>
    </row>
    <row r="41" customFormat="false" ht="13.8" hidden="false" customHeight="false" outlineLevel="0" collapsed="false">
      <c r="B41" s="39" t="s">
        <v>100</v>
      </c>
      <c r="C41" s="45" t="s">
        <v>101</v>
      </c>
      <c r="D41" s="46" t="s">
        <v>102</v>
      </c>
      <c r="E41" s="47" t="s">
        <v>24</v>
      </c>
      <c r="F41" s="43" t="n">
        <f aca="false">F13*PI()*F10</f>
        <v>14997.9633282377</v>
      </c>
      <c r="G41" s="48" t="str">
        <f aca="false">D41</f>
        <v>L</v>
      </c>
    </row>
    <row r="42" customFormat="false" ht="13.8" hidden="false" customHeight="false" outlineLevel="0" collapsed="false">
      <c r="B42" s="39" t="s">
        <v>103</v>
      </c>
      <c r="C42" s="45" t="s">
        <v>104</v>
      </c>
      <c r="D42" s="46" t="s">
        <v>105</v>
      </c>
      <c r="E42" s="47" t="s">
        <v>24</v>
      </c>
      <c r="F42" s="43" t="n">
        <f aca="false">F16*F41</f>
        <v>4499.3889984713</v>
      </c>
      <c r="G42" s="48" t="str">
        <f aca="false">D42</f>
        <v>Lb</v>
      </c>
    </row>
    <row r="43" customFormat="false" ht="13.8" hidden="false" customHeight="false" outlineLevel="0" collapsed="false">
      <c r="B43" s="39" t="s">
        <v>106</v>
      </c>
      <c r="C43" s="45" t="s">
        <v>107</v>
      </c>
      <c r="D43" s="46" t="s">
        <v>108</v>
      </c>
      <c r="E43" s="47" t="s">
        <v>24</v>
      </c>
      <c r="F43" s="43" t="n">
        <f aca="false">F40*(F25*F41*F41/(4*F26*F26*F40))^(0.2)</f>
        <v>0.831786784879136</v>
      </c>
      <c r="G43" s="48" t="str">
        <f aca="false">D43</f>
        <v>delta*</v>
      </c>
    </row>
    <row r="44" customFormat="false" ht="13.8" hidden="false" customHeight="false" outlineLevel="0" collapsed="false">
      <c r="B44" s="39" t="s">
        <v>109</v>
      </c>
      <c r="C44" s="45" t="s">
        <v>110</v>
      </c>
      <c r="D44" s="46" t="s">
        <v>111</v>
      </c>
      <c r="E44" s="47" t="s">
        <v>24</v>
      </c>
      <c r="F44" s="43" t="n">
        <f aca="false">F40^(4/5)*F41^(2/5)/F10^(1/5)</f>
        <v>0.955472111498936</v>
      </c>
      <c r="G44" s="48" t="str">
        <f aca="false">D44</f>
        <v>delta*_ref</v>
      </c>
    </row>
    <row r="45" customFormat="false" ht="13.8" hidden="false" customHeight="false" outlineLevel="0" collapsed="false">
      <c r="B45" s="39" t="s">
        <v>112</v>
      </c>
      <c r="C45" s="45" t="s">
        <v>113</v>
      </c>
      <c r="D45" s="46" t="s">
        <v>114</v>
      </c>
      <c r="E45" s="47" t="s">
        <v>24</v>
      </c>
      <c r="F45" s="43" t="n">
        <f aca="false">F14*F43</f>
        <v>0.84</v>
      </c>
      <c r="G45" s="48" t="str">
        <f aca="false">D45</f>
        <v>delta</v>
      </c>
    </row>
    <row r="46" customFormat="false" ht="13.8" hidden="false" customHeight="false" outlineLevel="0" collapsed="false">
      <c r="B46" s="39" t="s">
        <v>112</v>
      </c>
      <c r="C46" s="45" t="s">
        <v>115</v>
      </c>
      <c r="D46" s="46" t="s">
        <v>116</v>
      </c>
      <c r="E46" s="47" t="s">
        <v>24</v>
      </c>
      <c r="F46" s="43" t="n">
        <f aca="false">F14*F44</f>
        <v>0.964906618197509</v>
      </c>
      <c r="G46" s="48" t="str">
        <f aca="false">D46</f>
        <v>delta_ref</v>
      </c>
    </row>
    <row r="47" customFormat="false" ht="13.8" hidden="false" customHeight="false" outlineLevel="0" collapsed="false">
      <c r="B47" s="39" t="s">
        <v>117</v>
      </c>
      <c r="C47" s="45" t="s">
        <v>118</v>
      </c>
      <c r="D47" s="46" t="s">
        <v>119</v>
      </c>
      <c r="E47" s="47" t="s">
        <v>24</v>
      </c>
      <c r="F47" s="43" t="n">
        <f aca="false">F41^2*F100/F10</f>
        <v>312.303925091183</v>
      </c>
      <c r="G47" s="48" t="str">
        <f aca="false">D47</f>
        <v>delta_bending</v>
      </c>
    </row>
    <row r="48" customFormat="false" ht="13.8" hidden="false" customHeight="false" outlineLevel="0" collapsed="false">
      <c r="B48" s="39" t="s">
        <v>120</v>
      </c>
      <c r="C48" s="45" t="s">
        <v>121</v>
      </c>
      <c r="D48" s="46" t="s">
        <v>122</v>
      </c>
      <c r="E48" s="47" t="s">
        <v>24</v>
      </c>
      <c r="F48" s="43" t="n">
        <f aca="false">2820000000000*F4*F4/(F6*(1+F8))</f>
        <v>376</v>
      </c>
      <c r="G48" s="48" t="str">
        <f aca="false">D48</f>
        <v>lambda_e_blob</v>
      </c>
    </row>
    <row r="49" customFormat="false" ht="13.8" hidden="false" customHeight="false" outlineLevel="0" collapsed="false">
      <c r="B49" s="39" t="s">
        <v>123</v>
      </c>
      <c r="C49" s="45" t="s">
        <v>124</v>
      </c>
      <c r="D49" s="46" t="s">
        <v>125</v>
      </c>
      <c r="E49" s="47" t="s">
        <v>24</v>
      </c>
      <c r="F49" s="43" t="n">
        <f aca="false">2820000000000*F4*F4/(F6*(1+0))</f>
        <v>1128</v>
      </c>
      <c r="G49" s="48" t="str">
        <f aca="false">D49</f>
        <v>lambda_e_bgrn</v>
      </c>
      <c r="I49" s="2"/>
    </row>
    <row r="50" customFormat="false" ht="13.8" hidden="false" customHeight="false" outlineLevel="0" collapsed="false">
      <c r="B50" s="39" t="s">
        <v>126</v>
      </c>
      <c r="C50" s="45" t="s">
        <v>127</v>
      </c>
      <c r="D50" s="46" t="s">
        <v>128</v>
      </c>
      <c r="E50" s="47" t="s">
        <v>24</v>
      </c>
      <c r="F50" s="43" t="n">
        <f aca="false">743*F4^(1/2)*F7^(-1/2)</f>
        <v>0.000743</v>
      </c>
      <c r="G50" s="48" t="str">
        <f aca="false">D50</f>
        <v>lambda_D</v>
      </c>
    </row>
    <row r="51" customFormat="false" ht="13.8" hidden="false" customHeight="false" outlineLevel="0" collapsed="false">
      <c r="B51" s="39" t="s">
        <v>129</v>
      </c>
      <c r="C51" s="45" t="s">
        <v>130</v>
      </c>
      <c r="D51" s="46" t="s">
        <v>131</v>
      </c>
      <c r="E51" s="47" t="s">
        <v>132</v>
      </c>
      <c r="F51" s="43" t="n">
        <f aca="false">9580*F5/F12</f>
        <v>253870000</v>
      </c>
      <c r="G51" s="48" t="str">
        <f aca="false">D51</f>
        <v>omega_i</v>
      </c>
    </row>
    <row r="52" customFormat="false" ht="13.8" hidden="false" customHeight="false" outlineLevel="0" collapsed="false">
      <c r="B52" s="39" t="s">
        <v>133</v>
      </c>
      <c r="C52" s="45" t="s">
        <v>134</v>
      </c>
      <c r="D52" s="46" t="s">
        <v>135</v>
      </c>
      <c r="E52" s="47" t="s">
        <v>132</v>
      </c>
      <c r="F52" s="43" t="n">
        <f aca="false">SQRT(F25/(F43*F14))</f>
        <v>606683.525533379</v>
      </c>
      <c r="G52" s="48" t="str">
        <f aca="false">D52</f>
        <v>omega_g</v>
      </c>
    </row>
    <row r="53" customFormat="false" ht="13.8" hidden="false" customHeight="false" outlineLevel="0" collapsed="false">
      <c r="B53" s="39" t="s">
        <v>136</v>
      </c>
      <c r="C53" s="45" t="s">
        <v>137</v>
      </c>
      <c r="D53" s="46" t="s">
        <v>138</v>
      </c>
      <c r="E53" s="47" t="s">
        <v>132</v>
      </c>
      <c r="F53" s="43" t="n">
        <f aca="false">F35/F41</f>
        <v>31450.2752459639</v>
      </c>
      <c r="G53" s="48" t="str">
        <f aca="false">D53</f>
        <v>omega_A</v>
      </c>
    </row>
    <row r="54" customFormat="false" ht="13.8" hidden="false" customHeight="false" outlineLevel="0" collapsed="false">
      <c r="B54" s="39" t="s">
        <v>139</v>
      </c>
      <c r="C54" s="45" t="s">
        <v>140</v>
      </c>
      <c r="D54" s="46" t="s">
        <v>141</v>
      </c>
      <c r="E54" s="47" t="s">
        <v>132</v>
      </c>
      <c r="F54" s="43" t="n">
        <f aca="false">F26*F40*F38/F46</f>
        <v>2542999.57501734</v>
      </c>
      <c r="G54" s="48" t="str">
        <f aca="false">D54</f>
        <v>omega*_min</v>
      </c>
    </row>
    <row r="55" customFormat="false" ht="13.8" hidden="false" customHeight="false" outlineLevel="0" collapsed="false">
      <c r="B55" s="39" t="s">
        <v>142</v>
      </c>
      <c r="C55" s="45"/>
      <c r="D55" s="46" t="s">
        <v>143</v>
      </c>
      <c r="E55" s="47" t="s">
        <v>132</v>
      </c>
      <c r="F55" s="43" t="n">
        <f aca="false">F26/F45</f>
        <v>11654761.9047619</v>
      </c>
      <c r="G55" s="48" t="str">
        <f aca="false">D55</f>
        <v>omega*hat</v>
      </c>
    </row>
    <row r="56" customFormat="false" ht="13.8" hidden="false" customHeight="false" outlineLevel="0" collapsed="false">
      <c r="B56" s="39" t="s">
        <v>144</v>
      </c>
      <c r="C56" s="45" t="s">
        <v>145</v>
      </c>
      <c r="D56" s="46" t="s">
        <v>146</v>
      </c>
      <c r="E56" s="47" t="s">
        <v>132</v>
      </c>
      <c r="F56" s="43" t="n">
        <f aca="false">(4*PI()*F7*F19^2/F21)^(1/2)</f>
        <v>797821460336.51</v>
      </c>
      <c r="G56" s="48" t="str">
        <f aca="false">D56</f>
        <v>omega_pe</v>
      </c>
    </row>
    <row r="57" customFormat="false" ht="13.8" hidden="false" customHeight="false" outlineLevel="0" collapsed="false">
      <c r="B57" s="39" t="s">
        <v>147</v>
      </c>
      <c r="C57" s="45" t="s">
        <v>148</v>
      </c>
      <c r="D57" s="46" t="s">
        <v>149</v>
      </c>
      <c r="E57" s="47" t="s">
        <v>132</v>
      </c>
      <c r="F57" s="43" t="n">
        <f aca="false">F6*(1+F8)*F19*F19*F48/(F32*F21)</f>
        <v>48211611394786600</v>
      </c>
      <c r="G57" s="48" t="str">
        <f aca="false">D57</f>
        <v>sig_par_blob</v>
      </c>
    </row>
    <row r="58" customFormat="false" ht="13.8" hidden="false" customHeight="false" outlineLevel="0" collapsed="false">
      <c r="B58" s="39" t="s">
        <v>150</v>
      </c>
      <c r="C58" s="45" t="s">
        <v>151</v>
      </c>
      <c r="D58" s="46" t="s">
        <v>152</v>
      </c>
      <c r="E58" s="47" t="s">
        <v>132</v>
      </c>
      <c r="F58" s="43" t="n">
        <f aca="false">F6*(1+0)*F19*F19*F49/(F32*F21)</f>
        <v>48211611394786600</v>
      </c>
      <c r="G58" s="48" t="str">
        <f aca="false">D58</f>
        <v>sig_par_bgrn</v>
      </c>
    </row>
    <row r="59" customFormat="false" ht="13.8" hidden="false" customHeight="false" outlineLevel="0" collapsed="false">
      <c r="B59" s="39" t="s">
        <v>153</v>
      </c>
      <c r="C59" s="45" t="s">
        <v>154</v>
      </c>
      <c r="D59" s="46" t="s">
        <v>155</v>
      </c>
      <c r="E59" s="47" t="s">
        <v>132</v>
      </c>
      <c r="F59" s="43" t="n">
        <f aca="false">F23*F23*F38*F38/(4*PI()*F57)</f>
        <v>62901.6357327868</v>
      </c>
      <c r="G59" s="48" t="str">
        <f aca="false">D59</f>
        <v>omega_sig</v>
      </c>
    </row>
    <row r="60" customFormat="false" ht="13.8" hidden="false" customHeight="false" outlineLevel="0" collapsed="false">
      <c r="B60" s="39" t="s">
        <v>156</v>
      </c>
      <c r="C60" s="45" t="s">
        <v>157</v>
      </c>
      <c r="D60" s="46" t="s">
        <v>158</v>
      </c>
      <c r="E60" s="47" t="s">
        <v>132</v>
      </c>
      <c r="F60" s="43" t="n">
        <f aca="false">F23*F23/(4*PI()*F58)/(2*F45)/(2*F45)</f>
        <v>525.598611764052</v>
      </c>
      <c r="G60" s="48" t="str">
        <f aca="false">D60</f>
        <v>omega_eta</v>
      </c>
    </row>
    <row r="61" customFormat="false" ht="13.8" hidden="false" customHeight="false" outlineLevel="0" collapsed="false">
      <c r="B61" s="39"/>
      <c r="C61" s="45" t="s">
        <v>159</v>
      </c>
      <c r="D61" s="46" t="s">
        <v>160</v>
      </c>
      <c r="E61" s="47" t="s">
        <v>161</v>
      </c>
      <c r="F61" s="43" t="n">
        <f aca="false">F60/(2*F29/F45)</f>
        <v>0.000612600024425995</v>
      </c>
      <c r="G61" s="48" t="str">
        <f aca="false">D61</f>
        <v>omega_eta/omega_perp</v>
      </c>
    </row>
    <row r="62" customFormat="false" ht="13.8" hidden="false" customHeight="false" outlineLevel="0" collapsed="false">
      <c r="B62" s="39" t="s">
        <v>162</v>
      </c>
      <c r="C62" s="45" t="s">
        <v>163</v>
      </c>
      <c r="D62" s="46" t="s">
        <v>164</v>
      </c>
      <c r="E62" s="47" t="s">
        <v>132</v>
      </c>
      <c r="F62" s="43" t="n">
        <f aca="false">0.51*4*SQRT(2*PI())*F7*F19^4*10/(3*F21^2*F32^3)</f>
        <v>1050956.92713266</v>
      </c>
      <c r="G62" s="48" t="str">
        <f aca="false">D62</f>
        <v>nu</v>
      </c>
    </row>
    <row r="63" customFormat="false" ht="13.8" hidden="false" customHeight="false" outlineLevel="0" collapsed="false">
      <c r="B63" s="39" t="s">
        <v>165</v>
      </c>
      <c r="C63" s="45" t="s">
        <v>166</v>
      </c>
      <c r="D63" s="46" t="s">
        <v>167</v>
      </c>
      <c r="E63" s="47" t="s">
        <v>10</v>
      </c>
      <c r="F63" s="43" t="n">
        <f aca="false">(F41*SQRT(F7)*10*F21*218000000000*F5/(3.2*344000*SQRT(F12)*0.0000000000016))^(2/5)</f>
        <v>603.907478692315</v>
      </c>
      <c r="G63" s="48" t="str">
        <f aca="false">D63</f>
        <v>Te_crit</v>
      </c>
    </row>
    <row r="64" customFormat="false" ht="13.8" hidden="false" customHeight="false" outlineLevel="0" collapsed="false">
      <c r="B64" s="39" t="s">
        <v>168</v>
      </c>
      <c r="C64" s="45" t="s">
        <v>169</v>
      </c>
      <c r="D64" s="46" t="s">
        <v>170</v>
      </c>
      <c r="E64" s="47" t="s">
        <v>171</v>
      </c>
      <c r="F64" s="43" t="n">
        <f aca="false">3.2*F32*F32*0.51/F62</f>
        <v>545246992722.538</v>
      </c>
      <c r="G64" s="48" t="str">
        <f aca="false">D64</f>
        <v>chi_par_electron</v>
      </c>
    </row>
    <row r="65" customFormat="false" ht="13.8" hidden="false" customHeight="false" outlineLevel="0" collapsed="false">
      <c r="B65" s="39" t="s">
        <v>172</v>
      </c>
      <c r="C65" s="45" t="s">
        <v>173</v>
      </c>
      <c r="D65" s="46" t="s">
        <v>174</v>
      </c>
      <c r="E65" s="47" t="s">
        <v>171</v>
      </c>
      <c r="F65" s="43" t="n">
        <f aca="false">4.7*0.0000000000016*F4/F21/(17600000*F5)^2*F62*1.96</f>
        <v>3.9086067455358</v>
      </c>
      <c r="G65" s="48" t="str">
        <f aca="false">D65</f>
        <v>chi_perp_electron</v>
      </c>
    </row>
    <row r="66" customFormat="false" ht="13.8" hidden="false" customHeight="false" outlineLevel="0" collapsed="false">
      <c r="B66" s="39" t="s">
        <v>175</v>
      </c>
      <c r="C66" s="45" t="s">
        <v>176</v>
      </c>
      <c r="D66" s="46" t="s">
        <v>177</v>
      </c>
      <c r="E66" s="47" t="s">
        <v>178</v>
      </c>
      <c r="F66" s="43" t="n">
        <f aca="false">F41/2*F41/2/F64</f>
        <v>0.00010313624238072</v>
      </c>
      <c r="G66" s="48" t="str">
        <f aca="false">D66</f>
        <v>tau_paralle_chie</v>
      </c>
    </row>
    <row r="67" customFormat="false" ht="13.8" hidden="false" customHeight="false" outlineLevel="0" collapsed="false">
      <c r="B67" s="39" t="s">
        <v>179</v>
      </c>
      <c r="C67" s="45" t="s">
        <v>180</v>
      </c>
      <c r="D67" s="46" t="s">
        <v>181</v>
      </c>
      <c r="E67" s="47" t="s">
        <v>178</v>
      </c>
      <c r="F67" s="43" t="n">
        <f aca="false">F41/2/F32</f>
        <v>1.26553240732506E-005</v>
      </c>
      <c r="G67" s="48" t="str">
        <f aca="false">D67</f>
        <v>tau_parallel_the</v>
      </c>
    </row>
    <row r="68" customFormat="false" ht="13.8" hidden="false" customHeight="false" outlineLevel="0" collapsed="false">
      <c r="B68" s="39"/>
      <c r="C68" s="45" t="s">
        <v>182</v>
      </c>
      <c r="D68" s="46" t="s">
        <v>183</v>
      </c>
      <c r="E68" s="47" t="s">
        <v>178</v>
      </c>
      <c r="F68" s="43" t="n">
        <f aca="false">F11*F11/F65</f>
        <v>18.0524684609394</v>
      </c>
      <c r="G68" s="48" t="str">
        <f aca="false">D68</f>
        <v>tau_perp_chie</v>
      </c>
    </row>
    <row r="69" customFormat="false" ht="13.8" hidden="false" customHeight="false" outlineLevel="0" collapsed="false">
      <c r="B69" s="39" t="s">
        <v>184</v>
      </c>
      <c r="C69" s="45" t="s">
        <v>185</v>
      </c>
      <c r="D69" s="46" t="s">
        <v>186</v>
      </c>
      <c r="E69" s="47" t="s">
        <v>178</v>
      </c>
      <c r="F69" s="43" t="n">
        <f aca="false">F41/2/F36</f>
        <v>1.29807541355701E-005</v>
      </c>
      <c r="G69" s="48" t="str">
        <f aca="false">D69</f>
        <v>tau_parallel</v>
      </c>
    </row>
    <row r="70" customFormat="false" ht="13.8" hidden="false" customHeight="false" outlineLevel="0" collapsed="false">
      <c r="B70" s="39" t="s">
        <v>187</v>
      </c>
      <c r="C70" s="45" t="s">
        <v>188</v>
      </c>
      <c r="D70" s="46" t="s">
        <v>189</v>
      </c>
      <c r="E70" s="47" t="s">
        <v>178</v>
      </c>
      <c r="F70" s="43" t="n">
        <f aca="false">F41/F26</f>
        <v>0.00153196765354828</v>
      </c>
      <c r="G70" s="48" t="str">
        <f aca="false">D70</f>
        <v>tau_cs_parallel</v>
      </c>
    </row>
    <row r="71" customFormat="false" ht="13.8" hidden="false" customHeight="false" outlineLevel="0" collapsed="false">
      <c r="B71" s="39"/>
      <c r="C71" s="45" t="s">
        <v>190</v>
      </c>
      <c r="D71" s="46" t="s">
        <v>191</v>
      </c>
      <c r="E71" s="47" t="s">
        <v>178</v>
      </c>
      <c r="F71" s="43" t="n">
        <f aca="false">F41/F32</f>
        <v>2.53106481465012E-005</v>
      </c>
      <c r="G71" s="48" t="str">
        <f aca="false">D71</f>
        <v>tau_te_parallel</v>
      </c>
    </row>
    <row r="72" customFormat="false" ht="13.8" hidden="false" customHeight="false" outlineLevel="0" collapsed="false">
      <c r="B72" s="39"/>
      <c r="C72" s="45" t="s">
        <v>192</v>
      </c>
      <c r="D72" s="46" t="s">
        <v>193</v>
      </c>
      <c r="E72" s="47" t="s">
        <v>178</v>
      </c>
      <c r="F72" s="43" t="n">
        <f aca="false">F41/F33</f>
        <v>0.00171398148904656</v>
      </c>
      <c r="G72" s="48" t="str">
        <f aca="false">D72</f>
        <v>tau_ES_parallel</v>
      </c>
    </row>
    <row r="73" customFormat="false" ht="13.8" hidden="false" customHeight="false" outlineLevel="0" collapsed="false">
      <c r="B73" s="39" t="s">
        <v>194</v>
      </c>
      <c r="C73" s="45" t="s">
        <v>195</v>
      </c>
      <c r="D73" s="46" t="s">
        <v>196</v>
      </c>
      <c r="E73" s="47" t="s">
        <v>178</v>
      </c>
      <c r="F73" s="43" t="n">
        <f aca="false">F11/2/F28</f>
        <v>8.44648426215511E-006</v>
      </c>
      <c r="G73" s="48" t="str">
        <f aca="false">D73</f>
        <v>tau_perp</v>
      </c>
    </row>
    <row r="74" customFormat="false" ht="13.8" hidden="false" customHeight="false" outlineLevel="0" collapsed="false">
      <c r="B74" s="39" t="s">
        <v>197</v>
      </c>
      <c r="C74" s="45" t="s">
        <v>198</v>
      </c>
      <c r="D74" s="46" t="s">
        <v>199</v>
      </c>
      <c r="E74" s="47" t="s">
        <v>178</v>
      </c>
      <c r="F74" s="43" t="n">
        <f aca="false">F11/2/F29</f>
        <v>1.1655282390681E-005</v>
      </c>
      <c r="G74" s="48" t="str">
        <f aca="false">D74</f>
        <v>tau_perp_RB</v>
      </c>
    </row>
    <row r="75" customFormat="false" ht="13.8" hidden="false" customHeight="false" outlineLevel="0" collapsed="false">
      <c r="B75" s="39" t="s">
        <v>200</v>
      </c>
      <c r="C75" s="45" t="s">
        <v>201</v>
      </c>
      <c r="D75" s="46" t="s">
        <v>202</v>
      </c>
      <c r="E75" s="47" t="s">
        <v>178</v>
      </c>
      <c r="F75" s="43" t="n">
        <f aca="false">F11/2/F30</f>
        <v>2.68441662393947E-006</v>
      </c>
      <c r="G75" s="48" t="str">
        <f aca="false">D75</f>
        <v>tau_perp_RXEM</v>
      </c>
    </row>
    <row r="76" customFormat="false" ht="13.8" hidden="false" customHeight="false" outlineLevel="0" collapsed="false">
      <c r="B76" s="39" t="s">
        <v>203</v>
      </c>
      <c r="C76" s="45" t="s">
        <v>204</v>
      </c>
      <c r="D76" s="46" t="s">
        <v>205</v>
      </c>
      <c r="E76" s="47" t="s">
        <v>178</v>
      </c>
      <c r="F76" s="43" t="n">
        <f aca="false">F45/F27</f>
        <v>2.18566416244418E-006</v>
      </c>
      <c r="G76" s="48" t="str">
        <f aca="false">D76</f>
        <v>tau_perp_delta_*</v>
      </c>
    </row>
    <row r="77" customFormat="false" ht="13.8" hidden="false" customHeight="false" outlineLevel="0" collapsed="false">
      <c r="B77" s="39" t="s">
        <v>203</v>
      </c>
      <c r="C77" s="45" t="s">
        <v>206</v>
      </c>
      <c r="D77" s="46" t="s">
        <v>207</v>
      </c>
      <c r="E77" s="47" t="s">
        <v>178</v>
      </c>
      <c r="F77" s="43" t="n">
        <f aca="false">F43/F27</f>
        <v>2.16429353155357E-006</v>
      </c>
      <c r="G77" s="48" t="str">
        <f aca="false">D77</f>
        <v>tau_perp_delta*_*</v>
      </c>
    </row>
    <row r="78" customFormat="false" ht="13.8" hidden="false" customHeight="false" outlineLevel="0" collapsed="false">
      <c r="B78" s="39" t="s">
        <v>208</v>
      </c>
      <c r="C78" s="45" t="s">
        <v>209</v>
      </c>
      <c r="D78" s="46" t="s">
        <v>210</v>
      </c>
      <c r="E78" s="47" t="s">
        <v>178</v>
      </c>
      <c r="F78" s="43" t="n">
        <f aca="false">F45/F31</f>
        <v>1.87249894850688E-006</v>
      </c>
      <c r="G78" s="48" t="str">
        <f aca="false">D78</f>
        <v>tau_drift</v>
      </c>
    </row>
    <row r="79" customFormat="false" ht="13.8" hidden="false" customHeight="false" outlineLevel="0" collapsed="false">
      <c r="B79" s="39"/>
      <c r="C79" s="45" t="s">
        <v>211</v>
      </c>
      <c r="D79" s="46" t="s">
        <v>212</v>
      </c>
      <c r="E79" s="47" t="s">
        <v>178</v>
      </c>
      <c r="F79" s="43" t="n">
        <f aca="false">F44/F27</f>
        <v>2.48612041942631E-006</v>
      </c>
      <c r="G79" s="48" t="str">
        <f aca="false">D79</f>
        <v>tau_star ref</v>
      </c>
    </row>
    <row r="80" customFormat="false" ht="13.8" hidden="false" customHeight="false" outlineLevel="0" collapsed="false">
      <c r="B80" s="39" t="s">
        <v>213</v>
      </c>
      <c r="C80" s="45" t="s">
        <v>214</v>
      </c>
      <c r="D80" s="46" t="s">
        <v>215</v>
      </c>
      <c r="E80" s="47" t="s">
        <v>178</v>
      </c>
      <c r="F80" s="43" t="n">
        <f aca="false">SQRT(F8*F45*F10/2/F26/F26)</f>
        <v>2.33105647813621E-006</v>
      </c>
      <c r="G80" s="48" t="str">
        <f aca="false">D80</f>
        <v>tau_macro_deform</v>
      </c>
    </row>
    <row r="81" customFormat="false" ht="13.8" hidden="false" customHeight="false" outlineLevel="0" collapsed="false">
      <c r="B81" s="39"/>
      <c r="C81" s="45" t="s">
        <v>216</v>
      </c>
      <c r="D81" s="46" t="s">
        <v>217</v>
      </c>
      <c r="E81" s="47" t="s">
        <v>218</v>
      </c>
      <c r="F81" s="43" t="n">
        <f aca="false">F20*F6*1000000*F26*0.01</f>
        <v>1568553.8</v>
      </c>
      <c r="G81" s="48" t="str">
        <f aca="false">D81</f>
        <v>J0</v>
      </c>
    </row>
    <row r="82" customFormat="false" ht="13.8" hidden="false" customHeight="false" outlineLevel="0" collapsed="false">
      <c r="B82" s="39" t="s">
        <v>219</v>
      </c>
      <c r="C82" s="45" t="s">
        <v>220</v>
      </c>
      <c r="D82" s="46" t="s">
        <v>221</v>
      </c>
      <c r="E82" s="47"/>
      <c r="F82" s="43" t="n">
        <f aca="false">F57*4*PI()*F45*F45*F52/F23/F23</f>
        <v>288.567888096766</v>
      </c>
      <c r="G82" s="48" t="str">
        <f aca="false">D82</f>
        <v>Rm</v>
      </c>
    </row>
    <row r="83" customFormat="false" ht="13.8" hidden="false" customHeight="false" outlineLevel="0" collapsed="false">
      <c r="B83" s="39"/>
      <c r="C83" s="45"/>
      <c r="D83" s="46" t="s">
        <v>222</v>
      </c>
      <c r="E83" s="47"/>
      <c r="F83" s="43" t="n">
        <f aca="false">F55/F62</f>
        <v>11.0896665732627</v>
      </c>
      <c r="G83" s="48" t="str">
        <f aca="false">D83</f>
        <v>omega_*/nu</v>
      </c>
    </row>
    <row r="84" customFormat="false" ht="13.8" hidden="false" customHeight="false" outlineLevel="0" collapsed="false">
      <c r="B84" s="39"/>
      <c r="C84" s="45"/>
      <c r="D84" s="46" t="s">
        <v>223</v>
      </c>
      <c r="E84" s="47"/>
      <c r="F84" s="43" t="n">
        <f aca="false">1/F77/F62</f>
        <v>0.43964174345795</v>
      </c>
      <c r="G84" s="48" t="str">
        <f aca="false">D84</f>
        <v>1/tau_perp_delta**/nu</v>
      </c>
    </row>
    <row r="85" customFormat="false" ht="13.8" hidden="false" customHeight="false" outlineLevel="0" collapsed="false">
      <c r="B85" s="39"/>
      <c r="C85" s="45"/>
      <c r="D85" s="46" t="s">
        <v>224</v>
      </c>
      <c r="E85" s="47"/>
      <c r="F85" s="49" t="n">
        <f aca="false">F69/F80</f>
        <v>5.56861417015037</v>
      </c>
      <c r="G85" s="48" t="str">
        <f aca="false">D85</f>
        <v>tau_para/tau_macro_deform</v>
      </c>
    </row>
    <row r="86" customFormat="false" ht="13.8" hidden="false" customHeight="false" outlineLevel="0" collapsed="false">
      <c r="B86" s="39"/>
      <c r="C86" s="45"/>
      <c r="D86" s="46" t="s">
        <v>225</v>
      </c>
      <c r="E86" s="47"/>
      <c r="F86" s="49" t="n">
        <f aca="false">F66/F69</f>
        <v>7.94531976367264</v>
      </c>
      <c r="G86" s="48" t="str">
        <f aca="false">D86</f>
        <v>tau_parallel_chie/tau_para</v>
      </c>
    </row>
    <row r="87" customFormat="false" ht="13.8" hidden="false" customHeight="false" outlineLevel="0" collapsed="false">
      <c r="B87" s="39"/>
      <c r="C87" s="45"/>
      <c r="D87" s="46" t="s">
        <v>226</v>
      </c>
      <c r="E87" s="47"/>
      <c r="F87" s="49" t="n">
        <f aca="false">F66/F80</f>
        <v>44.2444202223632</v>
      </c>
      <c r="G87" s="48" t="str">
        <f aca="false">D87</f>
        <v>tau_parallel_chie/tau_macrodefo</v>
      </c>
    </row>
    <row r="88" customFormat="false" ht="13.8" hidden="false" customHeight="false" outlineLevel="0" collapsed="false">
      <c r="B88" s="39" t="s">
        <v>227</v>
      </c>
      <c r="C88" s="45" t="s">
        <v>228</v>
      </c>
      <c r="D88" s="50" t="s">
        <v>229</v>
      </c>
      <c r="E88" s="47"/>
      <c r="F88" s="51" t="n">
        <f aca="false">F69/F73</f>
        <v>1.53682333769696</v>
      </c>
      <c r="G88" s="48" t="str">
        <f aca="false">D88</f>
        <v>tau_para/tau_perp</v>
      </c>
    </row>
    <row r="89" customFormat="false" ht="13.8" hidden="false" customHeight="false" outlineLevel="0" collapsed="false">
      <c r="B89" s="39" t="s">
        <v>230</v>
      </c>
      <c r="C89" s="45" t="s">
        <v>231</v>
      </c>
      <c r="D89" s="50" t="s">
        <v>232</v>
      </c>
      <c r="E89" s="47"/>
      <c r="F89" s="51" t="n">
        <f aca="false">F69/F74</f>
        <v>1.11372283403007</v>
      </c>
      <c r="G89" s="48" t="str">
        <f aca="false">D89</f>
        <v>tau_para/tau_perp_RB</v>
      </c>
    </row>
    <row r="90" customFormat="false" ht="13.8" hidden="false" customHeight="false" outlineLevel="0" collapsed="false">
      <c r="B90" s="39" t="s">
        <v>233</v>
      </c>
      <c r="C90" s="45" t="s">
        <v>234</v>
      </c>
      <c r="D90" s="50" t="s">
        <v>235</v>
      </c>
      <c r="E90" s="47"/>
      <c r="F90" s="51" t="n">
        <f aca="false">F69/F76</f>
        <v>5.93904331626775</v>
      </c>
      <c r="G90" s="48" t="str">
        <f aca="false">D90</f>
        <v>tau_para/tau_perp_*</v>
      </c>
    </row>
    <row r="91" customFormat="false" ht="13.8" hidden="false" customHeight="false" outlineLevel="0" collapsed="false">
      <c r="B91" s="39" t="s">
        <v>236</v>
      </c>
      <c r="C91" s="45" t="s">
        <v>237</v>
      </c>
      <c r="D91" s="50" t="s">
        <v>238</v>
      </c>
      <c r="E91" s="47"/>
      <c r="F91" s="51" t="n">
        <f aca="false">F69/F77</f>
        <v>5.99768651817403</v>
      </c>
      <c r="G91" s="48" t="str">
        <f aca="false">D91</f>
        <v>tau_para/tau_perp*_*</v>
      </c>
    </row>
    <row r="92" customFormat="false" ht="13.8" hidden="false" customHeight="false" outlineLevel="0" collapsed="false">
      <c r="B92" s="39" t="s">
        <v>239</v>
      </c>
      <c r="C92" s="45" t="s">
        <v>240</v>
      </c>
      <c r="D92" s="46" t="s">
        <v>241</v>
      </c>
      <c r="E92" s="47"/>
      <c r="F92" s="43" t="n">
        <f aca="false">F69/F75</f>
        <v>4.83559594282366</v>
      </c>
      <c r="G92" s="48" t="str">
        <f aca="false">D92</f>
        <v>tau_para/tau_perp_RXEM</v>
      </c>
    </row>
    <row r="93" customFormat="false" ht="13.8" hidden="false" customHeight="false" outlineLevel="0" collapsed="false">
      <c r="B93" s="39" t="s">
        <v>242</v>
      </c>
      <c r="C93" s="45" t="s">
        <v>243</v>
      </c>
      <c r="D93" s="46" t="s">
        <v>244</v>
      </c>
      <c r="E93" s="47"/>
      <c r="F93" s="43" t="n">
        <f aca="false">F69/F78</f>
        <v>6.93231584771829</v>
      </c>
      <c r="G93" s="48" t="str">
        <f aca="false">D93</f>
        <v>tau_para/tau_driftwave</v>
      </c>
    </row>
    <row r="94" customFormat="false" ht="13.8" hidden="false" customHeight="false" outlineLevel="0" collapsed="false">
      <c r="B94" s="39"/>
      <c r="C94" s="45" t="s">
        <v>245</v>
      </c>
      <c r="D94" s="46" t="s">
        <v>246</v>
      </c>
      <c r="E94" s="47"/>
      <c r="F94" s="43" t="n">
        <f aca="false">F69/F71</f>
        <v>0.512857436934678</v>
      </c>
      <c r="G94" s="48" t="str">
        <f aca="false">D94</f>
        <v>tau_para/tau_te_parallel</v>
      </c>
    </row>
    <row r="95" customFormat="false" ht="13.8" hidden="false" customHeight="false" outlineLevel="0" collapsed="false">
      <c r="B95" s="39"/>
      <c r="C95" s="45" t="s">
        <v>247</v>
      </c>
      <c r="D95" s="46" t="s">
        <v>248</v>
      </c>
      <c r="E95" s="47"/>
      <c r="F95" s="43" t="n">
        <f aca="false">F71/F74</f>
        <v>2.17160316653832</v>
      </c>
      <c r="G95" s="48" t="str">
        <f aca="false">D95</f>
        <v>tau_te_parallel/tau_perp_RB</v>
      </c>
    </row>
    <row r="96" customFormat="false" ht="13.8" hidden="false" customHeight="false" outlineLevel="0" collapsed="false">
      <c r="B96" s="39"/>
      <c r="C96" s="45" t="s">
        <v>249</v>
      </c>
      <c r="D96" s="46" t="s">
        <v>250</v>
      </c>
      <c r="E96" s="47"/>
      <c r="F96" s="43" t="n">
        <f aca="false">F72/F74</f>
        <v>147.056195774113</v>
      </c>
      <c r="G96" s="48" t="str">
        <f aca="false">D96</f>
        <v>tau_ES_parallel/tau_perp_RB</v>
      </c>
    </row>
    <row r="97" customFormat="false" ht="13.8" hidden="false" customHeight="false" outlineLevel="0" collapsed="false">
      <c r="B97" s="39"/>
      <c r="C97" s="45" t="s">
        <v>251</v>
      </c>
      <c r="D97" s="46" t="s">
        <v>252</v>
      </c>
      <c r="E97" s="47"/>
      <c r="F97" s="43" t="n">
        <f aca="false">F69/F79</f>
        <v>5.22128937686997</v>
      </c>
      <c r="G97" s="48" t="str">
        <f aca="false">D97</f>
        <v>tau_para/tau_star</v>
      </c>
    </row>
    <row r="98" customFormat="false" ht="13.8" hidden="false" customHeight="false" outlineLevel="0" collapsed="false">
      <c r="B98" s="39" t="s">
        <v>253</v>
      </c>
      <c r="C98" s="45" t="s">
        <v>254</v>
      </c>
      <c r="D98" s="46" t="s">
        <v>255</v>
      </c>
      <c r="E98" s="52"/>
      <c r="F98" s="43" t="n">
        <f aca="false">F31/F35</f>
        <v>0.00095104477858196</v>
      </c>
      <c r="G98" s="48" t="str">
        <f aca="false">D98</f>
        <v>vd/vA</v>
      </c>
    </row>
    <row r="99" customFormat="false" ht="13.8" hidden="false" customHeight="false" outlineLevel="0" collapsed="false">
      <c r="B99" s="39" t="s">
        <v>256</v>
      </c>
      <c r="C99" s="45" t="s">
        <v>257</v>
      </c>
      <c r="D99" s="50" t="s">
        <v>258</v>
      </c>
      <c r="E99" s="53"/>
      <c r="F99" s="51" t="n">
        <f aca="false">F48/F41</f>
        <v>0.0250700706336626</v>
      </c>
      <c r="G99" s="48" t="str">
        <f aca="false">D99</f>
        <v>lambda_e/L</v>
      </c>
    </row>
    <row r="100" customFormat="false" ht="13.8" hidden="false" customHeight="false" outlineLevel="0" collapsed="false">
      <c r="B100" s="39" t="s">
        <v>259</v>
      </c>
      <c r="C100" s="45" t="s">
        <v>260</v>
      </c>
      <c r="D100" s="46" t="s">
        <v>261</v>
      </c>
      <c r="E100" s="47"/>
      <c r="F100" s="43" t="n">
        <f aca="false">0.0000000000403*F6*(1+F8)*F4/(F5*F5)</f>
        <v>0.000860804556781773</v>
      </c>
      <c r="G100" s="48" t="str">
        <f aca="false">D100</f>
        <v>beta_blob</v>
      </c>
    </row>
    <row r="101" customFormat="false" ht="13.8" hidden="false" customHeight="false" outlineLevel="0" collapsed="false">
      <c r="B101" s="39" t="s">
        <v>262</v>
      </c>
      <c r="C101" s="45" t="s">
        <v>263</v>
      </c>
      <c r="D101" s="46" t="s">
        <v>264</v>
      </c>
      <c r="E101" s="47"/>
      <c r="F101" s="43" t="n">
        <f aca="false">0.0000000000403*F6*(1+0)*F4/(F5*F5)</f>
        <v>0.000286934852260591</v>
      </c>
      <c r="G101" s="48" t="str">
        <f aca="false">D101</f>
        <v>beta_bgrn</v>
      </c>
    </row>
    <row r="102" customFormat="false" ht="13.8" hidden="false" customHeight="false" outlineLevel="0" collapsed="false">
      <c r="B102" s="39" t="s">
        <v>265</v>
      </c>
      <c r="C102" s="45" t="s">
        <v>266</v>
      </c>
      <c r="D102" s="46" t="s">
        <v>267</v>
      </c>
      <c r="E102" s="47"/>
      <c r="F102" s="43" t="n">
        <f aca="false">F21/F22/F12</f>
        <v>0.000272312567260552</v>
      </c>
      <c r="G102" s="48" t="str">
        <f aca="false">D102</f>
        <v>meovermi</v>
      </c>
    </row>
    <row r="103" customFormat="false" ht="13.8" hidden="false" customHeight="false" outlineLevel="0" collapsed="false">
      <c r="B103" s="39" t="s">
        <v>268</v>
      </c>
      <c r="C103" s="45" t="s">
        <v>268</v>
      </c>
      <c r="D103" s="50" t="s">
        <v>269</v>
      </c>
      <c r="E103" s="52"/>
      <c r="F103" s="51" t="n">
        <f aca="false">F100/F102</f>
        <v>3.1610900864452</v>
      </c>
      <c r="G103" s="48" t="str">
        <f aca="false">D103</f>
        <v>betablmemi</v>
      </c>
    </row>
    <row r="104" customFormat="false" ht="13.8" hidden="false" customHeight="false" outlineLevel="0" collapsed="false">
      <c r="B104" s="39" t="s">
        <v>270</v>
      </c>
      <c r="C104" s="45" t="s">
        <v>270</v>
      </c>
      <c r="D104" s="46" t="s">
        <v>271</v>
      </c>
      <c r="E104" s="47"/>
      <c r="F104" s="43" t="n">
        <f aca="false">F101/F102</f>
        <v>1.05369669548173</v>
      </c>
      <c r="G104" s="48" t="str">
        <f aca="false">D104</f>
        <v>betabgmemi</v>
      </c>
    </row>
    <row r="105" customFormat="false" ht="13.8" hidden="false" customHeight="false" outlineLevel="0" collapsed="false">
      <c r="B105" s="39" t="s">
        <v>272</v>
      </c>
      <c r="C105" s="45"/>
      <c r="D105" s="46"/>
      <c r="E105" s="47"/>
      <c r="F105" s="43" t="n">
        <f aca="false">SQRT(1/F8*2*F26*F26/F45/F10)/F55</f>
        <v>0.0368081337434733</v>
      </c>
      <c r="G105" s="48"/>
    </row>
    <row r="106" customFormat="false" ht="13.8" hidden="false" customHeight="false" outlineLevel="0" collapsed="false">
      <c r="B106" s="39" t="s">
        <v>273</v>
      </c>
      <c r="C106" s="45" t="s">
        <v>273</v>
      </c>
      <c r="D106" s="46" t="s">
        <v>274</v>
      </c>
      <c r="E106" s="47"/>
      <c r="F106" s="43" t="n">
        <f aca="false">F38^2*F23^2/(F56^2)</f>
        <v>0.0598703810748212</v>
      </c>
      <c r="G106" s="48" t="str">
        <f aca="false">D106</f>
        <v>kperp2c2/omega_pe^2</v>
      </c>
    </row>
    <row r="107" customFormat="false" ht="13.8" hidden="false" customHeight="false" outlineLevel="0" collapsed="false">
      <c r="B107" s="39" t="s">
        <v>275</v>
      </c>
      <c r="C107" s="45" t="s">
        <v>276</v>
      </c>
      <c r="D107" s="46" t="s">
        <v>277</v>
      </c>
      <c r="E107" s="47"/>
      <c r="F107" s="43" t="n">
        <f aca="false">(F40*F41^3/F10^4)^(1/5)</f>
        <v>0.974488863587671</v>
      </c>
      <c r="G107" s="48" t="str">
        <f aca="false">D107</f>
        <v>(deltaT/Tbg)_crit</v>
      </c>
    </row>
    <row r="108" customFormat="false" ht="13.8" hidden="false" customHeight="false" outlineLevel="0" collapsed="false">
      <c r="B108" s="39" t="s">
        <v>278</v>
      </c>
      <c r="C108" s="45" t="s">
        <v>279</v>
      </c>
      <c r="D108" s="46" t="s">
        <v>280</v>
      </c>
      <c r="E108" s="47"/>
      <c r="F108" s="43" t="n">
        <f aca="false">4*PI()*F57/F23/F23*F31</f>
        <v>302.402189049238</v>
      </c>
      <c r="G108" s="48" t="str">
        <f aca="false">D108</f>
        <v>k_perpESmin</v>
      </c>
    </row>
    <row r="109" customFormat="false" ht="13.8" hidden="false" customHeight="false" outlineLevel="0" collapsed="false">
      <c r="B109" s="39" t="s">
        <v>281</v>
      </c>
      <c r="C109" s="54" t="s">
        <v>282</v>
      </c>
      <c r="D109" s="55" t="s">
        <v>283</v>
      </c>
      <c r="E109" s="56"/>
      <c r="F109" s="43" t="n">
        <f aca="false">(4*PI()*F57/F23/F23*F31*F40)^2</f>
        <v>135.481019769339</v>
      </c>
      <c r="G109" s="48" t="str">
        <f aca="false">D109</f>
        <v>(chi^2)Esmin</v>
      </c>
    </row>
    <row r="110" customFormat="false" ht="13.8" hidden="false" customHeight="false" outlineLevel="0" collapsed="false">
      <c r="B110" s="39" t="s">
        <v>284</v>
      </c>
      <c r="C110" s="57" t="s">
        <v>285</v>
      </c>
      <c r="D110" s="58" t="s">
        <v>286</v>
      </c>
      <c r="E110" s="59"/>
      <c r="F110" s="43" t="n">
        <f aca="false">F23^2*F50^2*F39^2/F31/F31</f>
        <v>0.000432704753945305</v>
      </c>
      <c r="G110" s="48" t="str">
        <f aca="false">D110</f>
        <v>alpha_min</v>
      </c>
    </row>
    <row r="111" customFormat="false" ht="13.8" hidden="false" customHeight="false" outlineLevel="0" collapsed="false">
      <c r="B111" s="39" t="s">
        <v>287</v>
      </c>
      <c r="C111" s="57" t="s">
        <v>288</v>
      </c>
      <c r="D111" s="58" t="s">
        <v>289</v>
      </c>
      <c r="E111" s="59"/>
      <c r="F111" s="43" t="n">
        <f aca="false">0.3*F26*F38*F40/(SQRT(F25*F45)*(1+F38*F38*F40*F40))</f>
        <v>1.35910068493074</v>
      </c>
      <c r="G111" s="48" t="str">
        <f aca="false">D111</f>
        <v>gammamax_drift/omega_g</v>
      </c>
    </row>
    <row r="112" customFormat="false" ht="13.8" hidden="false" customHeight="false" outlineLevel="0" collapsed="false">
      <c r="B112" s="39" t="s">
        <v>290</v>
      </c>
      <c r="C112" s="57" t="s">
        <v>288</v>
      </c>
      <c r="D112" s="58" t="s">
        <v>289</v>
      </c>
      <c r="E112" s="59"/>
      <c r="F112" s="43" t="n">
        <f aca="false">0.3*F26*0.5/(SQRT(F25*F45)*(1))</f>
        <v>2.88159182199204</v>
      </c>
      <c r="G112" s="48" t="str">
        <f aca="false">D112</f>
        <v>gammamax_drift/omega_g</v>
      </c>
    </row>
    <row r="113" customFormat="false" ht="13.8" hidden="false" customHeight="false" outlineLevel="0" collapsed="false">
      <c r="B113" s="39" t="s">
        <v>291</v>
      </c>
      <c r="C113" s="57" t="s">
        <v>292</v>
      </c>
      <c r="D113" s="58" t="s">
        <v>293</v>
      </c>
      <c r="E113" s="59"/>
      <c r="F113" s="60" t="n">
        <f aca="false">F43/F40/F17</f>
        <v>216.10146862056</v>
      </c>
      <c r="G113" s="48" t="str">
        <f aca="false">D113</f>
        <v>min Nx</v>
      </c>
    </row>
    <row r="114" customFormat="false" ht="13.8" hidden="false" customHeight="false" outlineLevel="0" collapsed="false">
      <c r="B114" s="39" t="s">
        <v>294</v>
      </c>
      <c r="C114" s="57" t="s">
        <v>292</v>
      </c>
      <c r="D114" s="58" t="s">
        <v>295</v>
      </c>
      <c r="E114" s="59"/>
      <c r="F114" s="60" t="n">
        <f aca="false">F15/F40/F17</f>
        <v>218.235294117647</v>
      </c>
      <c r="G114" s="48" t="str">
        <f aca="false">D114</f>
        <v>min Nx for given r=0.5cm</v>
      </c>
    </row>
    <row r="115" customFormat="false" ht="13.8" hidden="false" customHeight="false" outlineLevel="0" collapsed="false">
      <c r="B115" s="39" t="s">
        <v>296</v>
      </c>
      <c r="C115" s="57" t="s">
        <v>296</v>
      </c>
      <c r="D115" s="58" t="s">
        <v>296</v>
      </c>
      <c r="E115" s="59"/>
      <c r="F115" s="43" t="n">
        <f aca="false">(1/F98)^2*F42/F45</f>
        <v>5922053478.4188</v>
      </c>
      <c r="G115" s="48" t="str">
        <f aca="false">D115</f>
        <v>(V_A/V_d)^2*Lb/delta</v>
      </c>
    </row>
    <row r="116" customFormat="false" ht="13.8" hidden="false" customHeight="false" outlineLevel="0" collapsed="false">
      <c r="B116" s="61"/>
      <c r="C116" s="62"/>
      <c r="D116" s="63"/>
      <c r="E116" s="64"/>
      <c r="F116" s="65" t="n">
        <f aca="false">SQRT(F101)*(F41^4/F40/F40/F10/F10)^(1/5)/2</f>
        <v>5.21902155582024</v>
      </c>
      <c r="G116" s="48"/>
    </row>
    <row r="117" customFormat="false" ht="13.8" hidden="false" customHeight="false" outlineLevel="0" collapsed="false">
      <c r="B117" s="66"/>
      <c r="C117" s="57" t="s">
        <v>297</v>
      </c>
      <c r="D117" s="67"/>
      <c r="E117" s="68"/>
      <c r="F117" s="69" t="n">
        <f aca="false">1/(F101*F22*F12/F21)</f>
        <v>0.949039704013513</v>
      </c>
      <c r="G117" s="22"/>
    </row>
    <row r="118" customFormat="false" ht="18.55" hidden="false" customHeight="false" outlineLevel="0" collapsed="false">
      <c r="B118" s="66"/>
      <c r="C118" s="70" t="s">
        <v>298</v>
      </c>
      <c r="D118" s="67"/>
      <c r="E118" s="68"/>
      <c r="F118" s="69" t="n">
        <f aca="false">LOG10(F117)</f>
        <v>-0.0227156180539725</v>
      </c>
      <c r="G118" s="22"/>
    </row>
    <row r="119" customFormat="false" ht="18.55" hidden="false" customHeight="false" outlineLevel="0" collapsed="false">
      <c r="B119" s="70"/>
      <c r="C119" s="57" t="s">
        <v>299</v>
      </c>
      <c r="D119" s="70"/>
      <c r="E119" s="70"/>
      <c r="F119" s="71" t="n">
        <f aca="false">F23*F23/4/PI()/F58/F40/F40/F26*F45</f>
        <v>0.0859133733077328</v>
      </c>
      <c r="G119" s="5"/>
    </row>
    <row r="120" customFormat="false" ht="18.55" hidden="false" customHeight="false" outlineLevel="0" collapsed="false">
      <c r="B120" s="70"/>
      <c r="C120" s="70" t="s">
        <v>300</v>
      </c>
      <c r="D120" s="70"/>
      <c r="E120" s="70"/>
      <c r="F120" s="69" t="n">
        <f aca="false">LOG10(F119)</f>
        <v>-1.06593922846567</v>
      </c>
      <c r="G120" s="72"/>
    </row>
    <row r="121" customFormat="false" ht="18.55" hidden="false" customHeight="false" outlineLevel="0" collapsed="false">
      <c r="B121" s="72" t="s">
        <v>301</v>
      </c>
      <c r="C121" s="72" t="s">
        <v>302</v>
      </c>
      <c r="D121" s="72"/>
      <c r="E121" s="72"/>
      <c r="F121" s="73" t="n">
        <f aca="false">F119^0.5</f>
        <v>0.293109831475733</v>
      </c>
      <c r="G121" s="72"/>
    </row>
    <row r="122" customFormat="false" ht="18.55" hidden="false" customHeight="false" outlineLevel="0" collapsed="false">
      <c r="B122" s="72"/>
      <c r="C122" s="72" t="s">
        <v>303</v>
      </c>
      <c r="D122" s="72"/>
      <c r="E122" s="72"/>
      <c r="F122" s="74" t="n">
        <f aca="false">F121*F26/F45/F36</f>
        <v>0.00591332057779913</v>
      </c>
      <c r="G122" s="72"/>
    </row>
    <row r="123" customFormat="false" ht="18.55" hidden="false" customHeight="false" outlineLevel="0" collapsed="false">
      <c r="B123" s="72"/>
      <c r="C123" s="72" t="s">
        <v>304</v>
      </c>
      <c r="D123" s="72"/>
      <c r="E123" s="72"/>
      <c r="F123" s="74" t="n">
        <f aca="false">2*PI()/F122</f>
        <v>1062.54772162515</v>
      </c>
      <c r="G123" s="72"/>
    </row>
    <row r="124" customFormat="false" ht="18.55" hidden="false" customHeight="false" outlineLevel="0" collapsed="false">
      <c r="B124" s="72"/>
      <c r="C124" s="72" t="s">
        <v>305</v>
      </c>
      <c r="D124" s="72"/>
      <c r="E124" s="72"/>
      <c r="F124" s="75" t="n">
        <f aca="false">F41/F123</f>
        <v>14.1150962192065</v>
      </c>
      <c r="G124" s="72"/>
    </row>
    <row r="125" customFormat="false" ht="18.55" hidden="false" customHeight="false" outlineLevel="0" collapsed="false">
      <c r="B125" s="72"/>
      <c r="C125" s="72" t="s">
        <v>306</v>
      </c>
      <c r="D125" s="72"/>
      <c r="E125" s="72"/>
      <c r="F125" s="75" t="n">
        <f aca="false">F124*5</f>
        <v>70.5754810960327</v>
      </c>
      <c r="G125" s="72"/>
    </row>
    <row r="126" customFormat="false" ht="18.55" hidden="false" customHeight="false" outlineLevel="0" collapsed="false">
      <c r="B126" s="72"/>
      <c r="C126" s="72" t="s">
        <v>307</v>
      </c>
      <c r="D126" s="72"/>
      <c r="E126" s="72"/>
      <c r="F126" s="74" t="n">
        <f aca="false">F122*F48</f>
        <v>2.22340853725247</v>
      </c>
      <c r="G126" s="72"/>
    </row>
    <row r="127" customFormat="false" ht="18.55" hidden="false" customHeight="false" outlineLevel="0" collapsed="false">
      <c r="B127" s="72"/>
      <c r="C127" s="72"/>
      <c r="D127" s="72"/>
      <c r="E127" s="72"/>
      <c r="F127" s="74"/>
      <c r="G127" s="72"/>
    </row>
    <row r="128" customFormat="false" ht="18.55" hidden="false" customHeight="false" outlineLevel="0" collapsed="false">
      <c r="B128" s="72"/>
      <c r="C128" s="72" t="s">
        <v>308</v>
      </c>
      <c r="D128" s="72"/>
      <c r="E128" s="72"/>
      <c r="F128" s="76" t="n">
        <v>1</v>
      </c>
      <c r="G128" s="72"/>
    </row>
    <row r="129" customFormat="false" ht="18.55" hidden="false" customHeight="false" outlineLevel="0" collapsed="false">
      <c r="B129" s="72"/>
      <c r="C129" s="72" t="s">
        <v>309</v>
      </c>
      <c r="D129" s="72"/>
      <c r="E129" s="72"/>
      <c r="F129" s="74" t="n">
        <f aca="false">F128/F40</f>
        <v>25.9803921568627</v>
      </c>
      <c r="G129" s="72"/>
    </row>
    <row r="130" customFormat="false" ht="18.55" hidden="false" customHeight="false" outlineLevel="0" collapsed="false">
      <c r="B130" s="72"/>
      <c r="C130" s="72" t="s">
        <v>310</v>
      </c>
      <c r="D130" s="72"/>
      <c r="E130" s="72"/>
      <c r="F130" s="74" t="n">
        <f aca="false">2*PI()/F129</f>
        <v>0.241843358993327</v>
      </c>
      <c r="G130" s="72"/>
    </row>
    <row r="131" customFormat="false" ht="18.55" hidden="false" customHeight="false" outlineLevel="0" collapsed="false">
      <c r="B131" s="72"/>
      <c r="C131" s="72" t="s">
        <v>311</v>
      </c>
      <c r="D131" s="72"/>
      <c r="E131" s="72"/>
      <c r="F131" s="75" t="n">
        <f aca="false">F45/F130</f>
        <v>3.47332258159372</v>
      </c>
      <c r="G131" s="72"/>
    </row>
    <row r="132" customFormat="false" ht="18.55" hidden="false" customHeight="false" outlineLevel="0" collapsed="false">
      <c r="B132" s="72"/>
      <c r="C132" s="72" t="s">
        <v>312</v>
      </c>
      <c r="D132" s="72"/>
      <c r="E132" s="72"/>
      <c r="F132" s="75" t="n">
        <f aca="false">F45/F17/F130</f>
        <v>34.7332258159372</v>
      </c>
      <c r="G132" s="72"/>
    </row>
    <row r="133" customFormat="false" ht="18.55" hidden="false" customHeight="false" outlineLevel="0" collapsed="false">
      <c r="B133" s="72"/>
      <c r="C133" s="72" t="s">
        <v>306</v>
      </c>
      <c r="D133" s="72"/>
      <c r="E133" s="72"/>
      <c r="F133" s="75" t="n">
        <f aca="false">F132*5</f>
        <v>173.666129079686</v>
      </c>
      <c r="G133" s="72"/>
    </row>
    <row r="134" customFormat="false" ht="18.55" hidden="false" customHeight="false" outlineLevel="0" collapsed="false">
      <c r="B134" s="72"/>
      <c r="C134" s="72"/>
      <c r="D134" s="72"/>
      <c r="E134" s="72"/>
      <c r="F134" s="74"/>
      <c r="G134" s="72"/>
    </row>
    <row r="135" customFormat="false" ht="13.8" hidden="false" customHeight="false" outlineLevel="0" collapsed="false">
      <c r="B135" s="77" t="s">
        <v>313</v>
      </c>
      <c r="C135" s="21" t="s">
        <v>314</v>
      </c>
      <c r="F135" s="1" t="n">
        <f aca="false">(F23/F56/F40)^2</f>
        <v>0.953046872369113</v>
      </c>
    </row>
    <row r="136" customFormat="false" ht="13.8" hidden="false" customHeight="false" outlineLevel="0" collapsed="false">
      <c r="B136" s="0" t="s">
        <v>315</v>
      </c>
      <c r="C136" s="21" t="s">
        <v>316</v>
      </c>
      <c r="F136" s="1" t="n">
        <f aca="false">F26/F45</f>
        <v>11654761.9047619</v>
      </c>
    </row>
    <row r="137" customFormat="false" ht="13.8" hidden="false" customHeight="false" outlineLevel="0" collapsed="false">
      <c r="C137" s="21" t="s">
        <v>314</v>
      </c>
      <c r="F137" s="1" t="n">
        <f aca="false">F21/F22/2/F101</f>
        <v>0.949039704013513</v>
      </c>
    </row>
    <row r="138" customFormat="false" ht="13.8" hidden="false" customHeight="false" outlineLevel="0" collapsed="false">
      <c r="C138" s="21" t="s">
        <v>317</v>
      </c>
      <c r="F138" s="78" t="n">
        <f aca="false">F23^2/(4*PI()*F40^2*F58)*(F45/(2*F26^2/F10)*F8)^(1/2)</f>
        <v>2.33408664254722</v>
      </c>
    </row>
    <row r="139" customFormat="false" ht="13.8" hidden="false" customHeight="false" outlineLevel="0" collapsed="false">
      <c r="C139" s="21" t="s">
        <v>318</v>
      </c>
      <c r="F139" s="78" t="n">
        <f aca="false">(4*PI()*F40^2*F58/F23^2)^2*(2*F26^2/F8)</f>
        <v>95.5954075492457</v>
      </c>
    </row>
    <row r="140" customFormat="false" ht="13.8" hidden="false" customHeight="false" outlineLevel="0" collapsed="false">
      <c r="C140" s="2" t="s">
        <v>114</v>
      </c>
      <c r="D140" s="2"/>
      <c r="F140" s="78" t="n">
        <f aca="false">F139/F10</f>
        <v>0.154186141208461</v>
      </c>
    </row>
    <row r="141" customFormat="false" ht="13.8" hidden="false" customHeight="false" outlineLevel="0" collapsed="false">
      <c r="F141" s="1" t="s">
        <v>319</v>
      </c>
    </row>
    <row r="142" customFormat="false" ht="13.8" hidden="false" customHeight="false" outlineLevel="0" collapsed="false">
      <c r="C142" s="2"/>
      <c r="D142" s="0" t="s">
        <v>320</v>
      </c>
      <c r="F142" s="1" t="n">
        <v>1</v>
      </c>
    </row>
    <row r="143" customFormat="false" ht="13.8" hidden="false" customHeight="false" outlineLevel="0" collapsed="false">
      <c r="C143" s="2" t="s">
        <v>321</v>
      </c>
      <c r="D143" s="0" t="s">
        <v>322</v>
      </c>
      <c r="F143" s="1" t="n">
        <f aca="false">F142*PI()/F41</f>
        <v>0.000209467951403435</v>
      </c>
    </row>
    <row r="144" customFormat="false" ht="13.8" hidden="false" customHeight="false" outlineLevel="0" collapsed="false">
      <c r="C144" s="2" t="s">
        <v>323</v>
      </c>
      <c r="D144" s="0" t="s">
        <v>324</v>
      </c>
      <c r="F144" s="1" t="n">
        <f aca="false">F143/SQRT(F101)*F45</f>
        <v>0.0103873608764375</v>
      </c>
    </row>
    <row r="145" customFormat="false" ht="13.8" hidden="false" customHeight="false" outlineLevel="0" collapsed="false">
      <c r="C145" s="2"/>
      <c r="D145" s="0" t="s">
        <v>325</v>
      </c>
      <c r="F145" s="1" t="n">
        <f aca="false">LOG10(F144)</f>
        <v>-1.98349477991061</v>
      </c>
    </row>
    <row r="146" customFormat="false" ht="13.8" hidden="false" customHeight="false" outlineLevel="0" collapsed="false">
      <c r="C146" s="2"/>
      <c r="F146" s="0"/>
    </row>
    <row r="147" customFormat="false" ht="13.8" hidden="false" customHeight="false" outlineLevel="0" collapsed="false">
      <c r="D147" s="0" t="s">
        <v>326</v>
      </c>
      <c r="F147" s="1" t="n">
        <v>128</v>
      </c>
    </row>
    <row r="148" customFormat="false" ht="13.8" hidden="false" customHeight="false" outlineLevel="0" collapsed="false">
      <c r="C148" s="0" t="s">
        <v>327</v>
      </c>
      <c r="D148" s="0" t="s">
        <v>328</v>
      </c>
      <c r="F148" s="1" t="n">
        <f aca="false">F147/F45</f>
        <v>152.380952380952</v>
      </c>
    </row>
    <row r="149" customFormat="false" ht="13.8" hidden="false" customHeight="false" outlineLevel="0" collapsed="false">
      <c r="C149" s="2" t="s">
        <v>329</v>
      </c>
      <c r="D149" s="0" t="s">
        <v>330</v>
      </c>
      <c r="F149" s="1" t="n">
        <f aca="false">F148*F40</f>
        <v>5.86522911051213</v>
      </c>
    </row>
    <row r="150" customFormat="false" ht="13.8" hidden="false" customHeight="false" outlineLevel="0" collapsed="false">
      <c r="D150" s="0" t="s">
        <v>331</v>
      </c>
      <c r="F150" s="1" t="n">
        <f aca="false">LOG10(F149)</f>
        <v>0.768284981411096</v>
      </c>
    </row>
    <row r="151" customFormat="false" ht="13.8" hidden="false" customHeight="false" outlineLevel="0" collapsed="false">
      <c r="F151" s="0"/>
    </row>
    <row r="152" customFormat="false" ht="13.8" hidden="false" customHeight="false" outlineLevel="0" collapsed="false">
      <c r="D152" s="0" t="s">
        <v>332</v>
      </c>
      <c r="F152" s="78" t="n">
        <v>23001</v>
      </c>
    </row>
    <row r="153" customFormat="false" ht="13.8" hidden="false" customHeight="false" outlineLevel="0" collapsed="false">
      <c r="D153" s="0" t="s">
        <v>333</v>
      </c>
      <c r="F153" s="78" t="n">
        <f aca="false">F152/F136</f>
        <v>0.00197352808988764</v>
      </c>
    </row>
    <row r="157" customFormat="false" ht="13.8" hidden="false" customHeight="false" outlineLevel="0" collapsed="false">
      <c r="D157" s="0" t="s">
        <v>334</v>
      </c>
    </row>
    <row r="158" customFormat="false" ht="13.8" hidden="false" customHeight="false" outlineLevel="0" collapsed="false">
      <c r="D158" s="0" t="s">
        <v>335</v>
      </c>
    </row>
    <row r="159" customFormat="false" ht="13.8" hidden="false" customHeight="false" outlineLevel="0" collapsed="false">
      <c r="D159" s="0" t="s">
        <v>322</v>
      </c>
    </row>
    <row r="160" customFormat="false" ht="13.8" hidden="false" customHeight="false" outlineLevel="0" collapsed="false">
      <c r="D160" s="0" t="s">
        <v>320</v>
      </c>
    </row>
    <row r="193" customFormat="false" ht="13.8" hidden="false" customHeight="false" outlineLevel="0" collapsed="false">
      <c r="E193" s="0" t="s">
        <v>9</v>
      </c>
    </row>
    <row r="194" customFormat="false" ht="13.8" hidden="false" customHeight="false" outlineLevel="0" collapsed="false">
      <c r="C194" s="0" t="s">
        <v>336</v>
      </c>
      <c r="D194" s="2" t="n">
        <v>500000000000000</v>
      </c>
      <c r="E194" s="0" t="n">
        <v>200</v>
      </c>
    </row>
    <row r="195" customFormat="false" ht="13.8" hidden="false" customHeight="false" outlineLevel="0" collapsed="false">
      <c r="C195" s="0" t="s">
        <v>337</v>
      </c>
      <c r="D195" s="2" t="n">
        <v>300000000000000</v>
      </c>
      <c r="E195" s="0" t="n">
        <v>100</v>
      </c>
    </row>
    <row r="196" customFormat="false" ht="13.8" hidden="false" customHeight="false" outlineLevel="0" collapsed="false">
      <c r="C196" s="0" t="s">
        <v>338</v>
      </c>
      <c r="D196" s="2" t="n">
        <v>200000000000000</v>
      </c>
      <c r="E196" s="0" t="n">
        <v>100</v>
      </c>
    </row>
    <row r="197" customFormat="false" ht="13.8" hidden="false" customHeight="false" outlineLevel="0" collapsed="false">
      <c r="C197" s="0" t="s">
        <v>339</v>
      </c>
      <c r="D197" s="2" t="n">
        <v>300000000000000</v>
      </c>
      <c r="E197" s="0" t="n">
        <v>200</v>
      </c>
    </row>
    <row r="198" customFormat="false" ht="13.8" hidden="false" customHeight="false" outlineLevel="0" collapsed="false">
      <c r="C198" s="0" t="s">
        <v>340</v>
      </c>
      <c r="D198" s="2" t="n">
        <v>500000000000000</v>
      </c>
      <c r="E198" s="0" t="n">
        <v>100</v>
      </c>
    </row>
  </sheetData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B1:I201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C53" activeCellId="0" sqref="C53"/>
    </sheetView>
  </sheetViews>
  <sheetFormatPr defaultRowHeight="13.8"/>
  <cols>
    <col collapsed="false" hidden="false" max="1" min="1" style="0" width="8.57085020242915"/>
    <col collapsed="false" hidden="false" max="2" min="2" style="0" width="35.8542510121458"/>
    <col collapsed="false" hidden="false" max="3" min="3" style="0" width="39.4251012145749"/>
    <col collapsed="false" hidden="false" max="4" min="4" style="0" width="16.2834008097166"/>
    <col collapsed="false" hidden="false" max="5" min="5" style="0" width="12.995951417004"/>
    <col collapsed="false" hidden="false" max="6" min="6" style="1" width="14.4251012145749"/>
    <col collapsed="false" hidden="false" max="7" min="7" style="0" width="15.7125506072875"/>
    <col collapsed="false" hidden="false" max="8" min="8" style="0" width="8.57085020242915"/>
    <col collapsed="false" hidden="false" max="9" min="9" style="0" width="11.4251012145749"/>
    <col collapsed="false" hidden="false" max="10" min="10" style="0" width="44.4251012145749"/>
    <col collapsed="false" hidden="false" max="1025" min="11" style="0" width="8.57085020242915"/>
  </cols>
  <sheetData>
    <row r="1" customFormat="false" ht="13.8" hidden="false" customHeight="false" outlineLevel="0" collapsed="false">
      <c r="B1" s="2" t="n">
        <f aca="false">(0.0000000011275/2/SQRT(2))^(2/5)</f>
        <v>0.000173871588877903</v>
      </c>
      <c r="C1" s="0" t="n">
        <f aca="false">218000000000*10*I21/3.2/344000/0.0000000000016</f>
        <v>0</v>
      </c>
      <c r="D1" s="0" t="n">
        <f aca="false">(0.0002)*(10000*53000*SQRT(100000000000000))^(2/5)</f>
        <v>389.708917383673</v>
      </c>
      <c r="E1" s="0" t="n">
        <f aca="false">0.05</f>
        <v>0.05</v>
      </c>
      <c r="F1" s="3" t="s">
        <v>0</v>
      </c>
      <c r="G1" s="3"/>
    </row>
    <row r="2" customFormat="false" ht="16.15" hidden="false" customHeight="false" outlineLevel="0" collapsed="false">
      <c r="C2" s="2" t="n">
        <f aca="false">0.000272/0.0000000000403*10^8</f>
        <v>674937965260546</v>
      </c>
      <c r="D2" s="2" t="e">
        <f aca="false">0.000272/0.0000000000403*G5*G5/200</f>
        <v>#VALUE!</v>
      </c>
      <c r="F2" s="4" t="s">
        <v>1</v>
      </c>
      <c r="G2" s="4"/>
    </row>
    <row r="3" customFormat="false" ht="18.55" hidden="false" customHeight="false" outlineLevel="0" collapsed="false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4</v>
      </c>
    </row>
    <row r="4" customFormat="false" ht="19.7" hidden="false" customHeight="false" outlineLevel="0" collapsed="false">
      <c r="B4" s="79" t="s">
        <v>7</v>
      </c>
      <c r="C4" s="80" t="s">
        <v>8</v>
      </c>
      <c r="D4" s="81" t="s">
        <v>9</v>
      </c>
      <c r="E4" s="82" t="s">
        <v>10</v>
      </c>
      <c r="F4" s="83" t="n">
        <v>200</v>
      </c>
      <c r="G4" s="84" t="str">
        <f aca="false">D4</f>
        <v>Te</v>
      </c>
    </row>
    <row r="5" customFormat="false" ht="19.7" hidden="false" customHeight="false" outlineLevel="0" collapsed="false">
      <c r="B5" s="85"/>
      <c r="C5" s="86" t="s">
        <v>11</v>
      </c>
      <c r="D5" s="87" t="s">
        <v>12</v>
      </c>
      <c r="E5" s="88" t="s">
        <v>13</v>
      </c>
      <c r="F5" s="89" t="n">
        <v>53000</v>
      </c>
      <c r="G5" s="90" t="str">
        <f aca="false">D5</f>
        <v>B</v>
      </c>
    </row>
    <row r="6" customFormat="false" ht="13.8" hidden="false" customHeight="false" outlineLevel="0" collapsed="false">
      <c r="B6" s="12" t="s">
        <v>7</v>
      </c>
      <c r="C6" s="13" t="s">
        <v>14</v>
      </c>
      <c r="D6" s="14" t="s">
        <v>15</v>
      </c>
      <c r="E6" s="15" t="s">
        <v>16</v>
      </c>
      <c r="F6" s="18" t="n">
        <v>100000000000000</v>
      </c>
      <c r="G6" s="17" t="str">
        <f aca="false">D6</f>
        <v>n_bgrn</v>
      </c>
    </row>
    <row r="7" customFormat="false" ht="13.8" hidden="false" customHeight="false" outlineLevel="0" collapsed="false">
      <c r="B7" s="12"/>
      <c r="C7" s="13" t="s">
        <v>17</v>
      </c>
      <c r="D7" s="14" t="s">
        <v>18</v>
      </c>
      <c r="E7" s="15" t="s">
        <v>16</v>
      </c>
      <c r="F7" s="19" t="n">
        <f aca="false">F6*F8</f>
        <v>200000000000000</v>
      </c>
      <c r="G7" s="17" t="str">
        <f aca="false">D7</f>
        <v>n_blob</v>
      </c>
    </row>
    <row r="8" customFormat="false" ht="13.8" hidden="false" customHeight="false" outlineLevel="0" collapsed="false">
      <c r="B8" s="12" t="s">
        <v>19</v>
      </c>
      <c r="C8" s="13" t="s">
        <v>20</v>
      </c>
      <c r="D8" s="14" t="s">
        <v>21</v>
      </c>
      <c r="E8" s="15"/>
      <c r="F8" s="10" t="n">
        <v>2</v>
      </c>
      <c r="G8" s="17" t="str">
        <f aca="false">D8</f>
        <v>scale_n</v>
      </c>
    </row>
    <row r="9" customFormat="false" ht="13.8" hidden="false" customHeight="false" outlineLevel="0" collapsed="false">
      <c r="B9" s="12"/>
      <c r="C9" s="13"/>
      <c r="D9" s="14"/>
      <c r="E9" s="15"/>
      <c r="F9" s="20"/>
      <c r="G9" s="17"/>
    </row>
    <row r="10" customFormat="false" ht="13.8" hidden="false" customHeight="false" outlineLevel="0" collapsed="false">
      <c r="B10" s="12"/>
      <c r="C10" s="13" t="s">
        <v>22</v>
      </c>
      <c r="D10" s="14" t="s">
        <v>23</v>
      </c>
      <c r="E10" s="15" t="s">
        <v>24</v>
      </c>
      <c r="F10" s="20" t="n">
        <v>620</v>
      </c>
      <c r="G10" s="17" t="str">
        <f aca="false">D10</f>
        <v>R_c</v>
      </c>
    </row>
    <row r="11" customFormat="false" ht="13.8" hidden="false" customHeight="false" outlineLevel="0" collapsed="false">
      <c r="B11" s="12"/>
      <c r="C11" s="13" t="s">
        <v>25</v>
      </c>
      <c r="D11" s="14" t="s">
        <v>26</v>
      </c>
      <c r="E11" s="15" t="s">
        <v>24</v>
      </c>
      <c r="F11" s="20" t="n">
        <f aca="false">F15/F17</f>
        <v>8.4</v>
      </c>
      <c r="G11" s="17" t="str">
        <f aca="false">D11</f>
        <v>wd</v>
      </c>
    </row>
    <row r="12" customFormat="false" ht="19.7" hidden="false" customHeight="false" outlineLevel="0" collapsed="false">
      <c r="B12" s="12"/>
      <c r="C12" s="86" t="s">
        <v>27</v>
      </c>
      <c r="D12" s="87" t="s">
        <v>28</v>
      </c>
      <c r="E12" s="88"/>
      <c r="F12" s="91" t="n">
        <v>2</v>
      </c>
      <c r="G12" s="90" t="str">
        <f aca="false">D12</f>
        <v>A</v>
      </c>
    </row>
    <row r="13" customFormat="false" ht="13.8" hidden="false" customHeight="false" outlineLevel="0" collapsed="false">
      <c r="B13" s="12"/>
      <c r="C13" s="13" t="s">
        <v>29</v>
      </c>
      <c r="D13" s="14" t="s">
        <v>30</v>
      </c>
      <c r="E13" s="15"/>
      <c r="F13" s="20" t="n">
        <v>7.7</v>
      </c>
      <c r="G13" s="17" t="str">
        <f aca="false">D13</f>
        <v>q</v>
      </c>
    </row>
    <row r="14" customFormat="false" ht="13.8" hidden="false" customHeight="false" outlineLevel="0" collapsed="false">
      <c r="B14" s="12"/>
      <c r="C14" s="13" t="s">
        <v>31</v>
      </c>
      <c r="D14" s="14" t="s">
        <v>32</v>
      </c>
      <c r="E14" s="15"/>
      <c r="F14" s="20" t="n">
        <f aca="false">F18</f>
        <v>1.00987418322841</v>
      </c>
      <c r="G14" s="17" t="str">
        <f aca="false">D14</f>
        <v>delta/deltastar</v>
      </c>
    </row>
    <row r="15" customFormat="false" ht="13.8" hidden="false" customHeight="false" outlineLevel="0" collapsed="false">
      <c r="B15" s="12"/>
      <c r="C15" s="13" t="s">
        <v>33</v>
      </c>
      <c r="D15" s="14" t="s">
        <v>34</v>
      </c>
      <c r="E15" s="15"/>
      <c r="F15" s="20" t="n">
        <v>0.84</v>
      </c>
      <c r="G15" s="17" t="str">
        <f aca="false">D15</f>
        <v>r</v>
      </c>
    </row>
    <row r="16" customFormat="false" ht="13.8" hidden="false" customHeight="false" outlineLevel="0" collapsed="false">
      <c r="B16" s="12"/>
      <c r="C16" s="13" t="s">
        <v>35</v>
      </c>
      <c r="D16" s="14" t="s">
        <v>36</v>
      </c>
      <c r="E16" s="15"/>
      <c r="F16" s="20" t="n">
        <v>0.3</v>
      </c>
      <c r="G16" s="17" t="str">
        <f aca="false">D16</f>
        <v>Lb/L</v>
      </c>
    </row>
    <row r="17" customFormat="false" ht="13.8" hidden="false" customHeight="false" outlineLevel="0" collapsed="false">
      <c r="B17" s="1"/>
      <c r="C17" s="21" t="s">
        <v>37</v>
      </c>
      <c r="D17" s="22" t="s">
        <v>38</v>
      </c>
      <c r="E17" s="21"/>
      <c r="F17" s="20" t="n">
        <v>0.1</v>
      </c>
      <c r="G17" s="22" t="str">
        <f aca="false">D17</f>
        <v>xswd</v>
      </c>
    </row>
    <row r="18" customFormat="false" ht="16.15" hidden="false" customHeight="false" outlineLevel="0" collapsed="false">
      <c r="B18" s="4" t="s">
        <v>39</v>
      </c>
      <c r="C18" s="4"/>
      <c r="D18" s="4"/>
      <c r="E18" s="4"/>
      <c r="F18" s="4" t="n">
        <f aca="false">F15/F44</f>
        <v>1.00987418322841</v>
      </c>
      <c r="G18" s="4"/>
    </row>
    <row r="19" customFormat="false" ht="13.8" hidden="false" customHeight="false" outlineLevel="0" collapsed="false">
      <c r="B19" s="23"/>
      <c r="C19" s="24" t="s">
        <v>40</v>
      </c>
      <c r="D19" s="25" t="s">
        <v>41</v>
      </c>
      <c r="E19" s="26" t="s">
        <v>42</v>
      </c>
      <c r="F19" s="27" t="n">
        <v>4.8032E-010</v>
      </c>
      <c r="G19" s="28" t="str">
        <f aca="false">D19</f>
        <v>qe</v>
      </c>
    </row>
    <row r="20" customFormat="false" ht="13.8" hidden="false" customHeight="false" outlineLevel="0" collapsed="false">
      <c r="B20" s="29"/>
      <c r="C20" s="30" t="s">
        <v>40</v>
      </c>
      <c r="D20" s="31" t="s">
        <v>41</v>
      </c>
      <c r="E20" s="32" t="s">
        <v>43</v>
      </c>
      <c r="F20" s="27" t="n">
        <v>1.6022E-019</v>
      </c>
      <c r="G20" s="33" t="str">
        <f aca="false">D20</f>
        <v>qe</v>
      </c>
    </row>
    <row r="21" customFormat="false" ht="13.8" hidden="false" customHeight="false" outlineLevel="0" collapsed="false">
      <c r="B21" s="34"/>
      <c r="C21" s="35" t="s">
        <v>44</v>
      </c>
      <c r="D21" s="36" t="s">
        <v>45</v>
      </c>
      <c r="E21" s="37" t="s">
        <v>46</v>
      </c>
      <c r="F21" s="27" t="n">
        <v>9.1094E-028</v>
      </c>
      <c r="G21" s="38" t="str">
        <f aca="false">D21</f>
        <v>me</v>
      </c>
    </row>
    <row r="22" customFormat="false" ht="13.8" hidden="false" customHeight="false" outlineLevel="0" collapsed="false">
      <c r="B22" s="34"/>
      <c r="C22" s="35" t="s">
        <v>47</v>
      </c>
      <c r="D22" s="36" t="s">
        <v>48</v>
      </c>
      <c r="E22" s="37" t="s">
        <v>46</v>
      </c>
      <c r="F22" s="27" t="n">
        <v>1.6726E-024</v>
      </c>
      <c r="G22" s="38" t="str">
        <f aca="false">D22</f>
        <v>mpn</v>
      </c>
    </row>
    <row r="23" customFormat="false" ht="13.8" hidden="false" customHeight="false" outlineLevel="0" collapsed="false">
      <c r="B23" s="34"/>
      <c r="C23" s="35" t="s">
        <v>49</v>
      </c>
      <c r="D23" s="36" t="s">
        <v>50</v>
      </c>
      <c r="E23" s="37" t="s">
        <v>51</v>
      </c>
      <c r="F23" s="27" t="n">
        <v>29979000000</v>
      </c>
      <c r="G23" s="38" t="str">
        <f aca="false">D23</f>
        <v>c</v>
      </c>
    </row>
    <row r="24" customFormat="false" ht="18.55" hidden="false" customHeight="false" outlineLevel="0" collapsed="false">
      <c r="B24" s="5" t="s">
        <v>52</v>
      </c>
      <c r="C24" s="5"/>
      <c r="D24" s="5"/>
      <c r="E24" s="5"/>
      <c r="F24" s="5"/>
      <c r="G24" s="5"/>
    </row>
    <row r="25" customFormat="false" ht="13.8" hidden="false" customHeight="false" outlineLevel="0" collapsed="false">
      <c r="B25" s="39" t="s">
        <v>53</v>
      </c>
      <c r="C25" s="40" t="s">
        <v>54</v>
      </c>
      <c r="D25" s="41" t="s">
        <v>55</v>
      </c>
      <c r="E25" s="42" t="s">
        <v>56</v>
      </c>
      <c r="F25" s="43" t="n">
        <f aca="false">2*F26*F26/F10</f>
        <v>309174516129.032</v>
      </c>
      <c r="G25" s="44" t="str">
        <f aca="false">D25</f>
        <v>g</v>
      </c>
    </row>
    <row r="26" customFormat="false" ht="19.7" hidden="false" customHeight="false" outlineLevel="0" collapsed="false">
      <c r="B26" s="92" t="s">
        <v>57</v>
      </c>
      <c r="C26" s="93" t="s">
        <v>58</v>
      </c>
      <c r="D26" s="94" t="s">
        <v>59</v>
      </c>
      <c r="E26" s="95" t="s">
        <v>51</v>
      </c>
      <c r="F26" s="96" t="n">
        <f aca="false">979000*SQRT(F4/F12)</f>
        <v>9790000</v>
      </c>
      <c r="G26" s="97" t="str">
        <f aca="false">D26</f>
        <v>c_s</v>
      </c>
    </row>
    <row r="27" customFormat="false" ht="13.8" hidden="false" customHeight="false" outlineLevel="0" collapsed="false">
      <c r="B27" s="39" t="s">
        <v>60</v>
      </c>
      <c r="C27" s="45" t="s">
        <v>61</v>
      </c>
      <c r="D27" s="46" t="s">
        <v>62</v>
      </c>
      <c r="E27" s="47" t="s">
        <v>51</v>
      </c>
      <c r="F27" s="43" t="n">
        <f aca="false">F26*(F41*F41*F42/F10^3)^(1/5)</f>
        <v>384322.538857317</v>
      </c>
      <c r="G27" s="48" t="str">
        <f aca="false">D27</f>
        <v>v*(delta*_ref)</v>
      </c>
    </row>
    <row r="28" customFormat="false" ht="13.8" hidden="false" customHeight="false" outlineLevel="0" collapsed="false">
      <c r="B28" s="39" t="s">
        <v>63</v>
      </c>
      <c r="C28" s="45" t="s">
        <v>64</v>
      </c>
      <c r="D28" s="46" t="s">
        <v>65</v>
      </c>
      <c r="E28" s="47" t="s">
        <v>51</v>
      </c>
      <c r="F28" s="43" t="n">
        <f aca="false">F26*F42/F10*(F41/F47)^2</f>
        <v>497248.307064077</v>
      </c>
      <c r="G28" s="48" t="str">
        <f aca="false">D28</f>
        <v>vb(Sheath)</v>
      </c>
    </row>
    <row r="29" customFormat="false" ht="13.8" hidden="false" customHeight="false" outlineLevel="0" collapsed="false">
      <c r="B29" s="39" t="s">
        <v>66</v>
      </c>
      <c r="C29" s="45" t="s">
        <v>67</v>
      </c>
      <c r="D29" s="46" t="s">
        <v>68</v>
      </c>
      <c r="E29" s="47" t="s">
        <v>51</v>
      </c>
      <c r="F29" s="43" t="n">
        <f aca="false">F26*(F47/F10)^(1/2)</f>
        <v>360351.629348604</v>
      </c>
      <c r="G29" s="48" t="str">
        <f aca="false">D29</f>
        <v>vb(RB)</v>
      </c>
    </row>
    <row r="30" customFormat="false" ht="13.8" hidden="false" customHeight="false" outlineLevel="0" collapsed="false">
      <c r="B30" s="39" t="s">
        <v>69</v>
      </c>
      <c r="C30" s="45" t="s">
        <v>70</v>
      </c>
      <c r="D30" s="46" t="s">
        <v>71</v>
      </c>
      <c r="E30" s="47" t="s">
        <v>51</v>
      </c>
      <c r="F30" s="43" t="n">
        <f aca="false">F13*F26^2/F36</f>
        <v>1564585.75116271</v>
      </c>
      <c r="G30" s="48" t="str">
        <f aca="false">D30</f>
        <v>vb(RXEM)</v>
      </c>
    </row>
    <row r="31" customFormat="false" ht="19.7" hidden="false" customHeight="false" outlineLevel="0" collapsed="false">
      <c r="B31" s="92"/>
      <c r="C31" s="93" t="s">
        <v>73</v>
      </c>
      <c r="D31" s="94" t="s">
        <v>74</v>
      </c>
      <c r="E31" s="95" t="s">
        <v>51</v>
      </c>
      <c r="F31" s="96" t="n">
        <f aca="false">F26*F41/F46</f>
        <v>376822.641509434</v>
      </c>
      <c r="G31" s="97" t="s">
        <v>341</v>
      </c>
    </row>
    <row r="32" customFormat="false" ht="13.8" hidden="false" customHeight="false" outlineLevel="0" collapsed="false">
      <c r="B32" s="39" t="s">
        <v>72</v>
      </c>
      <c r="C32" s="45" t="s">
        <v>73</v>
      </c>
      <c r="D32" s="46" t="s">
        <v>74</v>
      </c>
      <c r="E32" s="47" t="s">
        <v>51</v>
      </c>
      <c r="F32" s="43" t="n">
        <f aca="false">F26*F41/F47</f>
        <v>448598.382749326</v>
      </c>
      <c r="G32" s="48" t="str">
        <f aca="false">D32</f>
        <v>v_driftwave</v>
      </c>
    </row>
    <row r="33" customFormat="false" ht="13.8" hidden="false" customHeight="false" outlineLevel="0" collapsed="false">
      <c r="B33" s="39" t="s">
        <v>75</v>
      </c>
      <c r="C33" s="45" t="s">
        <v>76</v>
      </c>
      <c r="D33" s="46" t="s">
        <v>77</v>
      </c>
      <c r="E33" s="47" t="s">
        <v>51</v>
      </c>
      <c r="F33" s="43" t="n">
        <f aca="false">41900000*SQRT(F4)</f>
        <v>592555482.634327</v>
      </c>
      <c r="G33" s="48" t="str">
        <f aca="false">D33</f>
        <v>Ve</v>
      </c>
    </row>
    <row r="34" customFormat="false" ht="13.8" hidden="false" customHeight="false" outlineLevel="0" collapsed="false">
      <c r="B34" s="39"/>
      <c r="C34" s="45" t="s">
        <v>78</v>
      </c>
      <c r="D34" s="46" t="s">
        <v>79</v>
      </c>
      <c r="E34" s="47" t="s">
        <v>51</v>
      </c>
      <c r="F34" s="43" t="n">
        <f aca="false">F37*F37/F57/F42</f>
        <v>8750364.82253996</v>
      </c>
      <c r="G34" s="48" t="str">
        <f aca="false">D34</f>
        <v>Vpara(ES)</v>
      </c>
    </row>
    <row r="35" customFormat="false" ht="13.8" hidden="false" customHeight="false" outlineLevel="0" collapsed="false">
      <c r="B35" s="39" t="s">
        <v>80</v>
      </c>
      <c r="C35" s="45" t="s">
        <v>81</v>
      </c>
      <c r="D35" s="46" t="s">
        <v>82</v>
      </c>
      <c r="E35" s="47" t="s">
        <v>51</v>
      </c>
      <c r="F35" s="43" t="n">
        <f aca="false">F26*F41/F47</f>
        <v>448598.382749326</v>
      </c>
      <c r="G35" s="48" t="str">
        <f aca="false">D35</f>
        <v>V_E</v>
      </c>
    </row>
    <row r="36" customFormat="false" ht="13.8" hidden="false" customHeight="false" outlineLevel="0" collapsed="false">
      <c r="B36" s="39" t="s">
        <v>83</v>
      </c>
      <c r="C36" s="45" t="s">
        <v>84</v>
      </c>
      <c r="D36" s="46" t="s">
        <v>85</v>
      </c>
      <c r="E36" s="47" t="s">
        <v>51</v>
      </c>
      <c r="F36" s="43" t="n">
        <f aca="false">218000000000/SQRT(F12*F6*(1+F8))*F5</f>
        <v>471690074.801947</v>
      </c>
      <c r="G36" s="48" t="str">
        <f aca="false">D36</f>
        <v>Va_blob</v>
      </c>
    </row>
    <row r="37" customFormat="false" ht="13.8" hidden="false" customHeight="false" outlineLevel="0" collapsed="false">
      <c r="B37" s="39"/>
      <c r="C37" s="45" t="s">
        <v>84</v>
      </c>
      <c r="D37" s="46" t="s">
        <v>86</v>
      </c>
      <c r="E37" s="47" t="s">
        <v>51</v>
      </c>
      <c r="F37" s="43" t="n">
        <f aca="false">218000000000/SQRT(F12*F6*(1+F8/2))*F5</f>
        <v>577700000</v>
      </c>
      <c r="G37" s="48" t="str">
        <f aca="false">D37</f>
        <v>Va_ave</v>
      </c>
    </row>
    <row r="38" customFormat="false" ht="13.8" hidden="false" customHeight="false" outlineLevel="0" collapsed="false">
      <c r="B38" s="39" t="s">
        <v>87</v>
      </c>
      <c r="C38" s="45" t="s">
        <v>88</v>
      </c>
      <c r="D38" s="46" t="s">
        <v>89</v>
      </c>
      <c r="E38" s="47" t="s">
        <v>51</v>
      </c>
      <c r="F38" s="43" t="n">
        <f aca="false">218000000000/SQRT(F12*F6)*F5</f>
        <v>816991174.982937</v>
      </c>
      <c r="G38" s="48" t="str">
        <f aca="false">D38</f>
        <v>Va_bgrn</v>
      </c>
    </row>
    <row r="39" customFormat="false" ht="13.8" hidden="false" customHeight="false" outlineLevel="0" collapsed="false">
      <c r="B39" s="39" t="s">
        <v>90</v>
      </c>
      <c r="C39" s="45" t="s">
        <v>91</v>
      </c>
      <c r="D39" s="46" t="s">
        <v>92</v>
      </c>
      <c r="E39" s="47" t="s">
        <v>93</v>
      </c>
      <c r="F39" s="43" t="n">
        <f aca="false">2*PI()/F48</f>
        <v>6.51170298626086</v>
      </c>
      <c r="G39" s="48" t="str">
        <f aca="false">D39</f>
        <v>k_perp_min</v>
      </c>
    </row>
    <row r="40" customFormat="false" ht="13.8" hidden="false" customHeight="false" outlineLevel="0" collapsed="false">
      <c r="B40" s="39" t="s">
        <v>94</v>
      </c>
      <c r="C40" s="45" t="s">
        <v>95</v>
      </c>
      <c r="D40" s="46" t="s">
        <v>96</v>
      </c>
      <c r="E40" s="47" t="s">
        <v>93</v>
      </c>
      <c r="F40" s="43" t="n">
        <f aca="false">2*PI()/F42</f>
        <v>0.000418935902806871</v>
      </c>
      <c r="G40" s="48" t="str">
        <f aca="false">D40</f>
        <v>k_parallel_min</v>
      </c>
    </row>
    <row r="41" customFormat="false" ht="19.7" hidden="false" customHeight="false" outlineLevel="0" collapsed="false">
      <c r="B41" s="92" t="s">
        <v>97</v>
      </c>
      <c r="C41" s="93" t="s">
        <v>98</v>
      </c>
      <c r="D41" s="94" t="s">
        <v>99</v>
      </c>
      <c r="E41" s="95" t="s">
        <v>24</v>
      </c>
      <c r="F41" s="96" t="n">
        <f aca="false">102*SQRT(F12*F4)/F5</f>
        <v>0.0384905660377358</v>
      </c>
      <c r="G41" s="97" t="str">
        <f aca="false">D41</f>
        <v>rho_s</v>
      </c>
    </row>
    <row r="42" customFormat="false" ht="13.8" hidden="false" customHeight="false" outlineLevel="0" collapsed="false">
      <c r="B42" s="39" t="s">
        <v>100</v>
      </c>
      <c r="C42" s="45" t="s">
        <v>101</v>
      </c>
      <c r="D42" s="46" t="s">
        <v>102</v>
      </c>
      <c r="E42" s="47" t="s">
        <v>24</v>
      </c>
      <c r="F42" s="43" t="n">
        <f aca="false">F13*PI()*F10</f>
        <v>14997.9633282377</v>
      </c>
      <c r="G42" s="48" t="str">
        <f aca="false">D42</f>
        <v>L</v>
      </c>
    </row>
    <row r="43" customFormat="false" ht="13.8" hidden="false" customHeight="false" outlineLevel="0" collapsed="false">
      <c r="B43" s="39" t="s">
        <v>103</v>
      </c>
      <c r="C43" s="45" t="s">
        <v>104</v>
      </c>
      <c r="D43" s="46" t="s">
        <v>105</v>
      </c>
      <c r="E43" s="47" t="s">
        <v>24</v>
      </c>
      <c r="F43" s="43" t="n">
        <f aca="false">F16*F42</f>
        <v>4499.3889984713</v>
      </c>
      <c r="G43" s="48" t="str">
        <f aca="false">D43</f>
        <v>Lb</v>
      </c>
    </row>
    <row r="44" customFormat="false" ht="13.8" hidden="false" customHeight="false" outlineLevel="0" collapsed="false">
      <c r="B44" s="39" t="s">
        <v>106</v>
      </c>
      <c r="C44" s="45" t="s">
        <v>107</v>
      </c>
      <c r="D44" s="46" t="s">
        <v>108</v>
      </c>
      <c r="E44" s="47" t="s">
        <v>24</v>
      </c>
      <c r="F44" s="43" t="n">
        <f aca="false">F41*(F25*F42*F42/(4*F26*F26*F41))^(0.2)</f>
        <v>0.831786784879136</v>
      </c>
      <c r="G44" s="48" t="str">
        <f aca="false">D44</f>
        <v>delta*</v>
      </c>
    </row>
    <row r="45" customFormat="false" ht="13.8" hidden="false" customHeight="false" outlineLevel="0" collapsed="false">
      <c r="B45" s="39" t="s">
        <v>109</v>
      </c>
      <c r="C45" s="45" t="s">
        <v>110</v>
      </c>
      <c r="D45" s="46" t="s">
        <v>111</v>
      </c>
      <c r="E45" s="47" t="s">
        <v>24</v>
      </c>
      <c r="F45" s="43" t="n">
        <f aca="false">F41^(4/5)*F42^(2/5)/F10^(1/5)</f>
        <v>0.955472111498936</v>
      </c>
      <c r="G45" s="48" t="str">
        <f aca="false">D45</f>
        <v>delta*_ref</v>
      </c>
    </row>
    <row r="46" customFormat="false" ht="19.7" hidden="false" customHeight="false" outlineLevel="0" collapsed="false">
      <c r="B46" s="92"/>
      <c r="C46" s="93" t="s">
        <v>342</v>
      </c>
      <c r="D46" s="94" t="s">
        <v>343</v>
      </c>
      <c r="E46" s="95" t="s">
        <v>24</v>
      </c>
      <c r="F46" s="96" t="n">
        <v>1</v>
      </c>
      <c r="G46" s="97" t="s">
        <v>343</v>
      </c>
    </row>
    <row r="47" customFormat="false" ht="13.8" hidden="false" customHeight="false" outlineLevel="0" collapsed="false">
      <c r="B47" s="39" t="s">
        <v>112</v>
      </c>
      <c r="C47" s="45" t="s">
        <v>113</v>
      </c>
      <c r="D47" s="46" t="s">
        <v>114</v>
      </c>
      <c r="E47" s="47" t="s">
        <v>24</v>
      </c>
      <c r="F47" s="43" t="n">
        <f aca="false">F14*F44</f>
        <v>0.84</v>
      </c>
      <c r="G47" s="48" t="str">
        <f aca="false">D47</f>
        <v>delta</v>
      </c>
    </row>
    <row r="48" customFormat="false" ht="13.8" hidden="false" customHeight="false" outlineLevel="0" collapsed="false">
      <c r="B48" s="39" t="s">
        <v>112</v>
      </c>
      <c r="C48" s="45" t="s">
        <v>115</v>
      </c>
      <c r="D48" s="46" t="s">
        <v>116</v>
      </c>
      <c r="E48" s="47" t="s">
        <v>24</v>
      </c>
      <c r="F48" s="43" t="n">
        <f aca="false">F14*F45</f>
        <v>0.964906618197509</v>
      </c>
      <c r="G48" s="48" t="str">
        <f aca="false">D48</f>
        <v>delta_ref</v>
      </c>
    </row>
    <row r="49" customFormat="false" ht="13.8" hidden="false" customHeight="false" outlineLevel="0" collapsed="false">
      <c r="B49" s="39" t="s">
        <v>117</v>
      </c>
      <c r="C49" s="45" t="s">
        <v>118</v>
      </c>
      <c r="D49" s="46" t="s">
        <v>119</v>
      </c>
      <c r="E49" s="47" t="s">
        <v>24</v>
      </c>
      <c r="F49" s="43" t="n">
        <f aca="false">F42^2*F103/F10</f>
        <v>312.303925091183</v>
      </c>
      <c r="G49" s="48" t="str">
        <f aca="false">D49</f>
        <v>delta_bending</v>
      </c>
    </row>
    <row r="50" customFormat="false" ht="13.8" hidden="false" customHeight="false" outlineLevel="0" collapsed="false">
      <c r="B50" s="39" t="s">
        <v>120</v>
      </c>
      <c r="C50" s="45" t="s">
        <v>121</v>
      </c>
      <c r="D50" s="46" t="s">
        <v>122</v>
      </c>
      <c r="E50" s="47" t="s">
        <v>24</v>
      </c>
      <c r="F50" s="43" t="n">
        <f aca="false">2820000000000*F4*F4/(F6*(1+F8))</f>
        <v>376</v>
      </c>
      <c r="G50" s="48" t="str">
        <f aca="false">D50</f>
        <v>lambda_e_blob</v>
      </c>
    </row>
    <row r="51" customFormat="false" ht="13.8" hidden="false" customHeight="false" outlineLevel="0" collapsed="false">
      <c r="B51" s="39" t="s">
        <v>123</v>
      </c>
      <c r="C51" s="45" t="s">
        <v>124</v>
      </c>
      <c r="D51" s="46" t="s">
        <v>125</v>
      </c>
      <c r="E51" s="47" t="s">
        <v>24</v>
      </c>
      <c r="F51" s="43" t="n">
        <f aca="false">2820000000000*F4*F4/(F6*(1+0))</f>
        <v>1128</v>
      </c>
      <c r="G51" s="48" t="str">
        <f aca="false">D51</f>
        <v>lambda_e_bgrn</v>
      </c>
      <c r="I51" s="2"/>
    </row>
    <row r="52" customFormat="false" ht="13.8" hidden="false" customHeight="false" outlineLevel="0" collapsed="false">
      <c r="B52" s="39" t="s">
        <v>126</v>
      </c>
      <c r="C52" s="45" t="s">
        <v>127</v>
      </c>
      <c r="D52" s="46" t="s">
        <v>128</v>
      </c>
      <c r="E52" s="47" t="s">
        <v>24</v>
      </c>
      <c r="F52" s="43" t="n">
        <f aca="false">743*F4^(1/2)*F7^(-1/2)</f>
        <v>0.000743</v>
      </c>
      <c r="G52" s="48" t="str">
        <f aca="false">D52</f>
        <v>lambda_D</v>
      </c>
    </row>
    <row r="53" customFormat="false" ht="13.8" hidden="false" customHeight="false" outlineLevel="0" collapsed="false">
      <c r="B53" s="39" t="s">
        <v>129</v>
      </c>
      <c r="C53" s="45" t="s">
        <v>130</v>
      </c>
      <c r="D53" s="46" t="s">
        <v>131</v>
      </c>
      <c r="E53" s="47" t="s">
        <v>132</v>
      </c>
      <c r="F53" s="43" t="n">
        <f aca="false">9580*F5/F12</f>
        <v>253870000</v>
      </c>
      <c r="G53" s="48" t="str">
        <f aca="false">D53</f>
        <v>omega_i</v>
      </c>
    </row>
    <row r="54" customFormat="false" ht="13.8" hidden="false" customHeight="false" outlineLevel="0" collapsed="false">
      <c r="B54" s="39" t="s">
        <v>133</v>
      </c>
      <c r="C54" s="45" t="s">
        <v>134</v>
      </c>
      <c r="D54" s="46" t="s">
        <v>135</v>
      </c>
      <c r="E54" s="47" t="s">
        <v>132</v>
      </c>
      <c r="F54" s="43" t="n">
        <f aca="false">SQRT(F25/(F44*F14))</f>
        <v>606683.525533379</v>
      </c>
      <c r="G54" s="48" t="str">
        <f aca="false">D54</f>
        <v>omega_g</v>
      </c>
    </row>
    <row r="55" customFormat="false" ht="13.8" hidden="false" customHeight="false" outlineLevel="0" collapsed="false">
      <c r="B55" s="39" t="s">
        <v>136</v>
      </c>
      <c r="C55" s="45" t="s">
        <v>137</v>
      </c>
      <c r="D55" s="46" t="s">
        <v>138</v>
      </c>
      <c r="E55" s="47" t="s">
        <v>132</v>
      </c>
      <c r="F55" s="43" t="n">
        <f aca="false">F36/F42</f>
        <v>31450.2752459639</v>
      </c>
      <c r="G55" s="48" t="str">
        <f aca="false">D55</f>
        <v>omega_A</v>
      </c>
    </row>
    <row r="56" customFormat="false" ht="13.8" hidden="false" customHeight="false" outlineLevel="0" collapsed="false">
      <c r="B56" s="39" t="s">
        <v>344</v>
      </c>
      <c r="C56" s="45" t="s">
        <v>345</v>
      </c>
      <c r="D56" s="46" t="s">
        <v>346</v>
      </c>
      <c r="E56" s="47"/>
      <c r="F56" s="43"/>
      <c r="G56" s="48"/>
    </row>
    <row r="57" customFormat="false" ht="13.8" hidden="false" customHeight="false" outlineLevel="0" collapsed="false">
      <c r="B57" s="39" t="s">
        <v>139</v>
      </c>
      <c r="C57" s="45" t="s">
        <v>140</v>
      </c>
      <c r="D57" s="46" t="s">
        <v>141</v>
      </c>
      <c r="E57" s="47" t="s">
        <v>132</v>
      </c>
      <c r="F57" s="43" t="n">
        <f aca="false">F26*F41*F39/F48</f>
        <v>2542999.57501734</v>
      </c>
      <c r="G57" s="48" t="str">
        <f aca="false">D57</f>
        <v>omega*_min</v>
      </c>
    </row>
    <row r="58" customFormat="false" ht="13.8" hidden="false" customHeight="false" outlineLevel="0" collapsed="false">
      <c r="B58" s="39" t="s">
        <v>142</v>
      </c>
      <c r="C58" s="45"/>
      <c r="D58" s="46" t="s">
        <v>143</v>
      </c>
      <c r="E58" s="47" t="s">
        <v>132</v>
      </c>
      <c r="F58" s="43" t="n">
        <f aca="false">F26/F47</f>
        <v>11654761.9047619</v>
      </c>
      <c r="G58" s="48" t="str">
        <f aca="false">D58</f>
        <v>omega*hat</v>
      </c>
    </row>
    <row r="59" customFormat="false" ht="13.8" hidden="false" customHeight="false" outlineLevel="0" collapsed="false">
      <c r="B59" s="39" t="s">
        <v>144</v>
      </c>
      <c r="C59" s="45" t="s">
        <v>145</v>
      </c>
      <c r="D59" s="46" t="s">
        <v>146</v>
      </c>
      <c r="E59" s="47" t="s">
        <v>132</v>
      </c>
      <c r="F59" s="43" t="n">
        <f aca="false">(4*PI()*F7*F19^2/F21)^(1/2)</f>
        <v>797821460336.51</v>
      </c>
      <c r="G59" s="48" t="str">
        <f aca="false">D59</f>
        <v>omega_pe</v>
      </c>
    </row>
    <row r="60" customFormat="false" ht="13.8" hidden="false" customHeight="false" outlineLevel="0" collapsed="false">
      <c r="B60" s="39" t="s">
        <v>147</v>
      </c>
      <c r="C60" s="45" t="s">
        <v>148</v>
      </c>
      <c r="D60" s="46" t="s">
        <v>149</v>
      </c>
      <c r="E60" s="47" t="s">
        <v>132</v>
      </c>
      <c r="F60" s="43" t="n">
        <f aca="false">F6*(1+F8)*F19*F19*F50/(F33*F21)</f>
        <v>48211611394786600</v>
      </c>
      <c r="G60" s="48" t="str">
        <f aca="false">D60</f>
        <v>sig_par_blob</v>
      </c>
    </row>
    <row r="61" customFormat="false" ht="13.8" hidden="false" customHeight="false" outlineLevel="0" collapsed="false">
      <c r="B61" s="39" t="s">
        <v>150</v>
      </c>
      <c r="C61" s="45" t="s">
        <v>151</v>
      </c>
      <c r="D61" s="46" t="s">
        <v>152</v>
      </c>
      <c r="E61" s="47" t="s">
        <v>132</v>
      </c>
      <c r="F61" s="43" t="n">
        <f aca="false">F6*(1+0)*F19*F19*F51/(F33*F21)</f>
        <v>48211611394786600</v>
      </c>
      <c r="G61" s="48" t="str">
        <f aca="false">D61</f>
        <v>sig_par_bgrn</v>
      </c>
    </row>
    <row r="62" customFormat="false" ht="13.8" hidden="false" customHeight="false" outlineLevel="0" collapsed="false">
      <c r="B62" s="39" t="s">
        <v>153</v>
      </c>
      <c r="C62" s="45" t="s">
        <v>154</v>
      </c>
      <c r="D62" s="46" t="s">
        <v>155</v>
      </c>
      <c r="E62" s="47" t="s">
        <v>132</v>
      </c>
      <c r="F62" s="43" t="n">
        <f aca="false">F23*F23*F39*F39/(4*PI()*F60)</f>
        <v>62901.6357327868</v>
      </c>
      <c r="G62" s="48" t="str">
        <f aca="false">D62</f>
        <v>omega_sig</v>
      </c>
    </row>
    <row r="63" customFormat="false" ht="13.8" hidden="false" customHeight="false" outlineLevel="0" collapsed="false">
      <c r="B63" s="39" t="s">
        <v>156</v>
      </c>
      <c r="C63" s="45" t="s">
        <v>157</v>
      </c>
      <c r="D63" s="46" t="s">
        <v>158</v>
      </c>
      <c r="E63" s="47" t="s">
        <v>132</v>
      </c>
      <c r="F63" s="43" t="n">
        <f aca="false">F23*F23/(4*PI()*F61)/(2*F47)/(2*F47)</f>
        <v>525.598611764052</v>
      </c>
      <c r="G63" s="48" t="str">
        <f aca="false">D63</f>
        <v>omega_eta</v>
      </c>
    </row>
    <row r="64" customFormat="false" ht="13.8" hidden="false" customHeight="false" outlineLevel="0" collapsed="false">
      <c r="B64" s="39"/>
      <c r="C64" s="45" t="s">
        <v>159</v>
      </c>
      <c r="D64" s="46" t="s">
        <v>160</v>
      </c>
      <c r="E64" s="47" t="s">
        <v>161</v>
      </c>
      <c r="F64" s="43" t="n">
        <f aca="false">F63/(2*F29/F47)</f>
        <v>0.000612600024425995</v>
      </c>
      <c r="G64" s="48" t="str">
        <f aca="false">D64</f>
        <v>omega_eta/omega_perp</v>
      </c>
    </row>
    <row r="65" customFormat="false" ht="13.8" hidden="false" customHeight="false" outlineLevel="0" collapsed="false">
      <c r="B65" s="39" t="s">
        <v>162</v>
      </c>
      <c r="C65" s="45" t="s">
        <v>163</v>
      </c>
      <c r="D65" s="46" t="s">
        <v>164</v>
      </c>
      <c r="E65" s="47" t="s">
        <v>132</v>
      </c>
      <c r="F65" s="43" t="n">
        <f aca="false">0.51*4*SQRT(2*PI())*F7*F19^4*10/(3*F21^2*F33^3)</f>
        <v>1050956.92713266</v>
      </c>
      <c r="G65" s="48" t="str">
        <f aca="false">D65</f>
        <v>nu</v>
      </c>
    </row>
    <row r="66" customFormat="false" ht="13.8" hidden="false" customHeight="false" outlineLevel="0" collapsed="false">
      <c r="B66" s="39" t="s">
        <v>165</v>
      </c>
      <c r="C66" s="45" t="s">
        <v>166</v>
      </c>
      <c r="D66" s="46" t="s">
        <v>167</v>
      </c>
      <c r="E66" s="47" t="s">
        <v>10</v>
      </c>
      <c r="F66" s="43" t="n">
        <f aca="false">(F42*SQRT(F7)*10*F21*218000000000*F5/(3.2*344000*SQRT(F12)*0.0000000000016))^(2/5)</f>
        <v>603.907478692315</v>
      </c>
      <c r="G66" s="48" t="str">
        <f aca="false">D66</f>
        <v>Te_crit</v>
      </c>
    </row>
    <row r="67" customFormat="false" ht="13.8" hidden="false" customHeight="false" outlineLevel="0" collapsed="false">
      <c r="B67" s="39" t="s">
        <v>168</v>
      </c>
      <c r="C67" s="45" t="s">
        <v>169</v>
      </c>
      <c r="D67" s="46" t="s">
        <v>170</v>
      </c>
      <c r="E67" s="47" t="s">
        <v>171</v>
      </c>
      <c r="F67" s="43" t="n">
        <f aca="false">3.2*F33*F33*0.51/F65</f>
        <v>545246992722.538</v>
      </c>
      <c r="G67" s="48" t="str">
        <f aca="false">D67</f>
        <v>chi_par_electron</v>
      </c>
    </row>
    <row r="68" customFormat="false" ht="13.8" hidden="false" customHeight="false" outlineLevel="0" collapsed="false">
      <c r="B68" s="39" t="s">
        <v>172</v>
      </c>
      <c r="C68" s="45" t="s">
        <v>173</v>
      </c>
      <c r="D68" s="46" t="s">
        <v>174</v>
      </c>
      <c r="E68" s="47" t="s">
        <v>171</v>
      </c>
      <c r="F68" s="43" t="n">
        <f aca="false">4.7*0.0000000000016*F4/F21/(17600000*F5)^2*F65*1.96</f>
        <v>3.9086067455358</v>
      </c>
      <c r="G68" s="48" t="str">
        <f aca="false">D68</f>
        <v>chi_perp_electron</v>
      </c>
    </row>
    <row r="69" customFormat="false" ht="13.8" hidden="false" customHeight="false" outlineLevel="0" collapsed="false">
      <c r="B69" s="39" t="s">
        <v>175</v>
      </c>
      <c r="C69" s="45" t="s">
        <v>176</v>
      </c>
      <c r="D69" s="46" t="s">
        <v>177</v>
      </c>
      <c r="E69" s="47" t="s">
        <v>178</v>
      </c>
      <c r="F69" s="43" t="n">
        <f aca="false">F42/2*F42/2/F67</f>
        <v>0.00010313624238072</v>
      </c>
      <c r="G69" s="48" t="str">
        <f aca="false">D69</f>
        <v>tau_paralle_chie</v>
      </c>
    </row>
    <row r="70" customFormat="false" ht="13.8" hidden="false" customHeight="false" outlineLevel="0" collapsed="false">
      <c r="B70" s="39" t="s">
        <v>179</v>
      </c>
      <c r="C70" s="45" t="s">
        <v>180</v>
      </c>
      <c r="D70" s="46" t="s">
        <v>181</v>
      </c>
      <c r="E70" s="47" t="s">
        <v>178</v>
      </c>
      <c r="F70" s="43" t="n">
        <f aca="false">F42/2/F33</f>
        <v>1.26553240732506E-005</v>
      </c>
      <c r="G70" s="48" t="str">
        <f aca="false">D70</f>
        <v>tau_parallel_the</v>
      </c>
    </row>
    <row r="71" customFormat="false" ht="13.8" hidden="false" customHeight="false" outlineLevel="0" collapsed="false">
      <c r="B71" s="39"/>
      <c r="C71" s="45" t="s">
        <v>182</v>
      </c>
      <c r="D71" s="46" t="s">
        <v>183</v>
      </c>
      <c r="E71" s="47" t="s">
        <v>178</v>
      </c>
      <c r="F71" s="43" t="n">
        <f aca="false">F11*F11/F68</f>
        <v>18.0524684609394</v>
      </c>
      <c r="G71" s="48" t="str">
        <f aca="false">D71</f>
        <v>tau_perp_chie</v>
      </c>
    </row>
    <row r="72" customFormat="false" ht="13.8" hidden="false" customHeight="false" outlineLevel="0" collapsed="false">
      <c r="B72" s="39" t="s">
        <v>184</v>
      </c>
      <c r="C72" s="45" t="s">
        <v>185</v>
      </c>
      <c r="D72" s="46" t="s">
        <v>186</v>
      </c>
      <c r="E72" s="47" t="s">
        <v>178</v>
      </c>
      <c r="F72" s="43" t="n">
        <f aca="false">F42/2/F37</f>
        <v>1.29807541355701E-005</v>
      </c>
      <c r="G72" s="48" t="str">
        <f aca="false">D72</f>
        <v>tau_parallel</v>
      </c>
    </row>
    <row r="73" customFormat="false" ht="13.8" hidden="false" customHeight="false" outlineLevel="0" collapsed="false">
      <c r="B73" s="39" t="s">
        <v>187</v>
      </c>
      <c r="C73" s="45" t="s">
        <v>188</v>
      </c>
      <c r="D73" s="46" t="s">
        <v>189</v>
      </c>
      <c r="E73" s="47" t="s">
        <v>178</v>
      </c>
      <c r="F73" s="43" t="n">
        <f aca="false">F42/F26</f>
        <v>0.00153196765354828</v>
      </c>
      <c r="G73" s="48" t="str">
        <f aca="false">D73</f>
        <v>tau_cs_parallel</v>
      </c>
    </row>
    <row r="74" customFormat="false" ht="13.8" hidden="false" customHeight="false" outlineLevel="0" collapsed="false">
      <c r="B74" s="39"/>
      <c r="C74" s="45" t="s">
        <v>190</v>
      </c>
      <c r="D74" s="46" t="s">
        <v>191</v>
      </c>
      <c r="E74" s="47" t="s">
        <v>178</v>
      </c>
      <c r="F74" s="43" t="n">
        <f aca="false">F42/F33</f>
        <v>2.53106481465012E-005</v>
      </c>
      <c r="G74" s="48" t="str">
        <f aca="false">D74</f>
        <v>tau_te_parallel</v>
      </c>
    </row>
    <row r="75" customFormat="false" ht="13.8" hidden="false" customHeight="false" outlineLevel="0" collapsed="false">
      <c r="B75" s="39"/>
      <c r="C75" s="45" t="s">
        <v>192</v>
      </c>
      <c r="D75" s="46" t="s">
        <v>193</v>
      </c>
      <c r="E75" s="47" t="s">
        <v>178</v>
      </c>
      <c r="F75" s="43" t="n">
        <f aca="false">F42/F34</f>
        <v>0.00171398148904656</v>
      </c>
      <c r="G75" s="48" t="str">
        <f aca="false">D75</f>
        <v>tau_ES_parallel</v>
      </c>
    </row>
    <row r="76" customFormat="false" ht="13.8" hidden="false" customHeight="false" outlineLevel="0" collapsed="false">
      <c r="B76" s="39" t="s">
        <v>194</v>
      </c>
      <c r="C76" s="45" t="s">
        <v>195</v>
      </c>
      <c r="D76" s="46" t="s">
        <v>196</v>
      </c>
      <c r="E76" s="47" t="s">
        <v>178</v>
      </c>
      <c r="F76" s="43" t="n">
        <f aca="false">F11/2/F28</f>
        <v>8.44648426215511E-006</v>
      </c>
      <c r="G76" s="48" t="str">
        <f aca="false">D76</f>
        <v>tau_perp</v>
      </c>
    </row>
    <row r="77" customFormat="false" ht="13.8" hidden="false" customHeight="false" outlineLevel="0" collapsed="false">
      <c r="B77" s="39" t="s">
        <v>197</v>
      </c>
      <c r="C77" s="45" t="s">
        <v>198</v>
      </c>
      <c r="D77" s="46" t="s">
        <v>199</v>
      </c>
      <c r="E77" s="47" t="s">
        <v>178</v>
      </c>
      <c r="F77" s="43" t="n">
        <f aca="false">F11/2/F29</f>
        <v>1.1655282390681E-005</v>
      </c>
      <c r="G77" s="48" t="str">
        <f aca="false">D77</f>
        <v>tau_perp_RB</v>
      </c>
    </row>
    <row r="78" customFormat="false" ht="13.8" hidden="false" customHeight="false" outlineLevel="0" collapsed="false">
      <c r="B78" s="39" t="s">
        <v>200</v>
      </c>
      <c r="C78" s="45" t="s">
        <v>201</v>
      </c>
      <c r="D78" s="46" t="s">
        <v>202</v>
      </c>
      <c r="E78" s="47" t="s">
        <v>178</v>
      </c>
      <c r="F78" s="43" t="n">
        <f aca="false">F11/2/F30</f>
        <v>2.68441662393947E-006</v>
      </c>
      <c r="G78" s="48" t="str">
        <f aca="false">D78</f>
        <v>tau_perp_RXEM</v>
      </c>
    </row>
    <row r="79" customFormat="false" ht="13.8" hidden="false" customHeight="false" outlineLevel="0" collapsed="false">
      <c r="B79" s="39" t="s">
        <v>203</v>
      </c>
      <c r="C79" s="45" t="s">
        <v>204</v>
      </c>
      <c r="D79" s="46" t="s">
        <v>205</v>
      </c>
      <c r="E79" s="47" t="s">
        <v>178</v>
      </c>
      <c r="F79" s="43" t="n">
        <f aca="false">F47/F27</f>
        <v>2.18566416244418E-006</v>
      </c>
      <c r="G79" s="48" t="str">
        <f aca="false">D79</f>
        <v>tau_perp_delta_*</v>
      </c>
    </row>
    <row r="80" customFormat="false" ht="13.8" hidden="false" customHeight="false" outlineLevel="0" collapsed="false">
      <c r="B80" s="39" t="s">
        <v>203</v>
      </c>
      <c r="C80" s="45" t="s">
        <v>206</v>
      </c>
      <c r="D80" s="46" t="s">
        <v>207</v>
      </c>
      <c r="E80" s="47" t="s">
        <v>178</v>
      </c>
      <c r="F80" s="43" t="n">
        <f aca="false">F44/F27</f>
        <v>2.16429353155357E-006</v>
      </c>
      <c r="G80" s="48" t="str">
        <f aca="false">D80</f>
        <v>tau_perp_delta*_*</v>
      </c>
    </row>
    <row r="81" customFormat="false" ht="13.8" hidden="false" customHeight="false" outlineLevel="0" collapsed="false">
      <c r="B81" s="39" t="s">
        <v>208</v>
      </c>
      <c r="C81" s="45" t="s">
        <v>209</v>
      </c>
      <c r="D81" s="46" t="s">
        <v>210</v>
      </c>
      <c r="E81" s="47" t="s">
        <v>178</v>
      </c>
      <c r="F81" s="43" t="n">
        <f aca="false">F47/F32</f>
        <v>1.87249894850688E-006</v>
      </c>
      <c r="G81" s="48" t="str">
        <f aca="false">D81</f>
        <v>tau_drift</v>
      </c>
    </row>
    <row r="82" customFormat="false" ht="13.8" hidden="false" customHeight="false" outlineLevel="0" collapsed="false">
      <c r="B82" s="39"/>
      <c r="C82" s="45" t="s">
        <v>211</v>
      </c>
      <c r="D82" s="46" t="s">
        <v>212</v>
      </c>
      <c r="E82" s="47" t="s">
        <v>178</v>
      </c>
      <c r="F82" s="43" t="n">
        <f aca="false">F45/F27</f>
        <v>2.48612041942631E-006</v>
      </c>
      <c r="G82" s="48" t="str">
        <f aca="false">D82</f>
        <v>tau_star ref</v>
      </c>
    </row>
    <row r="83" customFormat="false" ht="13.8" hidden="false" customHeight="false" outlineLevel="0" collapsed="false">
      <c r="B83" s="39" t="s">
        <v>213</v>
      </c>
      <c r="C83" s="45" t="s">
        <v>214</v>
      </c>
      <c r="D83" s="46" t="s">
        <v>215</v>
      </c>
      <c r="E83" s="47" t="s">
        <v>178</v>
      </c>
      <c r="F83" s="43" t="n">
        <f aca="false">SQRT(F8*F47*F10/2/F26/F26)</f>
        <v>2.33105647813621E-006</v>
      </c>
      <c r="G83" s="48" t="str">
        <f aca="false">D83</f>
        <v>tau_macro_deform</v>
      </c>
    </row>
    <row r="84" customFormat="false" ht="13.8" hidden="false" customHeight="false" outlineLevel="0" collapsed="false">
      <c r="B84" s="39"/>
      <c r="C84" s="45" t="s">
        <v>216</v>
      </c>
      <c r="D84" s="46" t="s">
        <v>217</v>
      </c>
      <c r="E84" s="47" t="s">
        <v>218</v>
      </c>
      <c r="F84" s="43" t="n">
        <f aca="false">F20*F6*1000000*F26*0.01</f>
        <v>1568553.8</v>
      </c>
      <c r="G84" s="48" t="str">
        <f aca="false">D84</f>
        <v>J0</v>
      </c>
    </row>
    <row r="85" customFormat="false" ht="13.8" hidden="false" customHeight="false" outlineLevel="0" collapsed="false">
      <c r="B85" s="39" t="s">
        <v>219</v>
      </c>
      <c r="C85" s="45" t="s">
        <v>220</v>
      </c>
      <c r="D85" s="46" t="s">
        <v>221</v>
      </c>
      <c r="E85" s="47"/>
      <c r="F85" s="43" t="n">
        <f aca="false">F60*4*PI()*F47*F47*F54/F23/F23</f>
        <v>288.567888096766</v>
      </c>
      <c r="G85" s="48" t="str">
        <f aca="false">D85</f>
        <v>Rm</v>
      </c>
    </row>
    <row r="86" customFormat="false" ht="13.8" hidden="false" customHeight="false" outlineLevel="0" collapsed="false">
      <c r="B86" s="39"/>
      <c r="C86" s="45"/>
      <c r="D86" s="46" t="s">
        <v>222</v>
      </c>
      <c r="E86" s="47"/>
      <c r="F86" s="43" t="n">
        <f aca="false">F58/F65</f>
        <v>11.0896665732627</v>
      </c>
      <c r="G86" s="48" t="str">
        <f aca="false">D86</f>
        <v>omega_*/nu</v>
      </c>
    </row>
    <row r="87" customFormat="false" ht="13.8" hidden="false" customHeight="false" outlineLevel="0" collapsed="false">
      <c r="B87" s="39"/>
      <c r="C87" s="45"/>
      <c r="D87" s="46" t="s">
        <v>223</v>
      </c>
      <c r="E87" s="47"/>
      <c r="F87" s="43" t="n">
        <f aca="false">1/F80/F65</f>
        <v>0.43964174345795</v>
      </c>
      <c r="G87" s="48" t="str">
        <f aca="false">D87</f>
        <v>1/tau_perp_delta**/nu</v>
      </c>
    </row>
    <row r="88" customFormat="false" ht="13.8" hidden="false" customHeight="false" outlineLevel="0" collapsed="false">
      <c r="B88" s="39"/>
      <c r="C88" s="45"/>
      <c r="D88" s="46" t="s">
        <v>224</v>
      </c>
      <c r="E88" s="47"/>
      <c r="F88" s="49" t="n">
        <f aca="false">F72/F83</f>
        <v>5.56861417015037</v>
      </c>
      <c r="G88" s="48" t="str">
        <f aca="false">D88</f>
        <v>tau_para/tau_macro_deform</v>
      </c>
    </row>
    <row r="89" customFormat="false" ht="13.8" hidden="false" customHeight="false" outlineLevel="0" collapsed="false">
      <c r="B89" s="39"/>
      <c r="C89" s="45"/>
      <c r="D89" s="46" t="s">
        <v>225</v>
      </c>
      <c r="E89" s="47"/>
      <c r="F89" s="49" t="n">
        <f aca="false">F69/F72</f>
        <v>7.94531976367264</v>
      </c>
      <c r="G89" s="48" t="str">
        <f aca="false">D89</f>
        <v>tau_parallel_chie/tau_para</v>
      </c>
    </row>
    <row r="90" customFormat="false" ht="13.8" hidden="false" customHeight="false" outlineLevel="0" collapsed="false">
      <c r="B90" s="39"/>
      <c r="C90" s="45"/>
      <c r="D90" s="46" t="s">
        <v>226</v>
      </c>
      <c r="E90" s="47"/>
      <c r="F90" s="49" t="n">
        <f aca="false">F69/F83</f>
        <v>44.2444202223632</v>
      </c>
      <c r="G90" s="48" t="str">
        <f aca="false">D90</f>
        <v>tau_parallel_chie/tau_macrodefo</v>
      </c>
    </row>
    <row r="91" customFormat="false" ht="13.8" hidden="false" customHeight="false" outlineLevel="0" collapsed="false">
      <c r="B91" s="39" t="s">
        <v>227</v>
      </c>
      <c r="C91" s="45" t="s">
        <v>228</v>
      </c>
      <c r="D91" s="50" t="s">
        <v>229</v>
      </c>
      <c r="E91" s="47"/>
      <c r="F91" s="51" t="n">
        <f aca="false">F72/F76</f>
        <v>1.53682333769696</v>
      </c>
      <c r="G91" s="48" t="str">
        <f aca="false">D91</f>
        <v>tau_para/tau_perp</v>
      </c>
    </row>
    <row r="92" customFormat="false" ht="13.8" hidden="false" customHeight="false" outlineLevel="0" collapsed="false">
      <c r="B92" s="39" t="s">
        <v>230</v>
      </c>
      <c r="C92" s="45" t="s">
        <v>231</v>
      </c>
      <c r="D92" s="50" t="s">
        <v>232</v>
      </c>
      <c r="E92" s="47"/>
      <c r="F92" s="51" t="n">
        <f aca="false">F72/F77</f>
        <v>1.11372283403007</v>
      </c>
      <c r="G92" s="48" t="str">
        <f aca="false">D92</f>
        <v>tau_para/tau_perp_RB</v>
      </c>
    </row>
    <row r="93" customFormat="false" ht="13.8" hidden="false" customHeight="false" outlineLevel="0" collapsed="false">
      <c r="B93" s="39" t="s">
        <v>233</v>
      </c>
      <c r="C93" s="45" t="s">
        <v>234</v>
      </c>
      <c r="D93" s="50" t="s">
        <v>235</v>
      </c>
      <c r="E93" s="47"/>
      <c r="F93" s="51" t="n">
        <f aca="false">F72/F79</f>
        <v>5.93904331626775</v>
      </c>
      <c r="G93" s="48" t="str">
        <f aca="false">D93</f>
        <v>tau_para/tau_perp_*</v>
      </c>
    </row>
    <row r="94" customFormat="false" ht="13.8" hidden="false" customHeight="false" outlineLevel="0" collapsed="false">
      <c r="B94" s="39" t="s">
        <v>236</v>
      </c>
      <c r="C94" s="45" t="s">
        <v>237</v>
      </c>
      <c r="D94" s="50" t="s">
        <v>238</v>
      </c>
      <c r="E94" s="47"/>
      <c r="F94" s="51" t="n">
        <f aca="false">F72/F80</f>
        <v>5.99768651817403</v>
      </c>
      <c r="G94" s="48" t="str">
        <f aca="false">D94</f>
        <v>tau_para/tau_perp*_*</v>
      </c>
    </row>
    <row r="95" customFormat="false" ht="13.8" hidden="false" customHeight="false" outlineLevel="0" collapsed="false">
      <c r="B95" s="39" t="s">
        <v>239</v>
      </c>
      <c r="C95" s="45" t="s">
        <v>240</v>
      </c>
      <c r="D95" s="46" t="s">
        <v>241</v>
      </c>
      <c r="E95" s="47"/>
      <c r="F95" s="43" t="n">
        <f aca="false">F72/F78</f>
        <v>4.83559594282366</v>
      </c>
      <c r="G95" s="48" t="str">
        <f aca="false">D95</f>
        <v>tau_para/tau_perp_RXEM</v>
      </c>
    </row>
    <row r="96" customFormat="false" ht="13.8" hidden="false" customHeight="false" outlineLevel="0" collapsed="false">
      <c r="B96" s="39" t="s">
        <v>242</v>
      </c>
      <c r="C96" s="45" t="s">
        <v>243</v>
      </c>
      <c r="D96" s="46" t="s">
        <v>244</v>
      </c>
      <c r="E96" s="47"/>
      <c r="F96" s="43" t="n">
        <f aca="false">F72/F81</f>
        <v>6.93231584771829</v>
      </c>
      <c r="G96" s="48" t="str">
        <f aca="false">D96</f>
        <v>tau_para/tau_driftwave</v>
      </c>
    </row>
    <row r="97" customFormat="false" ht="13.8" hidden="false" customHeight="false" outlineLevel="0" collapsed="false">
      <c r="B97" s="39"/>
      <c r="C97" s="45" t="s">
        <v>245</v>
      </c>
      <c r="D97" s="46" t="s">
        <v>246</v>
      </c>
      <c r="E97" s="47"/>
      <c r="F97" s="43" t="n">
        <f aca="false">F72/F74</f>
        <v>0.512857436934678</v>
      </c>
      <c r="G97" s="48" t="str">
        <f aca="false">D97</f>
        <v>tau_para/tau_te_parallel</v>
      </c>
    </row>
    <row r="98" customFormat="false" ht="13.8" hidden="false" customHeight="false" outlineLevel="0" collapsed="false">
      <c r="B98" s="39"/>
      <c r="C98" s="45" t="s">
        <v>247</v>
      </c>
      <c r="D98" s="46" t="s">
        <v>248</v>
      </c>
      <c r="E98" s="47"/>
      <c r="F98" s="43" t="n">
        <f aca="false">F74/F77</f>
        <v>2.17160316653832</v>
      </c>
      <c r="G98" s="48" t="str">
        <f aca="false">D98</f>
        <v>tau_te_parallel/tau_perp_RB</v>
      </c>
    </row>
    <row r="99" customFormat="false" ht="13.8" hidden="false" customHeight="false" outlineLevel="0" collapsed="false">
      <c r="B99" s="39"/>
      <c r="C99" s="45" t="s">
        <v>249</v>
      </c>
      <c r="D99" s="46" t="s">
        <v>250</v>
      </c>
      <c r="E99" s="47"/>
      <c r="F99" s="43" t="n">
        <f aca="false">F75/F77</f>
        <v>147.056195774113</v>
      </c>
      <c r="G99" s="48" t="str">
        <f aca="false">D99</f>
        <v>tau_ES_parallel/tau_perp_RB</v>
      </c>
    </row>
    <row r="100" customFormat="false" ht="13.8" hidden="false" customHeight="false" outlineLevel="0" collapsed="false">
      <c r="B100" s="39"/>
      <c r="C100" s="45" t="s">
        <v>251</v>
      </c>
      <c r="D100" s="46" t="s">
        <v>252</v>
      </c>
      <c r="E100" s="47"/>
      <c r="F100" s="43" t="n">
        <f aca="false">F72/F82</f>
        <v>5.22128937686997</v>
      </c>
      <c r="G100" s="48" t="str">
        <f aca="false">D100</f>
        <v>tau_para/tau_star</v>
      </c>
    </row>
    <row r="101" customFormat="false" ht="13.8" hidden="false" customHeight="false" outlineLevel="0" collapsed="false">
      <c r="B101" s="39" t="s">
        <v>253</v>
      </c>
      <c r="C101" s="45" t="s">
        <v>254</v>
      </c>
      <c r="D101" s="46" t="s">
        <v>255</v>
      </c>
      <c r="E101" s="52"/>
      <c r="F101" s="43" t="n">
        <f aca="false">F32/F36</f>
        <v>0.00095104477858196</v>
      </c>
      <c r="G101" s="48" t="str">
        <f aca="false">D101</f>
        <v>vd/vA</v>
      </c>
    </row>
    <row r="102" customFormat="false" ht="13.8" hidden="false" customHeight="false" outlineLevel="0" collapsed="false">
      <c r="B102" s="39" t="s">
        <v>256</v>
      </c>
      <c r="C102" s="45" t="s">
        <v>257</v>
      </c>
      <c r="D102" s="50" t="s">
        <v>258</v>
      </c>
      <c r="E102" s="53"/>
      <c r="F102" s="51" t="n">
        <f aca="false">F50/F42</f>
        <v>0.0250700706336626</v>
      </c>
      <c r="G102" s="48" t="str">
        <f aca="false">D102</f>
        <v>lambda_e/L</v>
      </c>
    </row>
    <row r="103" customFormat="false" ht="13.8" hidden="false" customHeight="false" outlineLevel="0" collapsed="false">
      <c r="B103" s="39" t="s">
        <v>259</v>
      </c>
      <c r="C103" s="45" t="s">
        <v>260</v>
      </c>
      <c r="D103" s="46" t="s">
        <v>261</v>
      </c>
      <c r="E103" s="47"/>
      <c r="F103" s="43" t="n">
        <f aca="false">0.0000000000403*F6*(1+F8)*F4/(F5*F5)</f>
        <v>0.000860804556781773</v>
      </c>
      <c r="G103" s="48" t="str">
        <f aca="false">D103</f>
        <v>beta_blob</v>
      </c>
    </row>
    <row r="104" customFormat="false" ht="13.8" hidden="false" customHeight="false" outlineLevel="0" collapsed="false">
      <c r="B104" s="39" t="s">
        <v>262</v>
      </c>
      <c r="C104" s="45" t="s">
        <v>263</v>
      </c>
      <c r="D104" s="46" t="s">
        <v>264</v>
      </c>
      <c r="E104" s="47"/>
      <c r="F104" s="43" t="n">
        <f aca="false">0.0000000000403*F6*(1+0)*F4/(F5*F5)</f>
        <v>0.000286934852260591</v>
      </c>
      <c r="G104" s="48" t="str">
        <f aca="false">D104</f>
        <v>beta_bgrn</v>
      </c>
    </row>
    <row r="105" customFormat="false" ht="13.8" hidden="false" customHeight="false" outlineLevel="0" collapsed="false">
      <c r="B105" s="39" t="s">
        <v>265</v>
      </c>
      <c r="C105" s="45" t="s">
        <v>266</v>
      </c>
      <c r="D105" s="46" t="s">
        <v>267</v>
      </c>
      <c r="E105" s="47"/>
      <c r="F105" s="43" t="n">
        <f aca="false">F21/F22/F12</f>
        <v>0.000272312567260552</v>
      </c>
      <c r="G105" s="48" t="str">
        <f aca="false">D105</f>
        <v>meovermi</v>
      </c>
    </row>
    <row r="106" customFormat="false" ht="13.8" hidden="false" customHeight="false" outlineLevel="0" collapsed="false">
      <c r="B106" s="39" t="s">
        <v>268</v>
      </c>
      <c r="C106" s="45" t="s">
        <v>268</v>
      </c>
      <c r="D106" s="50" t="s">
        <v>269</v>
      </c>
      <c r="E106" s="52"/>
      <c r="F106" s="51" t="n">
        <f aca="false">F103/F105</f>
        <v>3.1610900864452</v>
      </c>
      <c r="G106" s="48" t="str">
        <f aca="false">D106</f>
        <v>betablmemi</v>
      </c>
    </row>
    <row r="107" customFormat="false" ht="13.8" hidden="false" customHeight="false" outlineLevel="0" collapsed="false">
      <c r="B107" s="39" t="s">
        <v>270</v>
      </c>
      <c r="C107" s="45" t="s">
        <v>270</v>
      </c>
      <c r="D107" s="46" t="s">
        <v>271</v>
      </c>
      <c r="E107" s="47"/>
      <c r="F107" s="43" t="n">
        <f aca="false">F104/F105</f>
        <v>1.05369669548173</v>
      </c>
      <c r="G107" s="48" t="str">
        <f aca="false">D107</f>
        <v>betabgmemi</v>
      </c>
    </row>
    <row r="108" customFormat="false" ht="13.8" hidden="false" customHeight="false" outlineLevel="0" collapsed="false">
      <c r="B108" s="39" t="s">
        <v>272</v>
      </c>
      <c r="C108" s="45"/>
      <c r="D108" s="46"/>
      <c r="E108" s="47"/>
      <c r="F108" s="43" t="n">
        <f aca="false">SQRT(1/F8*2*F26*F26/F47/F10)/F58</f>
        <v>0.0368081337434733</v>
      </c>
      <c r="G108" s="48"/>
    </row>
    <row r="109" customFormat="false" ht="13.8" hidden="false" customHeight="false" outlineLevel="0" collapsed="false">
      <c r="B109" s="39" t="s">
        <v>273</v>
      </c>
      <c r="C109" s="45" t="s">
        <v>273</v>
      </c>
      <c r="D109" s="46" t="s">
        <v>274</v>
      </c>
      <c r="E109" s="47"/>
      <c r="F109" s="43" t="n">
        <f aca="false">F39^2*F23^2/(F59^2)</f>
        <v>0.0598703810748212</v>
      </c>
      <c r="G109" s="48" t="str">
        <f aca="false">D109</f>
        <v>kperp2c2/omega_pe^2</v>
      </c>
    </row>
    <row r="110" customFormat="false" ht="13.8" hidden="false" customHeight="false" outlineLevel="0" collapsed="false">
      <c r="B110" s="39" t="s">
        <v>275</v>
      </c>
      <c r="C110" s="45" t="s">
        <v>276</v>
      </c>
      <c r="D110" s="46" t="s">
        <v>277</v>
      </c>
      <c r="E110" s="47"/>
      <c r="F110" s="43" t="n">
        <f aca="false">(F41*F42^3/F10^4)^(1/5)</f>
        <v>0.974488863587671</v>
      </c>
      <c r="G110" s="48" t="str">
        <f aca="false">D110</f>
        <v>(deltaT/Tbg)_crit</v>
      </c>
    </row>
    <row r="111" customFormat="false" ht="13.8" hidden="false" customHeight="false" outlineLevel="0" collapsed="false">
      <c r="B111" s="39" t="s">
        <v>278</v>
      </c>
      <c r="C111" s="45" t="s">
        <v>279</v>
      </c>
      <c r="D111" s="46" t="s">
        <v>280</v>
      </c>
      <c r="E111" s="47"/>
      <c r="F111" s="43" t="n">
        <f aca="false">4*PI()*F60/F23/F23*F32</f>
        <v>302.402189049238</v>
      </c>
      <c r="G111" s="48" t="str">
        <f aca="false">D111</f>
        <v>k_perpESmin</v>
      </c>
    </row>
    <row r="112" customFormat="false" ht="13.8" hidden="false" customHeight="false" outlineLevel="0" collapsed="false">
      <c r="B112" s="39" t="s">
        <v>281</v>
      </c>
      <c r="C112" s="54" t="s">
        <v>282</v>
      </c>
      <c r="D112" s="55" t="s">
        <v>283</v>
      </c>
      <c r="E112" s="56"/>
      <c r="F112" s="43" t="n">
        <f aca="false">(4*PI()*F60/F23/F23*F32*F41)^2</f>
        <v>135.481019769339</v>
      </c>
      <c r="G112" s="48" t="str">
        <f aca="false">D112</f>
        <v>(chi^2)Esmin</v>
      </c>
    </row>
    <row r="113" customFormat="false" ht="13.8" hidden="false" customHeight="false" outlineLevel="0" collapsed="false">
      <c r="B113" s="39" t="s">
        <v>284</v>
      </c>
      <c r="C113" s="57" t="s">
        <v>285</v>
      </c>
      <c r="D113" s="58" t="s">
        <v>286</v>
      </c>
      <c r="E113" s="59"/>
      <c r="F113" s="43" t="n">
        <f aca="false">F23^2*F52^2*F40^2/F32/F32</f>
        <v>0.000432704753945305</v>
      </c>
      <c r="G113" s="48" t="str">
        <f aca="false">D113</f>
        <v>alpha_min</v>
      </c>
    </row>
    <row r="114" customFormat="false" ht="13.8" hidden="false" customHeight="false" outlineLevel="0" collapsed="false">
      <c r="B114" s="39" t="s">
        <v>287</v>
      </c>
      <c r="C114" s="57" t="s">
        <v>288</v>
      </c>
      <c r="D114" s="58" t="s">
        <v>289</v>
      </c>
      <c r="E114" s="59"/>
      <c r="F114" s="43" t="n">
        <f aca="false">0.3*F26*F39*F41/(SQRT(F25*F47)*(1+F39*F39*F41*F41))</f>
        <v>1.35910068493074</v>
      </c>
      <c r="G114" s="48" t="str">
        <f aca="false">D114</f>
        <v>gammamax_drift/omega_g</v>
      </c>
    </row>
    <row r="115" customFormat="false" ht="13.8" hidden="false" customHeight="false" outlineLevel="0" collapsed="false">
      <c r="B115" s="39" t="s">
        <v>290</v>
      </c>
      <c r="C115" s="57" t="s">
        <v>288</v>
      </c>
      <c r="D115" s="58" t="s">
        <v>289</v>
      </c>
      <c r="E115" s="59"/>
      <c r="F115" s="43" t="n">
        <f aca="false">0.3*F26*0.5/(SQRT(F25*F47)*(1))</f>
        <v>2.88159182199204</v>
      </c>
      <c r="G115" s="48" t="str">
        <f aca="false">D115</f>
        <v>gammamax_drift/omega_g</v>
      </c>
    </row>
    <row r="116" customFormat="false" ht="13.8" hidden="false" customHeight="false" outlineLevel="0" collapsed="false">
      <c r="B116" s="39" t="s">
        <v>291</v>
      </c>
      <c r="C116" s="57" t="s">
        <v>292</v>
      </c>
      <c r="D116" s="58" t="s">
        <v>293</v>
      </c>
      <c r="E116" s="59"/>
      <c r="F116" s="60" t="n">
        <f aca="false">F44/F41/F17</f>
        <v>216.10146862056</v>
      </c>
      <c r="G116" s="48" t="str">
        <f aca="false">D116</f>
        <v>min Nx</v>
      </c>
    </row>
    <row r="117" customFormat="false" ht="13.8" hidden="false" customHeight="false" outlineLevel="0" collapsed="false">
      <c r="B117" s="39" t="s">
        <v>294</v>
      </c>
      <c r="C117" s="57" t="s">
        <v>292</v>
      </c>
      <c r="D117" s="58" t="s">
        <v>295</v>
      </c>
      <c r="E117" s="59"/>
      <c r="F117" s="60" t="n">
        <f aca="false">F15/F41/F17</f>
        <v>218.235294117647</v>
      </c>
      <c r="G117" s="48" t="str">
        <f aca="false">D117</f>
        <v>min Nx for given r=0.5cm</v>
      </c>
    </row>
    <row r="118" customFormat="false" ht="13.8" hidden="false" customHeight="false" outlineLevel="0" collapsed="false">
      <c r="B118" s="39" t="s">
        <v>296</v>
      </c>
      <c r="C118" s="57" t="s">
        <v>296</v>
      </c>
      <c r="D118" s="58" t="s">
        <v>296</v>
      </c>
      <c r="E118" s="59"/>
      <c r="F118" s="43" t="n">
        <f aca="false">(1/F101)^2*F43/F47</f>
        <v>5922053478.4188</v>
      </c>
      <c r="G118" s="48" t="str">
        <f aca="false">D118</f>
        <v>(V_A/V_d)^2*Lb/delta</v>
      </c>
    </row>
    <row r="119" customFormat="false" ht="13.8" hidden="false" customHeight="false" outlineLevel="0" collapsed="false">
      <c r="B119" s="61"/>
      <c r="C119" s="62"/>
      <c r="D119" s="63"/>
      <c r="E119" s="64"/>
      <c r="F119" s="65" t="n">
        <f aca="false">SQRT(F104)*(F42^4/F41/F41/F10/F10)^(1/5)/2</f>
        <v>5.21902155582024</v>
      </c>
      <c r="G119" s="48"/>
    </row>
    <row r="120" customFormat="false" ht="13.8" hidden="false" customHeight="false" outlineLevel="0" collapsed="false">
      <c r="B120" s="66"/>
      <c r="C120" s="57" t="s">
        <v>297</v>
      </c>
      <c r="D120" s="67"/>
      <c r="E120" s="68"/>
      <c r="F120" s="69" t="n">
        <f aca="false">1/(F104*F22*F12/F21)</f>
        <v>0.949039704013513</v>
      </c>
      <c r="G120" s="22"/>
    </row>
    <row r="121" customFormat="false" ht="18.55" hidden="false" customHeight="false" outlineLevel="0" collapsed="false">
      <c r="B121" s="66"/>
      <c r="C121" s="70" t="s">
        <v>298</v>
      </c>
      <c r="D121" s="67"/>
      <c r="E121" s="68"/>
      <c r="F121" s="69" t="n">
        <f aca="false">LOG10(F120)</f>
        <v>-0.0227156180539725</v>
      </c>
      <c r="G121" s="22"/>
    </row>
    <row r="122" customFormat="false" ht="18.55" hidden="false" customHeight="false" outlineLevel="0" collapsed="false">
      <c r="B122" s="70"/>
      <c r="C122" s="57" t="s">
        <v>299</v>
      </c>
      <c r="D122" s="70"/>
      <c r="E122" s="70"/>
      <c r="F122" s="71" t="n">
        <f aca="false">F23*F23/4/PI()/F61/F41/F41/F26*F47</f>
        <v>0.0859133733077328</v>
      </c>
      <c r="G122" s="5"/>
    </row>
    <row r="123" customFormat="false" ht="18.55" hidden="false" customHeight="false" outlineLevel="0" collapsed="false">
      <c r="B123" s="70"/>
      <c r="C123" s="70" t="s">
        <v>300</v>
      </c>
      <c r="D123" s="70"/>
      <c r="E123" s="70"/>
      <c r="F123" s="69" t="n">
        <f aca="false">LOG10(F122)</f>
        <v>-1.06593922846567</v>
      </c>
      <c r="G123" s="72"/>
    </row>
    <row r="124" customFormat="false" ht="18.55" hidden="false" customHeight="false" outlineLevel="0" collapsed="false">
      <c r="B124" s="72" t="s">
        <v>301</v>
      </c>
      <c r="C124" s="72" t="s">
        <v>302</v>
      </c>
      <c r="D124" s="72"/>
      <c r="E124" s="72"/>
      <c r="F124" s="73" t="n">
        <f aca="false">F122^0.5</f>
        <v>0.293109831475733</v>
      </c>
      <c r="G124" s="72"/>
    </row>
    <row r="125" customFormat="false" ht="18.55" hidden="false" customHeight="false" outlineLevel="0" collapsed="false">
      <c r="B125" s="72"/>
      <c r="C125" s="72" t="s">
        <v>303</v>
      </c>
      <c r="D125" s="72"/>
      <c r="E125" s="72"/>
      <c r="F125" s="74" t="n">
        <f aca="false">F124*F26/F47/F37</f>
        <v>0.00591332057779913</v>
      </c>
      <c r="G125" s="72"/>
    </row>
    <row r="126" customFormat="false" ht="18.55" hidden="false" customHeight="false" outlineLevel="0" collapsed="false">
      <c r="B126" s="72"/>
      <c r="C126" s="72" t="s">
        <v>304</v>
      </c>
      <c r="D126" s="72"/>
      <c r="E126" s="72"/>
      <c r="F126" s="74" t="n">
        <f aca="false">2*PI()/F125</f>
        <v>1062.54772162515</v>
      </c>
      <c r="G126" s="72"/>
    </row>
    <row r="127" customFormat="false" ht="18.55" hidden="false" customHeight="false" outlineLevel="0" collapsed="false">
      <c r="B127" s="72"/>
      <c r="C127" s="72" t="s">
        <v>305</v>
      </c>
      <c r="D127" s="72"/>
      <c r="E127" s="72"/>
      <c r="F127" s="75" t="n">
        <f aca="false">F42/F126</f>
        <v>14.1150962192065</v>
      </c>
      <c r="G127" s="72"/>
    </row>
    <row r="128" customFormat="false" ht="18.55" hidden="false" customHeight="false" outlineLevel="0" collapsed="false">
      <c r="B128" s="72"/>
      <c r="C128" s="72" t="s">
        <v>306</v>
      </c>
      <c r="D128" s="72"/>
      <c r="E128" s="72"/>
      <c r="F128" s="75" t="n">
        <f aca="false">F127*5</f>
        <v>70.5754810960327</v>
      </c>
      <c r="G128" s="72"/>
    </row>
    <row r="129" customFormat="false" ht="18.55" hidden="false" customHeight="false" outlineLevel="0" collapsed="false">
      <c r="B129" s="72"/>
      <c r="C129" s="72" t="s">
        <v>307</v>
      </c>
      <c r="D129" s="72"/>
      <c r="E129" s="72"/>
      <c r="F129" s="74" t="n">
        <f aca="false">F125*F50</f>
        <v>2.22340853725247</v>
      </c>
      <c r="G129" s="72"/>
    </row>
    <row r="130" customFormat="false" ht="18.55" hidden="false" customHeight="false" outlineLevel="0" collapsed="false">
      <c r="B130" s="72"/>
      <c r="C130" s="72"/>
      <c r="D130" s="72"/>
      <c r="E130" s="72"/>
      <c r="F130" s="74"/>
      <c r="G130" s="72"/>
    </row>
    <row r="131" customFormat="false" ht="18.55" hidden="false" customHeight="false" outlineLevel="0" collapsed="false">
      <c r="B131" s="72"/>
      <c r="C131" s="72" t="s">
        <v>308</v>
      </c>
      <c r="D131" s="72"/>
      <c r="E131" s="72"/>
      <c r="F131" s="76" t="n">
        <v>1</v>
      </c>
      <c r="G131" s="72"/>
    </row>
    <row r="132" customFormat="false" ht="18.55" hidden="false" customHeight="false" outlineLevel="0" collapsed="false">
      <c r="B132" s="72"/>
      <c r="C132" s="72" t="s">
        <v>309</v>
      </c>
      <c r="D132" s="72"/>
      <c r="E132" s="72"/>
      <c r="F132" s="74" t="n">
        <f aca="false">F131/F41</f>
        <v>25.9803921568627</v>
      </c>
      <c r="G132" s="72"/>
    </row>
    <row r="133" customFormat="false" ht="18.55" hidden="false" customHeight="false" outlineLevel="0" collapsed="false">
      <c r="B133" s="72"/>
      <c r="C133" s="72" t="s">
        <v>310</v>
      </c>
      <c r="D133" s="72"/>
      <c r="E133" s="72"/>
      <c r="F133" s="74" t="n">
        <f aca="false">2*PI()/F132</f>
        <v>0.241843358993327</v>
      </c>
      <c r="G133" s="72"/>
    </row>
    <row r="134" customFormat="false" ht="18.55" hidden="false" customHeight="false" outlineLevel="0" collapsed="false">
      <c r="B134" s="72"/>
      <c r="C134" s="72" t="s">
        <v>311</v>
      </c>
      <c r="D134" s="72"/>
      <c r="E134" s="72"/>
      <c r="F134" s="75" t="n">
        <f aca="false">F47/F133</f>
        <v>3.47332258159372</v>
      </c>
      <c r="G134" s="72"/>
    </row>
    <row r="135" customFormat="false" ht="18.55" hidden="false" customHeight="false" outlineLevel="0" collapsed="false">
      <c r="B135" s="72"/>
      <c r="C135" s="72" t="s">
        <v>312</v>
      </c>
      <c r="D135" s="72"/>
      <c r="E135" s="72"/>
      <c r="F135" s="75" t="n">
        <f aca="false">F47/F17/F133</f>
        <v>34.7332258159372</v>
      </c>
      <c r="G135" s="72"/>
    </row>
    <row r="136" customFormat="false" ht="18.55" hidden="false" customHeight="false" outlineLevel="0" collapsed="false">
      <c r="B136" s="72"/>
      <c r="C136" s="72" t="s">
        <v>306</v>
      </c>
      <c r="D136" s="72"/>
      <c r="E136" s="72"/>
      <c r="F136" s="75" t="n">
        <f aca="false">F135*5</f>
        <v>173.666129079686</v>
      </c>
      <c r="G136" s="72"/>
    </row>
    <row r="137" customFormat="false" ht="18.55" hidden="false" customHeight="false" outlineLevel="0" collapsed="false">
      <c r="B137" s="72"/>
      <c r="C137" s="72"/>
      <c r="D137" s="72"/>
      <c r="E137" s="72"/>
      <c r="F137" s="74"/>
      <c r="G137" s="72"/>
    </row>
    <row r="138" customFormat="false" ht="13.8" hidden="false" customHeight="false" outlineLevel="0" collapsed="false">
      <c r="B138" s="77" t="s">
        <v>313</v>
      </c>
      <c r="C138" s="21" t="s">
        <v>314</v>
      </c>
      <c r="F138" s="1" t="n">
        <f aca="false">(F23/F59/F41)^2</f>
        <v>0.953046872369113</v>
      </c>
    </row>
    <row r="139" customFormat="false" ht="13.8" hidden="false" customHeight="false" outlineLevel="0" collapsed="false">
      <c r="B139" s="0" t="s">
        <v>315</v>
      </c>
      <c r="C139" s="21" t="s">
        <v>316</v>
      </c>
      <c r="F139" s="1" t="n">
        <f aca="false">F26/F47</f>
        <v>11654761.9047619</v>
      </c>
    </row>
    <row r="140" customFormat="false" ht="13.8" hidden="false" customHeight="false" outlineLevel="0" collapsed="false">
      <c r="C140" s="21" t="s">
        <v>314</v>
      </c>
      <c r="F140" s="1" t="n">
        <f aca="false">F21/F22/2/F104</f>
        <v>0.949039704013513</v>
      </c>
    </row>
    <row r="141" customFormat="false" ht="13.8" hidden="false" customHeight="false" outlineLevel="0" collapsed="false">
      <c r="C141" s="21" t="s">
        <v>317</v>
      </c>
      <c r="F141" s="78" t="n">
        <f aca="false">F23^2/(4*PI()*F41^2*F61)*(F47/(2*F26^2/F10)*F8)^(1/2)</f>
        <v>2.33408664254722</v>
      </c>
    </row>
    <row r="142" customFormat="false" ht="13.8" hidden="false" customHeight="false" outlineLevel="0" collapsed="false">
      <c r="C142" s="21" t="s">
        <v>318</v>
      </c>
      <c r="F142" s="78" t="n">
        <f aca="false">(4*PI()*F41^2*F61/F23^2)^2*(2*F26^2/F8)</f>
        <v>95.5954075492457</v>
      </c>
    </row>
    <row r="143" customFormat="false" ht="13.8" hidden="false" customHeight="false" outlineLevel="0" collapsed="false">
      <c r="C143" s="2" t="s">
        <v>114</v>
      </c>
      <c r="D143" s="2"/>
      <c r="F143" s="78" t="n">
        <f aca="false">F142/F10</f>
        <v>0.154186141208461</v>
      </c>
    </row>
    <row r="144" customFormat="false" ht="13.8" hidden="false" customHeight="false" outlineLevel="0" collapsed="false">
      <c r="F144" s="1" t="s">
        <v>319</v>
      </c>
    </row>
    <row r="145" customFormat="false" ht="13.8" hidden="false" customHeight="false" outlineLevel="0" collapsed="false">
      <c r="C145" s="2"/>
      <c r="D145" s="0" t="s">
        <v>320</v>
      </c>
      <c r="F145" s="1" t="n">
        <v>1</v>
      </c>
    </row>
    <row r="146" customFormat="false" ht="13.8" hidden="false" customHeight="false" outlineLevel="0" collapsed="false">
      <c r="C146" s="2" t="s">
        <v>321</v>
      </c>
      <c r="D146" s="0" t="s">
        <v>322</v>
      </c>
      <c r="F146" s="1" t="n">
        <f aca="false">F145*PI()/F42</f>
        <v>0.000209467951403435</v>
      </c>
    </row>
    <row r="147" customFormat="false" ht="13.8" hidden="false" customHeight="false" outlineLevel="0" collapsed="false">
      <c r="C147" s="2" t="s">
        <v>323</v>
      </c>
      <c r="D147" s="0" t="s">
        <v>324</v>
      </c>
      <c r="F147" s="1" t="n">
        <f aca="false">F146/SQRT(F104)*F47</f>
        <v>0.0103873608764375</v>
      </c>
    </row>
    <row r="148" customFormat="false" ht="13.8" hidden="false" customHeight="false" outlineLevel="0" collapsed="false">
      <c r="C148" s="2"/>
      <c r="D148" s="0" t="s">
        <v>325</v>
      </c>
      <c r="F148" s="1" t="n">
        <f aca="false">LOG10(F147)</f>
        <v>-1.98349477991061</v>
      </c>
    </row>
    <row r="149" customFormat="false" ht="13.8" hidden="false" customHeight="false" outlineLevel="0" collapsed="false">
      <c r="C149" s="2"/>
      <c r="F149" s="0"/>
    </row>
    <row r="150" customFormat="false" ht="13.8" hidden="false" customHeight="false" outlineLevel="0" collapsed="false">
      <c r="D150" s="0" t="s">
        <v>326</v>
      </c>
      <c r="F150" s="1" t="n">
        <v>128</v>
      </c>
    </row>
    <row r="151" customFormat="false" ht="13.8" hidden="false" customHeight="false" outlineLevel="0" collapsed="false">
      <c r="C151" s="0" t="s">
        <v>327</v>
      </c>
      <c r="D151" s="0" t="s">
        <v>328</v>
      </c>
      <c r="F151" s="1" t="n">
        <f aca="false">F150/F47</f>
        <v>152.380952380952</v>
      </c>
    </row>
    <row r="152" customFormat="false" ht="13.8" hidden="false" customHeight="false" outlineLevel="0" collapsed="false">
      <c r="C152" s="2" t="s">
        <v>329</v>
      </c>
      <c r="D152" s="0" t="s">
        <v>330</v>
      </c>
      <c r="F152" s="1" t="n">
        <f aca="false">F151*F41</f>
        <v>5.86522911051213</v>
      </c>
    </row>
    <row r="153" customFormat="false" ht="13.8" hidden="false" customHeight="false" outlineLevel="0" collapsed="false">
      <c r="D153" s="0" t="s">
        <v>331</v>
      </c>
      <c r="F153" s="1" t="n">
        <f aca="false">LOG10(F152)</f>
        <v>0.768284981411096</v>
      </c>
    </row>
    <row r="154" customFormat="false" ht="13.8" hidden="false" customHeight="false" outlineLevel="0" collapsed="false">
      <c r="F154" s="0"/>
    </row>
    <row r="155" customFormat="false" ht="13.8" hidden="false" customHeight="false" outlineLevel="0" collapsed="false">
      <c r="D155" s="0" t="s">
        <v>332</v>
      </c>
      <c r="F155" s="78" t="n">
        <v>23001</v>
      </c>
    </row>
    <row r="156" customFormat="false" ht="13.8" hidden="false" customHeight="false" outlineLevel="0" collapsed="false">
      <c r="D156" s="0" t="s">
        <v>333</v>
      </c>
      <c r="F156" s="78" t="n">
        <f aca="false">F155/F139</f>
        <v>0.00197352808988764</v>
      </c>
    </row>
    <row r="160" customFormat="false" ht="13.8" hidden="false" customHeight="false" outlineLevel="0" collapsed="false">
      <c r="D160" s="0" t="s">
        <v>334</v>
      </c>
    </row>
    <row r="161" customFormat="false" ht="13.8" hidden="false" customHeight="false" outlineLevel="0" collapsed="false">
      <c r="D161" s="0" t="s">
        <v>335</v>
      </c>
    </row>
    <row r="162" customFormat="false" ht="13.8" hidden="false" customHeight="false" outlineLevel="0" collapsed="false">
      <c r="D162" s="0" t="s">
        <v>322</v>
      </c>
    </row>
    <row r="163" customFormat="false" ht="13.8" hidden="false" customHeight="false" outlineLevel="0" collapsed="false">
      <c r="D163" s="0" t="s">
        <v>320</v>
      </c>
    </row>
    <row r="196" customFormat="false" ht="13.8" hidden="false" customHeight="false" outlineLevel="0" collapsed="false">
      <c r="E196" s="0" t="s">
        <v>9</v>
      </c>
    </row>
    <row r="197" customFormat="false" ht="13.8" hidden="false" customHeight="false" outlineLevel="0" collapsed="false">
      <c r="C197" s="0" t="s">
        <v>336</v>
      </c>
      <c r="D197" s="2" t="n">
        <v>500000000000000</v>
      </c>
      <c r="E197" s="0" t="n">
        <v>200</v>
      </c>
    </row>
    <row r="198" customFormat="false" ht="13.8" hidden="false" customHeight="false" outlineLevel="0" collapsed="false">
      <c r="C198" s="0" t="s">
        <v>337</v>
      </c>
      <c r="D198" s="2" t="n">
        <v>300000000000000</v>
      </c>
      <c r="E198" s="0" t="n">
        <v>100</v>
      </c>
    </row>
    <row r="199" customFormat="false" ht="13.8" hidden="false" customHeight="false" outlineLevel="0" collapsed="false">
      <c r="C199" s="0" t="s">
        <v>338</v>
      </c>
      <c r="D199" s="2" t="n">
        <v>200000000000000</v>
      </c>
      <c r="E199" s="0" t="n">
        <v>100</v>
      </c>
    </row>
    <row r="200" customFormat="false" ht="13.8" hidden="false" customHeight="false" outlineLevel="0" collapsed="false">
      <c r="C200" s="0" t="s">
        <v>339</v>
      </c>
      <c r="D200" s="2" t="n">
        <v>300000000000000</v>
      </c>
      <c r="E200" s="0" t="n">
        <v>200</v>
      </c>
    </row>
    <row r="201" customFormat="false" ht="13.8" hidden="false" customHeight="false" outlineLevel="0" collapsed="false">
      <c r="C201" s="0" t="s">
        <v>340</v>
      </c>
      <c r="D201" s="2" t="n">
        <v>500000000000000</v>
      </c>
      <c r="E201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42" activeCellId="0" sqref="E42"/>
    </sheetView>
  </sheetViews>
  <sheetFormatPr defaultRowHeight="13.8"/>
  <cols>
    <col collapsed="false" hidden="false" max="1" min="1" style="0" width="31.0161943319838"/>
    <col collapsed="false" hidden="false" max="2" min="2" style="0" width="43.0688259109312"/>
    <col collapsed="false" hidden="false" max="3" min="3" style="0" width="28.663967611336"/>
    <col collapsed="false" hidden="false" max="4" min="4" style="0" width="16.753036437247"/>
    <col collapsed="false" hidden="false" max="8" min="5" style="0" width="20.7246963562753"/>
    <col collapsed="false" hidden="false" max="9" min="9" style="0" width="17.0445344129555"/>
    <col collapsed="false" hidden="false" max="10" min="10" style="0" width="27.4858299595142"/>
    <col collapsed="false" hidden="false" max="1025" min="11" style="0" width="8.57085020242915"/>
  </cols>
  <sheetData>
    <row r="1" customFormat="false" ht="13.8" hidden="false" customHeight="false" outlineLevel="0" collapsed="false">
      <c r="A1" s="2"/>
      <c r="E1" s="3" t="s">
        <v>0</v>
      </c>
      <c r="F1" s="3" t="s">
        <v>0</v>
      </c>
      <c r="G1" s="3" t="s">
        <v>0</v>
      </c>
      <c r="H1" s="3" t="s">
        <v>0</v>
      </c>
      <c r="I1" s="3"/>
      <c r="J1" s="3"/>
    </row>
    <row r="2" customFormat="false" ht="16.15" hidden="false" customHeight="false" outlineLevel="0" collapsed="false">
      <c r="B2" s="2"/>
      <c r="C2" s="2"/>
      <c r="E2" s="4" t="n">
        <v>2</v>
      </c>
      <c r="F2" s="4" t="n">
        <v>4</v>
      </c>
      <c r="G2" s="4" t="n">
        <v>1</v>
      </c>
      <c r="H2" s="4" t="s">
        <v>1</v>
      </c>
      <c r="I2" s="4" t="s">
        <v>347</v>
      </c>
      <c r="J2" s="4"/>
    </row>
    <row r="3" customFormat="false" ht="18.55" hidden="false" customHeight="false" outlineLevel="0" collapsed="false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348</v>
      </c>
      <c r="J3" s="5" t="s">
        <v>4</v>
      </c>
    </row>
    <row r="4" customFormat="false" ht="18.5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 t="n">
        <v>200</v>
      </c>
      <c r="J4" s="5" t="s">
        <v>349</v>
      </c>
    </row>
    <row r="5" customFormat="false" ht="19.7" hidden="false" customHeight="false" outlineLevel="0" collapsed="false">
      <c r="A5" s="79" t="s">
        <v>7</v>
      </c>
      <c r="B5" s="80" t="s">
        <v>8</v>
      </c>
      <c r="C5" s="81" t="s">
        <v>9</v>
      </c>
      <c r="D5" s="82" t="s">
        <v>10</v>
      </c>
      <c r="E5" s="83" t="n">
        <v>200</v>
      </c>
      <c r="F5" s="83" t="n">
        <v>200</v>
      </c>
      <c r="G5" s="83" t="n">
        <v>200</v>
      </c>
      <c r="H5" s="83" t="n">
        <v>200</v>
      </c>
      <c r="I5" s="83" t="n">
        <f aca="false">I4</f>
        <v>200</v>
      </c>
      <c r="J5" s="84" t="str">
        <f aca="false">C5</f>
        <v>Te</v>
      </c>
    </row>
    <row r="6" customFormat="false" ht="19.7" hidden="false" customHeight="false" outlineLevel="0" collapsed="false">
      <c r="A6" s="85"/>
      <c r="B6" s="86" t="s">
        <v>11</v>
      </c>
      <c r="C6" s="87" t="s">
        <v>12</v>
      </c>
      <c r="D6" s="88" t="s">
        <v>13</v>
      </c>
      <c r="E6" s="89" t="n">
        <v>30000</v>
      </c>
      <c r="F6" s="89" t="n">
        <v>30000</v>
      </c>
      <c r="G6" s="89" t="n">
        <v>30000</v>
      </c>
      <c r="H6" s="89" t="n">
        <v>30000</v>
      </c>
      <c r="I6" s="89" t="n">
        <v>10000</v>
      </c>
      <c r="J6" s="90" t="str">
        <f aca="false">C6</f>
        <v>B</v>
      </c>
    </row>
    <row r="7" customFormat="false" ht="19.7" hidden="false" customHeight="false" outlineLevel="0" collapsed="false">
      <c r="A7" s="85"/>
      <c r="B7" s="86" t="s">
        <v>350</v>
      </c>
      <c r="C7" s="87" t="s">
        <v>351</v>
      </c>
      <c r="D7" s="88" t="s">
        <v>10</v>
      </c>
      <c r="E7" s="91" t="n">
        <v>200</v>
      </c>
      <c r="F7" s="91" t="n">
        <v>200</v>
      </c>
      <c r="G7" s="91" t="n">
        <v>200</v>
      </c>
      <c r="H7" s="91" t="n">
        <v>200</v>
      </c>
      <c r="I7" s="91" t="n">
        <f aca="false">I4</f>
        <v>200</v>
      </c>
      <c r="J7" s="90" t="s">
        <v>351</v>
      </c>
    </row>
    <row r="8" customFormat="false" ht="19.7" hidden="false" customHeight="false" outlineLevel="0" collapsed="false">
      <c r="A8" s="85" t="s">
        <v>7</v>
      </c>
      <c r="B8" s="86" t="s">
        <v>14</v>
      </c>
      <c r="C8" s="87" t="s">
        <v>15</v>
      </c>
      <c r="D8" s="88" t="s">
        <v>16</v>
      </c>
      <c r="E8" s="98" t="n">
        <v>100000000000000</v>
      </c>
      <c r="F8" s="98" t="n">
        <v>100000000000000</v>
      </c>
      <c r="G8" s="98" t="n">
        <v>100000000000000</v>
      </c>
      <c r="H8" s="98" t="n">
        <v>100000000000000</v>
      </c>
      <c r="I8" s="98" t="n">
        <v>100000000000001</v>
      </c>
      <c r="J8" s="90" t="str">
        <f aca="false">C8</f>
        <v>n_bgrn</v>
      </c>
    </row>
    <row r="9" customFormat="false" ht="19.7" hidden="false" customHeight="false" outlineLevel="0" collapsed="false">
      <c r="A9" s="12"/>
      <c r="B9" s="86" t="s">
        <v>27</v>
      </c>
      <c r="C9" s="87" t="s">
        <v>28</v>
      </c>
      <c r="D9" s="88"/>
      <c r="E9" s="91" t="n">
        <v>2</v>
      </c>
      <c r="F9" s="91" t="n">
        <v>2</v>
      </c>
      <c r="G9" s="91" t="n">
        <v>2</v>
      </c>
      <c r="H9" s="91" t="n">
        <v>2</v>
      </c>
      <c r="I9" s="91" t="n">
        <v>1</v>
      </c>
      <c r="J9" s="90" t="str">
        <f aca="false">C9</f>
        <v>A</v>
      </c>
    </row>
    <row r="10" customFormat="false" ht="19.7" hidden="false" customHeight="false" outlineLevel="0" collapsed="false">
      <c r="B10" s="86" t="s">
        <v>352</v>
      </c>
      <c r="C10" s="87" t="s">
        <v>114</v>
      </c>
      <c r="D10" s="88" t="s">
        <v>24</v>
      </c>
      <c r="E10" s="91" t="n">
        <f aca="false">E11/2</f>
        <v>1</v>
      </c>
      <c r="F10" s="91" t="n">
        <v>1</v>
      </c>
      <c r="G10" s="91" t="n">
        <f aca="false">G11/1</f>
        <v>2</v>
      </c>
      <c r="H10" s="91" t="n">
        <f aca="false">H11/2</f>
        <v>1</v>
      </c>
      <c r="I10" s="91"/>
      <c r="J10" s="90" t="str">
        <f aca="false">C10</f>
        <v>delta</v>
      </c>
    </row>
    <row r="11" customFormat="false" ht="19.7" hidden="false" customHeight="false" outlineLevel="0" collapsed="false">
      <c r="A11" s="12"/>
      <c r="B11" s="86" t="s">
        <v>353</v>
      </c>
      <c r="C11" s="87" t="s">
        <v>354</v>
      </c>
      <c r="D11" s="88" t="s">
        <v>24</v>
      </c>
      <c r="E11" s="91" t="n">
        <v>2</v>
      </c>
      <c r="F11" s="91" t="n">
        <v>2</v>
      </c>
      <c r="G11" s="91" t="n">
        <v>2</v>
      </c>
      <c r="H11" s="91" t="n">
        <v>2</v>
      </c>
      <c r="I11" s="91"/>
      <c r="J11" s="90" t="str">
        <f aca="false">C11</f>
        <v>domainY</v>
      </c>
    </row>
    <row r="12" customFormat="false" ht="19.7" hidden="false" customHeight="false" outlineLevel="0" collapsed="false">
      <c r="A12" s="12"/>
      <c r="B12" s="86" t="s">
        <v>355</v>
      </c>
      <c r="C12" s="87" t="s">
        <v>356</v>
      </c>
      <c r="D12" s="88"/>
      <c r="E12" s="91" t="n">
        <v>2</v>
      </c>
      <c r="F12" s="91" t="n">
        <v>10</v>
      </c>
      <c r="G12" s="91" t="n">
        <v>2</v>
      </c>
      <c r="H12" s="91" t="n">
        <v>4</v>
      </c>
      <c r="I12" s="91"/>
      <c r="J12" s="90"/>
    </row>
    <row r="13" customFormat="false" ht="19.7" hidden="false" customHeight="false" outlineLevel="0" collapsed="false">
      <c r="A13" s="12"/>
      <c r="B13" s="86" t="s">
        <v>357</v>
      </c>
      <c r="C13" s="87" t="s">
        <v>358</v>
      </c>
      <c r="D13" s="88" t="s">
        <v>93</v>
      </c>
      <c r="E13" s="99" t="n">
        <f aca="false">2*PI()*E12/E11</f>
        <v>6.28318530717959</v>
      </c>
      <c r="F13" s="99" t="n">
        <f aca="false">2*PI()*F12/F11</f>
        <v>31.4159265358979</v>
      </c>
      <c r="G13" s="99" t="n">
        <f aca="false">2*PI()*G12/G11</f>
        <v>6.28318530717959</v>
      </c>
      <c r="H13" s="99" t="n">
        <f aca="false">2*PI()*H12/H11</f>
        <v>12.5663706143592</v>
      </c>
      <c r="I13" s="99"/>
      <c r="J13" s="90" t="str">
        <f aca="false">C13</f>
        <v>k_y</v>
      </c>
    </row>
    <row r="14" customFormat="false" ht="19.7" hidden="false" customHeight="false" outlineLevel="0" collapsed="false">
      <c r="A14" s="12"/>
      <c r="B14" s="86" t="s">
        <v>359</v>
      </c>
      <c r="C14" s="87" t="s">
        <v>360</v>
      </c>
      <c r="D14" s="88" t="s">
        <v>24</v>
      </c>
      <c r="E14" s="91" t="n">
        <f aca="false">2*PI()/E13</f>
        <v>1</v>
      </c>
      <c r="F14" s="91" t="n">
        <f aca="false">2*PI()/F13</f>
        <v>0.2</v>
      </c>
      <c r="G14" s="91" t="n">
        <f aca="false">2*PI()/G13</f>
        <v>1</v>
      </c>
      <c r="H14" s="91" t="n">
        <f aca="false">2*PI()/H13</f>
        <v>0.5</v>
      </c>
      <c r="I14" s="91"/>
      <c r="J14" s="90"/>
    </row>
    <row r="15" customFormat="false" ht="19.7" hidden="false" customHeight="false" outlineLevel="0" collapsed="false">
      <c r="A15" s="12"/>
      <c r="B15" s="86" t="s">
        <v>361</v>
      </c>
      <c r="C15" s="87" t="s">
        <v>362</v>
      </c>
      <c r="D15" s="88" t="s">
        <v>24</v>
      </c>
      <c r="E15" s="100" t="n">
        <f aca="false">2*E11</f>
        <v>4</v>
      </c>
      <c r="F15" s="100" t="n">
        <f aca="false">2*F11</f>
        <v>4</v>
      </c>
      <c r="G15" s="100" t="n">
        <f aca="false">2*G11</f>
        <v>4</v>
      </c>
      <c r="H15" s="100" t="n">
        <f aca="false">2*H11</f>
        <v>4</v>
      </c>
      <c r="I15" s="100"/>
      <c r="J15" s="90" t="str">
        <f aca="false">C15</f>
        <v>lambda_y_max</v>
      </c>
    </row>
    <row r="16" customFormat="false" ht="19.7" hidden="false" customHeight="false" outlineLevel="0" collapsed="false">
      <c r="A16" s="12"/>
      <c r="B16" s="86"/>
      <c r="C16" s="87" t="s">
        <v>363</v>
      </c>
      <c r="D16" s="88" t="s">
        <v>24</v>
      </c>
      <c r="E16" s="101" t="n">
        <v>100</v>
      </c>
      <c r="F16" s="101" t="n">
        <v>100</v>
      </c>
      <c r="G16" s="101" t="n">
        <v>100</v>
      </c>
      <c r="H16" s="101" t="n">
        <v>100</v>
      </c>
      <c r="I16" s="101" t="n">
        <v>100</v>
      </c>
      <c r="J16" s="90" t="str">
        <f aca="false">C16</f>
        <v>LengthUnit (reference)</v>
      </c>
    </row>
    <row r="17" customFormat="false" ht="19.7" hidden="false" customHeight="false" outlineLevel="0" collapsed="false">
      <c r="C17" s="87" t="s">
        <v>364</v>
      </c>
      <c r="D17" s="88" t="s">
        <v>161</v>
      </c>
      <c r="E17" s="91" t="n">
        <v>0.1</v>
      </c>
      <c r="F17" s="91" t="n">
        <v>0.1</v>
      </c>
      <c r="G17" s="91" t="n">
        <v>0.1</v>
      </c>
      <c r="H17" s="91" t="n">
        <v>0.1</v>
      </c>
      <c r="I17" s="91"/>
      <c r="J17" s="90" t="str">
        <f aca="false">C17</f>
        <v>fixed time step</v>
      </c>
    </row>
    <row r="18" customFormat="false" ht="16.15" hidden="false" customHeight="false" outlineLevel="0" collapsed="false">
      <c r="A18" s="4" t="s">
        <v>39</v>
      </c>
      <c r="B18" s="4"/>
      <c r="C18" s="4"/>
      <c r="D18" s="4"/>
      <c r="E18" s="4"/>
      <c r="F18" s="4"/>
      <c r="G18" s="4"/>
      <c r="H18" s="4"/>
      <c r="I18" s="4"/>
      <c r="J18" s="4"/>
    </row>
    <row r="19" customFormat="false" ht="13.8" hidden="false" customHeight="false" outlineLevel="0" collapsed="false">
      <c r="A19" s="23"/>
      <c r="B19" s="24" t="s">
        <v>40</v>
      </c>
      <c r="C19" s="25" t="s">
        <v>41</v>
      </c>
      <c r="D19" s="26" t="s">
        <v>42</v>
      </c>
      <c r="E19" s="27" t="n">
        <v>4.8032E-010</v>
      </c>
      <c r="F19" s="27" t="n">
        <v>4.8032E-010</v>
      </c>
      <c r="G19" s="27" t="n">
        <v>4.8032E-010</v>
      </c>
      <c r="H19" s="27" t="n">
        <v>4.8032E-010</v>
      </c>
      <c r="I19" s="27" t="n">
        <v>4.8032E-010</v>
      </c>
      <c r="J19" s="28" t="str">
        <f aca="false">C19</f>
        <v>qe</v>
      </c>
    </row>
    <row r="20" customFormat="false" ht="13.8" hidden="false" customHeight="false" outlineLevel="0" collapsed="false">
      <c r="A20" s="29"/>
      <c r="B20" s="30" t="s">
        <v>40</v>
      </c>
      <c r="C20" s="31" t="s">
        <v>41</v>
      </c>
      <c r="D20" s="32" t="s">
        <v>43</v>
      </c>
      <c r="E20" s="27" t="n">
        <v>1.6022E-019</v>
      </c>
      <c r="F20" s="27" t="n">
        <v>1.6022E-019</v>
      </c>
      <c r="G20" s="27" t="n">
        <v>1.6022E-019</v>
      </c>
      <c r="H20" s="27" t="n">
        <v>1.6022E-019</v>
      </c>
      <c r="I20" s="27" t="n">
        <v>1.6022E-019</v>
      </c>
      <c r="J20" s="33" t="str">
        <f aca="false">C20</f>
        <v>qe</v>
      </c>
    </row>
    <row r="21" customFormat="false" ht="13.8" hidden="false" customHeight="false" outlineLevel="0" collapsed="false">
      <c r="A21" s="34"/>
      <c r="B21" s="35" t="s">
        <v>44</v>
      </c>
      <c r="C21" s="36" t="s">
        <v>45</v>
      </c>
      <c r="D21" s="37" t="s">
        <v>46</v>
      </c>
      <c r="E21" s="27" t="n">
        <v>9.1094E-028</v>
      </c>
      <c r="F21" s="27" t="n">
        <v>9.1094E-028</v>
      </c>
      <c r="G21" s="27" t="n">
        <v>9.1094E-028</v>
      </c>
      <c r="H21" s="27" t="n">
        <v>9.1094E-028</v>
      </c>
      <c r="I21" s="27" t="n">
        <v>9.1094E-028</v>
      </c>
      <c r="J21" s="38" t="str">
        <f aca="false">C21</f>
        <v>me</v>
      </c>
    </row>
    <row r="22" customFormat="false" ht="13.8" hidden="false" customHeight="false" outlineLevel="0" collapsed="false">
      <c r="A22" s="34"/>
      <c r="B22" s="35" t="s">
        <v>47</v>
      </c>
      <c r="C22" s="36" t="s">
        <v>48</v>
      </c>
      <c r="D22" s="37" t="s">
        <v>46</v>
      </c>
      <c r="E22" s="27" t="n">
        <v>1.6726E-024</v>
      </c>
      <c r="F22" s="27" t="n">
        <v>1.6726E-024</v>
      </c>
      <c r="G22" s="27" t="n">
        <v>1.6726E-024</v>
      </c>
      <c r="H22" s="27" t="n">
        <v>1.6726E-024</v>
      </c>
      <c r="I22" s="27" t="n">
        <v>1.6726E-024</v>
      </c>
      <c r="J22" s="38" t="str">
        <f aca="false">C22</f>
        <v>mpn</v>
      </c>
    </row>
    <row r="23" customFormat="false" ht="13.8" hidden="false" customHeight="false" outlineLevel="0" collapsed="false">
      <c r="A23" s="34"/>
      <c r="B23" s="35" t="s">
        <v>49</v>
      </c>
      <c r="C23" s="36" t="s">
        <v>50</v>
      </c>
      <c r="D23" s="37" t="s">
        <v>51</v>
      </c>
      <c r="E23" s="27" t="n">
        <v>29979000000</v>
      </c>
      <c r="F23" s="27" t="n">
        <v>29979000000</v>
      </c>
      <c r="G23" s="27" t="n">
        <v>29979000000</v>
      </c>
      <c r="H23" s="27" t="n">
        <v>29979000000</v>
      </c>
      <c r="I23" s="27" t="n">
        <v>29979000000</v>
      </c>
      <c r="J23" s="38" t="str">
        <f aca="false">C23</f>
        <v>c</v>
      </c>
    </row>
    <row r="25" customFormat="false" ht="13.8" hidden="false" customHeight="false" outlineLevel="0" collapsed="false">
      <c r="E25" s="0" t="n">
        <f aca="false">E13*E28</f>
        <v>0.427256600888212</v>
      </c>
    </row>
    <row r="26" customFormat="false" ht="18.55" hidden="false" customHeight="false" outlineLevel="0" collapsed="false">
      <c r="A26" s="5" t="s">
        <v>52</v>
      </c>
      <c r="B26" s="5"/>
      <c r="C26" s="5"/>
      <c r="D26" s="5"/>
      <c r="E26" s="5"/>
      <c r="F26" s="5"/>
      <c r="G26" s="5"/>
      <c r="H26" s="5"/>
      <c r="I26" s="5"/>
      <c r="J26" s="5"/>
    </row>
    <row r="27" customFormat="false" ht="19.7" hidden="false" customHeight="false" outlineLevel="0" collapsed="false">
      <c r="A27" s="92" t="s">
        <v>365</v>
      </c>
      <c r="B27" s="93" t="s">
        <v>58</v>
      </c>
      <c r="C27" s="94" t="s">
        <v>59</v>
      </c>
      <c r="D27" s="95" t="s">
        <v>51</v>
      </c>
      <c r="E27" s="96" t="n">
        <f aca="false">979000*SQRT((E5)/E9)</f>
        <v>9790000</v>
      </c>
      <c r="F27" s="96" t="n">
        <f aca="false">979000*SQRT((F5)/F9)</f>
        <v>9790000</v>
      </c>
      <c r="G27" s="96" t="n">
        <f aca="false">979000*SQRT((G5)/G9)</f>
        <v>9790000</v>
      </c>
      <c r="H27" s="96" t="n">
        <f aca="false">979000*SQRT((H5)/H9)</f>
        <v>9790000</v>
      </c>
      <c r="I27" s="96" t="n">
        <f aca="false">979000*SQRT((I5)/I9)</f>
        <v>13845150.7756326</v>
      </c>
      <c r="J27" s="97" t="str">
        <f aca="false">C27</f>
        <v>c_s</v>
      </c>
    </row>
    <row r="28" customFormat="false" ht="19.7" hidden="false" customHeight="false" outlineLevel="0" collapsed="false">
      <c r="A28" s="92" t="s">
        <v>97</v>
      </c>
      <c r="B28" s="93" t="s">
        <v>98</v>
      </c>
      <c r="C28" s="94" t="s">
        <v>99</v>
      </c>
      <c r="D28" s="95" t="s">
        <v>24</v>
      </c>
      <c r="E28" s="96" t="n">
        <f aca="false">102*SQRT(E9*E5)/E6</f>
        <v>0.068</v>
      </c>
      <c r="F28" s="96" t="n">
        <f aca="false">102*SQRT(F9*F5)/F6</f>
        <v>0.068</v>
      </c>
      <c r="G28" s="96" t="n">
        <f aca="false">102*SQRT(G9*G5)/G6</f>
        <v>0.068</v>
      </c>
      <c r="H28" s="96" t="n">
        <f aca="false">102*SQRT(H9*H5)/H6</f>
        <v>0.068</v>
      </c>
      <c r="I28" s="96" t="n">
        <f aca="false">102*SQRT(I9*I5)/I6</f>
        <v>0.144249783362056</v>
      </c>
      <c r="J28" s="97" t="str">
        <f aca="false">C28</f>
        <v>rho_s</v>
      </c>
    </row>
    <row r="29" customFormat="false" ht="19.7" hidden="false" customHeight="false" outlineLevel="0" collapsed="false">
      <c r="A29" s="92" t="s">
        <v>366</v>
      </c>
      <c r="B29" s="93" t="s">
        <v>73</v>
      </c>
      <c r="C29" s="94" t="s">
        <v>341</v>
      </c>
      <c r="D29" s="95" t="s">
        <v>51</v>
      </c>
      <c r="E29" s="96" t="n">
        <f aca="false">E27*E28/E10</f>
        <v>665720</v>
      </c>
      <c r="F29" s="96" t="n">
        <f aca="false">F27*F28/F10</f>
        <v>665720</v>
      </c>
      <c r="G29" s="96" t="n">
        <f aca="false">G27*G28/G10</f>
        <v>332860</v>
      </c>
      <c r="H29" s="96" t="n">
        <f aca="false">H27*H28/H10</f>
        <v>665720</v>
      </c>
      <c r="I29" s="96"/>
      <c r="J29" s="97" t="str">
        <f aca="false">C29</f>
        <v>v_driftwave_deltaL</v>
      </c>
    </row>
    <row r="30" customFormat="false" ht="19.7" hidden="false" customHeight="false" outlineLevel="0" collapsed="false">
      <c r="A30" s="92" t="s">
        <v>367</v>
      </c>
      <c r="B30" s="93" t="s">
        <v>368</v>
      </c>
      <c r="C30" s="94" t="s">
        <v>346</v>
      </c>
      <c r="D30" s="95" t="s">
        <v>132</v>
      </c>
      <c r="E30" s="96" t="n">
        <f aca="false">E27*E28*E13/E10</f>
        <v>4182842.1226956</v>
      </c>
      <c r="F30" s="96" t="n">
        <f aca="false">F27*F28*F13/F10</f>
        <v>20914210.613478</v>
      </c>
      <c r="G30" s="96" t="n">
        <f aca="false">G27*G28*G13/G10</f>
        <v>2091421.0613478</v>
      </c>
      <c r="H30" s="96" t="n">
        <f aca="false">H27*H28*H13/H10</f>
        <v>8365684.24539121</v>
      </c>
      <c r="I30" s="96"/>
      <c r="J30" s="97" t="str">
        <f aca="false">C30</f>
        <v>omega*</v>
      </c>
    </row>
    <row r="31" customFormat="false" ht="19.7" hidden="false" customHeight="false" outlineLevel="0" collapsed="false">
      <c r="A31" s="92" t="s">
        <v>369</v>
      </c>
      <c r="B31" s="93" t="s">
        <v>140</v>
      </c>
      <c r="C31" s="94" t="s">
        <v>141</v>
      </c>
      <c r="D31" s="95" t="s">
        <v>132</v>
      </c>
      <c r="E31" s="96" t="n">
        <f aca="false">E27*E28*PI()/E11/E10</f>
        <v>1045710.5306739</v>
      </c>
      <c r="F31" s="96" t="n">
        <f aca="false">F27*F28*PI()/F11/F10</f>
        <v>1045710.5306739</v>
      </c>
      <c r="G31" s="96" t="n">
        <f aca="false">G27*G28*PI()/G11/G10</f>
        <v>522855.265336949</v>
      </c>
      <c r="H31" s="96" t="n">
        <f aca="false">H27*H28*PI()/H11/H10</f>
        <v>1045710.5306739</v>
      </c>
      <c r="I31" s="96"/>
      <c r="J31" s="97" t="str">
        <f aca="false">C31</f>
        <v>omega*_min</v>
      </c>
    </row>
    <row r="32" customFormat="false" ht="19.7" hidden="false" customHeight="false" outlineLevel="0" collapsed="false">
      <c r="A32" s="92"/>
      <c r="B32" s="93" t="s">
        <v>370</v>
      </c>
      <c r="C32" s="94" t="s">
        <v>371</v>
      </c>
      <c r="D32" s="95" t="s">
        <v>178</v>
      </c>
      <c r="E32" s="96" t="n">
        <f aca="false">2*PI()/E13/E29</f>
        <v>1.50213302890104E-006</v>
      </c>
      <c r="F32" s="96" t="n">
        <f aca="false">2*PI()/F13/F29</f>
        <v>3.00426605780208E-007</v>
      </c>
      <c r="G32" s="96" t="n">
        <f aca="false">2*PI()/G13/G29</f>
        <v>3.00426605780208E-006</v>
      </c>
      <c r="H32" s="96" t="n">
        <f aca="false">2*PI()/H13/H29</f>
        <v>7.51066514450518E-007</v>
      </c>
      <c r="I32" s="96"/>
      <c r="J32" s="97" t="str">
        <f aca="false">C32</f>
        <v>tau_t1</v>
      </c>
    </row>
    <row r="33" customFormat="false" ht="19.7" hidden="false" customHeight="false" outlineLevel="0" collapsed="false">
      <c r="A33" s="92"/>
      <c r="B33" s="93" t="s">
        <v>372</v>
      </c>
      <c r="C33" s="94" t="s">
        <v>373</v>
      </c>
      <c r="D33" s="95" t="s">
        <v>178</v>
      </c>
      <c r="E33" s="96" t="n">
        <f aca="false">E11/E29</f>
        <v>3.00426605780208E-006</v>
      </c>
      <c r="F33" s="96" t="n">
        <f aca="false">F11/F29</f>
        <v>3.00426605780208E-006</v>
      </c>
      <c r="G33" s="96" t="n">
        <f aca="false">G11/G29</f>
        <v>6.00853211560416E-006</v>
      </c>
      <c r="H33" s="96" t="n">
        <f aca="false">H11/H29</f>
        <v>3.00426605780208E-006</v>
      </c>
      <c r="I33" s="96"/>
      <c r="J33" s="97" t="str">
        <f aca="false">C33</f>
        <v>tau_t0</v>
      </c>
    </row>
    <row r="34" customFormat="false" ht="19.7" hidden="false" customHeight="false" outlineLevel="0" collapsed="false">
      <c r="A34" s="92"/>
      <c r="B34" s="93" t="s">
        <v>374</v>
      </c>
      <c r="C34" s="94" t="s">
        <v>375</v>
      </c>
      <c r="D34" s="95"/>
      <c r="E34" s="96" t="n">
        <f aca="false">E32*E37</f>
        <v>215.856516253079</v>
      </c>
      <c r="F34" s="96" t="n">
        <f aca="false">F32*F37</f>
        <v>43.1713032506159</v>
      </c>
      <c r="G34" s="96" t="n">
        <f aca="false">G32*G37</f>
        <v>431.713032506159</v>
      </c>
      <c r="H34" s="96" t="n">
        <f aca="false">H32*H37</f>
        <v>107.928258126539</v>
      </c>
      <c r="I34" s="96"/>
      <c r="J34" s="97" t="str">
        <f aca="false">C34</f>
        <v>tau_t1_kin/tau_gyro</v>
      </c>
    </row>
    <row r="35" customFormat="false" ht="19.7" hidden="false" customHeight="false" outlineLevel="0" collapsed="false">
      <c r="A35" s="92" t="s">
        <v>376</v>
      </c>
      <c r="B35" s="93" t="s">
        <v>377</v>
      </c>
      <c r="C35" s="94" t="s">
        <v>376</v>
      </c>
      <c r="D35" s="95" t="s">
        <v>24</v>
      </c>
      <c r="E35" s="96" t="n">
        <f aca="false">2*PI()*E28</f>
        <v>0.427256600888212</v>
      </c>
      <c r="F35" s="96" t="n">
        <f aca="false">2*PI()*F28</f>
        <v>0.427256600888212</v>
      </c>
      <c r="G35" s="96" t="n">
        <f aca="false">2*PI()*G28</f>
        <v>0.427256600888212</v>
      </c>
      <c r="H35" s="96" t="n">
        <f aca="false">2*PI()*H28</f>
        <v>0.427256600888212</v>
      </c>
      <c r="I35" s="96" t="n">
        <f aca="false">2*PI()*I28</f>
        <v>0.906348119384307</v>
      </c>
      <c r="J35" s="97" t="str">
        <f aca="false">C35</f>
        <v>2pi*rhos</v>
      </c>
    </row>
    <row r="36" customFormat="false" ht="19.7" hidden="false" customHeight="false" outlineLevel="0" collapsed="false">
      <c r="A36" s="92"/>
      <c r="B36" s="93"/>
      <c r="C36" s="94" t="s">
        <v>378</v>
      </c>
      <c r="D36" s="95" t="s">
        <v>178</v>
      </c>
      <c r="E36" s="102" t="n">
        <f aca="false">$I$36</f>
        <v>7.23139590705872E-006</v>
      </c>
      <c r="F36" s="102" t="n">
        <f aca="false">$I$36</f>
        <v>7.23139590705872E-006</v>
      </c>
      <c r="G36" s="102" t="n">
        <f aca="false">$I$36</f>
        <v>7.23139590705872E-006</v>
      </c>
      <c r="H36" s="102" t="n">
        <f aca="false">$I$36</f>
        <v>7.23139590705872E-006</v>
      </c>
      <c r="I36" s="103" t="n">
        <f aca="false">I16/I39</f>
        <v>7.23139590705872E-006</v>
      </c>
      <c r="J36" s="97" t="str">
        <f aca="false">C36</f>
        <v>reference time (transit time)</v>
      </c>
    </row>
    <row r="37" customFormat="false" ht="19.7" hidden="false" customHeight="false" outlineLevel="0" collapsed="false">
      <c r="A37" s="92" t="s">
        <v>129</v>
      </c>
      <c r="B37" s="93" t="s">
        <v>379</v>
      </c>
      <c r="C37" s="94" t="s">
        <v>380</v>
      </c>
      <c r="D37" s="95" t="s">
        <v>132</v>
      </c>
      <c r="E37" s="96" t="n">
        <f aca="false">9580*E6/E9</f>
        <v>143700000</v>
      </c>
      <c r="F37" s="96" t="n">
        <f aca="false">9580*F6/F9</f>
        <v>143700000</v>
      </c>
      <c r="G37" s="96" t="n">
        <f aca="false">9580*G6/G9</f>
        <v>143700000</v>
      </c>
      <c r="H37" s="96" t="n">
        <f aca="false">9580*H6/H9</f>
        <v>143700000</v>
      </c>
      <c r="I37" s="104" t="n">
        <f aca="false">9580*I6/I9</f>
        <v>95800000</v>
      </c>
      <c r="J37" s="97" t="str">
        <f aca="false">C37</f>
        <v>omega_i (gyro frequency)</v>
      </c>
    </row>
    <row r="38" customFormat="false" ht="19.7" hidden="false" customHeight="false" outlineLevel="0" collapsed="false">
      <c r="A38" s="92" t="s">
        <v>75</v>
      </c>
      <c r="B38" s="93" t="s">
        <v>76</v>
      </c>
      <c r="C38" s="94" t="s">
        <v>381</v>
      </c>
      <c r="D38" s="95" t="s">
        <v>51</v>
      </c>
      <c r="E38" s="96" t="n">
        <f aca="false">41900000*SQRT(E5)</f>
        <v>592555482.634327</v>
      </c>
      <c r="F38" s="96" t="n">
        <f aca="false">41900000*SQRT(F5)</f>
        <v>592555482.634327</v>
      </c>
      <c r="G38" s="96" t="n">
        <f aca="false">41900000*SQRT(G5)</f>
        <v>592555482.634327</v>
      </c>
      <c r="H38" s="96" t="n">
        <f aca="false">41900000*SQRT(H5)</f>
        <v>592555482.634327</v>
      </c>
      <c r="I38" s="96" t="n">
        <f aca="false">41900000*SQRT(I5)</f>
        <v>592555482.634327</v>
      </c>
      <c r="J38" s="97" t="str">
        <f aca="false">C38</f>
        <v>Vthe</v>
      </c>
    </row>
    <row r="39" customFormat="false" ht="19.7" hidden="false" customHeight="false" outlineLevel="0" collapsed="false">
      <c r="A39" s="92"/>
      <c r="B39" s="93" t="s">
        <v>382</v>
      </c>
      <c r="C39" s="94" t="s">
        <v>383</v>
      </c>
      <c r="D39" s="95" t="s">
        <v>51</v>
      </c>
      <c r="E39" s="96" t="n">
        <f aca="false">41900000*SQRT(E7)*SQRT(E21/E22/E9)</f>
        <v>9778288.87084339</v>
      </c>
      <c r="F39" s="96" t="n">
        <f aca="false">41900000*SQRT(F7)*SQRT(F21/F22/F9)</f>
        <v>9778288.87084339</v>
      </c>
      <c r="G39" s="96" t="n">
        <f aca="false">41900000*SQRT(G7)*SQRT(G21/G22/G9)</f>
        <v>9778288.87084339</v>
      </c>
      <c r="H39" s="96" t="n">
        <f aca="false">41900000*SQRT(H7)*SQRT(H21/H22/H9)</f>
        <v>9778288.87084339</v>
      </c>
      <c r="I39" s="104" t="n">
        <f aca="false">41900000*SQRT(I7)*SQRT(I21/I22/I9)</f>
        <v>13828588.7379486</v>
      </c>
      <c r="J39" s="97" t="str">
        <f aca="false">C39</f>
        <v>Vthi</v>
      </c>
    </row>
    <row r="40" customFormat="false" ht="19.7" hidden="false" customHeight="false" outlineLevel="0" collapsed="false">
      <c r="A40" s="92"/>
      <c r="B40" s="93" t="s">
        <v>127</v>
      </c>
      <c r="C40" s="94" t="s">
        <v>384</v>
      </c>
      <c r="D40" s="95" t="s">
        <v>24</v>
      </c>
      <c r="E40" s="105" t="n">
        <f aca="false">743*E5^0.5/E8^0.5</f>
        <v>0.00105076067684321</v>
      </c>
      <c r="F40" s="105" t="n">
        <f aca="false">743*F5^0.5/F8^0.5</f>
        <v>0.00105076067684321</v>
      </c>
      <c r="G40" s="105" t="n">
        <f aca="false">743*G5^0.5/G8^0.5</f>
        <v>0.00105076067684321</v>
      </c>
      <c r="H40" s="105" t="n">
        <f aca="false">743*H5^0.5/H8^0.5</f>
        <v>0.00105076067684321</v>
      </c>
      <c r="I40" s="104" t="n">
        <f aca="false">743*I5^0.5/I8^0.5</f>
        <v>0.0010507606768432</v>
      </c>
      <c r="J40" s="97" t="str">
        <f aca="false">C40</f>
        <v>Lambda_debye</v>
      </c>
    </row>
    <row r="41" customFormat="false" ht="19.7" hidden="false" customHeight="false" outlineLevel="0" collapsed="false">
      <c r="A41" s="92"/>
      <c r="B41" s="93" t="s">
        <v>385</v>
      </c>
      <c r="C41" s="94" t="s">
        <v>386</v>
      </c>
      <c r="D41" s="95" t="s">
        <v>24</v>
      </c>
      <c r="E41" s="106" t="n">
        <f aca="false">E39/E37</f>
        <v>0.0680465474658552</v>
      </c>
      <c r="F41" s="106" t="n">
        <f aca="false">F39/F37</f>
        <v>0.0680465474658552</v>
      </c>
      <c r="G41" s="106" t="n">
        <f aca="false">G39/G37</f>
        <v>0.0680465474658552</v>
      </c>
      <c r="H41" s="106" t="n">
        <f aca="false">H39/H37</f>
        <v>0.0680465474658552</v>
      </c>
      <c r="I41" s="107" t="n">
        <f aca="false">I39/I37</f>
        <v>0.144348525448315</v>
      </c>
      <c r="J41" s="97" t="str">
        <f aca="false">C41</f>
        <v>rL_i (gyro radius)</v>
      </c>
    </row>
    <row r="42" customFormat="false" ht="19.7" hidden="false" customHeight="false" outlineLevel="0" collapsed="false">
      <c r="A42" s="92"/>
      <c r="B42" s="93"/>
      <c r="C42" s="94" t="s">
        <v>387</v>
      </c>
      <c r="D42" s="95" t="s">
        <v>161</v>
      </c>
      <c r="E42" s="106" t="n">
        <f aca="false">E41*E13</f>
        <v>0.42754906724176</v>
      </c>
      <c r="F42" s="106" t="n">
        <f aca="false">F41*F13</f>
        <v>2.1377453362088</v>
      </c>
      <c r="G42" s="106" t="n">
        <f aca="false">G41*G13</f>
        <v>0.42754906724176</v>
      </c>
      <c r="H42" s="106" t="n">
        <f aca="false">H41*H13</f>
        <v>0.855098134483521</v>
      </c>
      <c r="I42" s="106" t="n">
        <f aca="false">I41*I13</f>
        <v>0</v>
      </c>
      <c r="J42" s="97"/>
    </row>
    <row r="43" customFormat="false" ht="19.7" hidden="false" customHeight="false" outlineLevel="0" collapsed="false">
      <c r="A43" s="92"/>
      <c r="B43" s="93" t="s">
        <v>388</v>
      </c>
      <c r="C43" s="94" t="s">
        <v>389</v>
      </c>
      <c r="D43" s="95" t="s">
        <v>161</v>
      </c>
      <c r="E43" s="108" t="n">
        <f aca="false">E41/E16</f>
        <v>0.000680465474658552</v>
      </c>
      <c r="F43" s="108" t="n">
        <f aca="false">F41/F16</f>
        <v>0.000680465474658552</v>
      </c>
      <c r="G43" s="108" t="n">
        <f aca="false">G41/G16</f>
        <v>0.000680465474658552</v>
      </c>
      <c r="H43" s="108" t="n">
        <f aca="false">H41/H16</f>
        <v>0.000680465474658552</v>
      </c>
      <c r="I43" s="108" t="n">
        <f aca="false">I41/I16</f>
        <v>0.00144348525448315</v>
      </c>
      <c r="J43" s="97" t="str">
        <f aca="false">C43</f>
        <v>La (Lamor Number)</v>
      </c>
    </row>
    <row r="44" customFormat="false" ht="19.7" hidden="false" customHeight="false" outlineLevel="0" collapsed="false">
      <c r="A44" s="92"/>
      <c r="B44" s="93" t="s">
        <v>390</v>
      </c>
      <c r="C44" s="94" t="s">
        <v>391</v>
      </c>
      <c r="D44" s="95" t="s">
        <v>161</v>
      </c>
      <c r="E44" s="108" t="n">
        <f aca="false">E40/E16</f>
        <v>1.05076067684321E-005</v>
      </c>
      <c r="F44" s="108" t="n">
        <f aca="false">F40/F16</f>
        <v>1.05076067684321E-005</v>
      </c>
      <c r="G44" s="108" t="n">
        <f aca="false">G40/G16</f>
        <v>1.05076067684321E-005</v>
      </c>
      <c r="H44" s="108" t="n">
        <f aca="false">H40/H16</f>
        <v>1.05076067684321E-005</v>
      </c>
      <c r="I44" s="108" t="n">
        <f aca="false">I40/I16</f>
        <v>1.0507606768432E-005</v>
      </c>
      <c r="J44" s="97" t="str">
        <f aca="false">C44</f>
        <v>De (Debye Number)</v>
      </c>
    </row>
    <row r="45" customFormat="false" ht="19.7" hidden="false" customHeight="false" outlineLevel="0" collapsed="false">
      <c r="A45" s="92" t="s">
        <v>392</v>
      </c>
      <c r="B45" s="93" t="s">
        <v>393</v>
      </c>
      <c r="C45" s="94" t="s">
        <v>394</v>
      </c>
      <c r="D45" s="95" t="s">
        <v>161</v>
      </c>
      <c r="E45" s="109" t="n">
        <f aca="false">E13^2*E41^2</f>
        <v>0.182798204899299</v>
      </c>
      <c r="F45" s="109" t="n">
        <f aca="false">F13^2*F41^2</f>
        <v>4.56995512248247</v>
      </c>
      <c r="G45" s="96" t="n">
        <f aca="false">G13^2*G41^2</f>
        <v>0.182798204899299</v>
      </c>
      <c r="H45" s="96" t="n">
        <f aca="false">H13^2*H41^2</f>
        <v>0.731192819597195</v>
      </c>
      <c r="I45" s="96" t="n">
        <f aca="false">I13^2*I41^2</f>
        <v>0</v>
      </c>
      <c r="J45" s="97" t="str">
        <f aca="false">C45</f>
        <v>Lambda_i</v>
      </c>
    </row>
    <row r="46" customFormat="false" ht="19.7" hidden="false" customHeight="false" outlineLevel="0" collapsed="false">
      <c r="A46" s="92" t="s">
        <v>395</v>
      </c>
      <c r="B46" s="93" t="s">
        <v>396</v>
      </c>
      <c r="C46" s="94" t="s">
        <v>397</v>
      </c>
      <c r="D46" s="95"/>
      <c r="E46" s="96" t="n">
        <f aca="false">1-E45</f>
        <v>0.817201795100701</v>
      </c>
      <c r="F46" s="96" t="n">
        <f aca="false">1-F45</f>
        <v>-3.56995512248247</v>
      </c>
      <c r="G46" s="96" t="n">
        <f aca="false">1-G45</f>
        <v>0.817201795100701</v>
      </c>
      <c r="H46" s="96" t="n">
        <f aca="false">1-H45</f>
        <v>0.268807180402805</v>
      </c>
      <c r="I46" s="96" t="n">
        <f aca="false">1-I45</f>
        <v>1</v>
      </c>
      <c r="J46" s="97" t="str">
        <f aca="false">C46</f>
        <v>Gamma_i</v>
      </c>
    </row>
    <row r="47" customFormat="false" ht="19.7" hidden="false" customHeight="false" outlineLevel="0" collapsed="false">
      <c r="A47" s="92"/>
      <c r="B47" s="93" t="s">
        <v>398</v>
      </c>
      <c r="C47" s="110" t="s">
        <v>399</v>
      </c>
      <c r="D47" s="95" t="s">
        <v>132</v>
      </c>
      <c r="E47" s="111" t="n">
        <f aca="false">E30*((1-E45)/(1+E13^2*E28^2))</f>
        <v>2890559.62590837</v>
      </c>
      <c r="F47" s="111" t="n">
        <f aca="false">F30*((1-F45)/(1+F13^2*F28^2))</f>
        <v>-13419617.3781566</v>
      </c>
      <c r="G47" s="111" t="n">
        <f aca="false">G30*((1-G45)/(1+G13^2*G28^2))</f>
        <v>1445279.81295419</v>
      </c>
      <c r="H47" s="111" t="n">
        <f aca="false">H30*((1-H45)/(1+H13^2*H28^2))</f>
        <v>1299714.10037884</v>
      </c>
      <c r="I47" s="111" t="n">
        <f aca="false">I30*((1-I45)/(1+I13^2*I28^2))</f>
        <v>0</v>
      </c>
      <c r="J47" s="112" t="str">
        <f aca="false">C47</f>
        <v>omega_kinetic*</v>
      </c>
    </row>
    <row r="48" customFormat="false" ht="19.7" hidden="false" customHeight="false" outlineLevel="0" collapsed="false">
      <c r="A48" s="92"/>
      <c r="B48" s="93" t="s">
        <v>370</v>
      </c>
      <c r="C48" s="110" t="s">
        <v>400</v>
      </c>
      <c r="D48" s="95" t="s">
        <v>178</v>
      </c>
      <c r="E48" s="111" t="n">
        <f aca="false">E13*E14/E47</f>
        <v>2.17369164464306E-006</v>
      </c>
      <c r="F48" s="111" t="n">
        <f aca="false">F13*F14/F47</f>
        <v>-4.68208975719895E-007</v>
      </c>
      <c r="G48" s="111" t="n">
        <f aca="false">G13*G14/G47</f>
        <v>4.34738328928611E-006</v>
      </c>
      <c r="H48" s="111" t="n">
        <f aca="false">H13*H14/H47</f>
        <v>4.83428263596445E-006</v>
      </c>
      <c r="I48" s="111"/>
      <c r="J48" s="112" t="str">
        <f aca="false">C48</f>
        <v>tau_t1_kin</v>
      </c>
    </row>
    <row r="49" customFormat="false" ht="19.7" hidden="false" customHeight="false" outlineLevel="0" collapsed="false">
      <c r="A49" s="92"/>
      <c r="B49" s="93" t="s">
        <v>372</v>
      </c>
      <c r="C49" s="110" t="s">
        <v>401</v>
      </c>
      <c r="D49" s="95" t="s">
        <v>178</v>
      </c>
      <c r="E49" s="111" t="n">
        <f aca="false">E13*E11/E47</f>
        <v>4.34738328928611E-006</v>
      </c>
      <c r="F49" s="111" t="n">
        <f aca="false">F13*F11/F47</f>
        <v>-4.68208975719895E-006</v>
      </c>
      <c r="G49" s="111" t="n">
        <f aca="false">G13*G11/G47</f>
        <v>8.69476657857222E-006</v>
      </c>
      <c r="H49" s="111" t="n">
        <f aca="false">H13*H11/H47</f>
        <v>1.93371305438578E-005</v>
      </c>
      <c r="I49" s="111"/>
      <c r="J49" s="112" t="str">
        <f aca="false">C49</f>
        <v>tau_t0_kin</v>
      </c>
    </row>
    <row r="50" customFormat="false" ht="19.7" hidden="false" customHeight="false" outlineLevel="0" collapsed="false">
      <c r="A50" s="92"/>
      <c r="B50" s="93" t="s">
        <v>374</v>
      </c>
      <c r="C50" s="110" t="s">
        <v>375</v>
      </c>
      <c r="D50" s="95" t="s">
        <v>161</v>
      </c>
      <c r="E50" s="111" t="n">
        <f aca="false">E48*E37</f>
        <v>312.359489335207</v>
      </c>
      <c r="F50" s="111" t="n">
        <f aca="false">F48*F37</f>
        <v>-67.281629810949</v>
      </c>
      <c r="G50" s="111" t="n">
        <f aca="false">G48*G37</f>
        <v>624.718978670414</v>
      </c>
      <c r="H50" s="111" t="n">
        <f aca="false">H48*H37</f>
        <v>694.686414788091</v>
      </c>
      <c r="I50" s="111"/>
      <c r="J50" s="112" t="str">
        <f aca="false">C50</f>
        <v>tau_t1_kin/tau_gyro</v>
      </c>
    </row>
    <row r="51" customFormat="false" ht="19.7" hidden="false" customHeight="false" outlineLevel="0" collapsed="false">
      <c r="A51" s="92"/>
      <c r="B51" s="93"/>
      <c r="C51" s="110" t="s">
        <v>402</v>
      </c>
      <c r="D51" s="95"/>
      <c r="E51" s="111" t="n">
        <f aca="false">E48/$I$36</f>
        <v>0.30059087796884</v>
      </c>
      <c r="F51" s="111" t="n">
        <f aca="false">F48/$I$36</f>
        <v>-0.064746693686466</v>
      </c>
      <c r="G51" s="111" t="n">
        <f aca="false">G48/$I$36</f>
        <v>0.601181755937679</v>
      </c>
      <c r="H51" s="111" t="n">
        <f aca="false">H48/$I$36</f>
        <v>0.668513064157586</v>
      </c>
      <c r="I51" s="111"/>
      <c r="J51" s="112" t="str">
        <f aca="false">C51</f>
        <v>tau_t1 in comp units</v>
      </c>
    </row>
    <row r="52" customFormat="false" ht="19.7" hidden="false" customHeight="false" outlineLevel="0" collapsed="false">
      <c r="A52" s="92"/>
      <c r="B52" s="93"/>
      <c r="C52" s="110" t="s">
        <v>403</v>
      </c>
      <c r="D52" s="95"/>
      <c r="E52" s="111" t="n">
        <f aca="false">E49/$I$36</f>
        <v>0.601181755937679</v>
      </c>
      <c r="F52" s="111" t="n">
        <f aca="false">F49/$I$36</f>
        <v>-0.64746693686466</v>
      </c>
      <c r="G52" s="111" t="n">
        <f aca="false">G49/$I$36</f>
        <v>1.20236351187536</v>
      </c>
      <c r="H52" s="111" t="n">
        <f aca="false">H49/$I$36</f>
        <v>2.67405225663034</v>
      </c>
      <c r="I52" s="111"/>
      <c r="J52" s="112" t="str">
        <f aca="false">C52</f>
        <v>tau_t0 in comp units</v>
      </c>
    </row>
    <row r="53" customFormat="false" ht="19.7" hidden="false" customHeight="false" outlineLevel="0" collapsed="false">
      <c r="A53" s="92"/>
      <c r="B53" s="93" t="s">
        <v>404</v>
      </c>
      <c r="C53" s="94" t="s">
        <v>405</v>
      </c>
      <c r="D53" s="95"/>
      <c r="E53" s="96" t="n">
        <f aca="false">BESSELI(E45,0)</f>
        <v>1.00837125860748</v>
      </c>
      <c r="F53" s="96" t="n">
        <f aca="false">BESSELI(F45,0)</f>
        <v>18.5928884414222</v>
      </c>
      <c r="G53" s="96" t="n">
        <f aca="false">BESSELI(G45,0)</f>
        <v>1.00837125860748</v>
      </c>
      <c r="H53" s="96" t="n">
        <f aca="false">BESSELI(H45,0)</f>
        <v>1.13819391980055</v>
      </c>
      <c r="I53" s="96" t="n">
        <f aca="false">BESSELI(I45,0)</f>
        <v>1</v>
      </c>
      <c r="J53" s="97"/>
    </row>
    <row r="54" customFormat="false" ht="19.7" hidden="false" customHeight="false" outlineLevel="0" collapsed="false">
      <c r="A54" s="92"/>
      <c r="B54" s="93" t="s">
        <v>406</v>
      </c>
      <c r="C54" s="94" t="s">
        <v>399</v>
      </c>
      <c r="D54" s="95" t="s">
        <v>132</v>
      </c>
      <c r="E54" s="96" t="n">
        <f aca="false">E30*(EXP(-E45)*E53/(1+E5/E7*(1-EXP(-E45)*E53)))</f>
        <v>3028388.59463952</v>
      </c>
      <c r="F54" s="96" t="n">
        <f aca="false">F30*(EXP(-F45)*F53/(1+F5/F7*(1-EXP(-F45)*F53)))</f>
        <v>2228569.05767328</v>
      </c>
      <c r="G54" s="96" t="n">
        <f aca="false">G30*(EXP(-G45)*G53/(1+G5/G7*(1-EXP(-G45)*G53)))</f>
        <v>1514194.29731976</v>
      </c>
      <c r="H54" s="96" t="n">
        <f aca="false">H30*(EXP(-H45)*H53/(1+H5/H7*(1-EXP(-H45)*H53)))</f>
        <v>3156122.44085841</v>
      </c>
      <c r="I54" s="96" t="n">
        <f aca="false">I30*(EXP(-I45)*I53/(1+I5/I7*(1-EXP(-I45)*I53)))</f>
        <v>0</v>
      </c>
      <c r="J54" s="97" t="str">
        <f aca="false">C54</f>
        <v>omega_kinetic*</v>
      </c>
    </row>
    <row r="55" customFormat="false" ht="19.7" hidden="false" customHeight="false" outlineLevel="0" collapsed="false">
      <c r="A55" s="92"/>
      <c r="B55" s="93" t="s">
        <v>370</v>
      </c>
      <c r="C55" s="94" t="s">
        <v>400</v>
      </c>
      <c r="D55" s="95" t="s">
        <v>178</v>
      </c>
      <c r="E55" s="96" t="n">
        <f aca="false">2*PI()/E54</f>
        <v>2.0747619107737E-006</v>
      </c>
      <c r="F55" s="96" t="n">
        <f aca="false">2*PI()/F54</f>
        <v>2.81938102189191E-006</v>
      </c>
      <c r="G55" s="96" t="n">
        <f aca="false">2*PI()/G54</f>
        <v>4.14952382154741E-006</v>
      </c>
      <c r="H55" s="96" t="n">
        <f aca="false">2*PI()/H54</f>
        <v>1.99079263397356E-006</v>
      </c>
      <c r="I55" s="96"/>
      <c r="J55" s="97" t="str">
        <f aca="false">C55</f>
        <v>tau_t1_kin</v>
      </c>
    </row>
    <row r="56" customFormat="false" ht="19.7" hidden="false" customHeight="false" outlineLevel="0" collapsed="false">
      <c r="A56" s="92"/>
      <c r="B56" s="93" t="s">
        <v>372</v>
      </c>
      <c r="C56" s="94" t="s">
        <v>401</v>
      </c>
      <c r="D56" s="95" t="s">
        <v>178</v>
      </c>
      <c r="E56" s="96" t="n">
        <f aca="false">E11*E13/E54</f>
        <v>4.14952382154741E-006</v>
      </c>
      <c r="F56" s="96" t="n">
        <f aca="false">F11*F13/F54</f>
        <v>2.81938102189191E-005</v>
      </c>
      <c r="G56" s="96" t="n">
        <f aca="false">G11*G13/G54</f>
        <v>8.29904764309482E-006</v>
      </c>
      <c r="H56" s="96" t="n">
        <f aca="false">H11*H13/H54</f>
        <v>7.96317053589426E-006</v>
      </c>
      <c r="I56" s="96"/>
      <c r="J56" s="97" t="str">
        <f aca="false">C56</f>
        <v>tau_t0_kin</v>
      </c>
    </row>
    <row r="57" customFormat="false" ht="19.7" hidden="false" customHeight="false" outlineLevel="0" collapsed="false">
      <c r="A57" s="92"/>
      <c r="B57" s="93" t="s">
        <v>374</v>
      </c>
      <c r="C57" s="94" t="s">
        <v>407</v>
      </c>
      <c r="D57" s="95" t="s">
        <v>51</v>
      </c>
      <c r="E57" s="96" t="n">
        <f aca="false">E54/E13</f>
        <v>481983.014439998</v>
      </c>
      <c r="F57" s="96" t="n">
        <f aca="false">F54/F13</f>
        <v>70937.5563100699</v>
      </c>
      <c r="G57" s="96" t="n">
        <f aca="false">G54/G13</f>
        <v>240991.507219999</v>
      </c>
      <c r="H57" s="96" t="n">
        <f aca="false">H54/H13</f>
        <v>251156.243732937</v>
      </c>
      <c r="I57" s="96"/>
      <c r="J57" s="97" t="str">
        <f aca="false">C57</f>
        <v>speed</v>
      </c>
    </row>
    <row r="58" customFormat="false" ht="19.7" hidden="false" customHeight="false" outlineLevel="0" collapsed="false">
      <c r="A58" s="92"/>
      <c r="B58" s="93"/>
      <c r="C58" s="94" t="s">
        <v>402</v>
      </c>
      <c r="D58" s="95"/>
      <c r="E58" s="113" t="n">
        <f aca="false">E55/$I$36</f>
        <v>0.286910291932499</v>
      </c>
      <c r="F58" s="113" t="n">
        <f aca="false">F55/$I$36</f>
        <v>0.389880606473206</v>
      </c>
      <c r="G58" s="113" t="n">
        <f aca="false">G55/$I$36</f>
        <v>0.573820583865</v>
      </c>
      <c r="H58" s="113" t="n">
        <f aca="false">H55/$I$36</f>
        <v>0.275298525977578</v>
      </c>
      <c r="I58" s="96"/>
      <c r="J58" s="97" t="str">
        <f aca="false">C58</f>
        <v>tau_t1 in comp units</v>
      </c>
    </row>
    <row r="59" customFormat="false" ht="19.7" hidden="false" customHeight="false" outlineLevel="0" collapsed="false">
      <c r="A59" s="92"/>
      <c r="B59" s="93"/>
      <c r="C59" s="94" t="s">
        <v>403</v>
      </c>
      <c r="D59" s="95"/>
      <c r="E59" s="113" t="n">
        <f aca="false">E56/$I$36</f>
        <v>0.573820583865</v>
      </c>
      <c r="F59" s="113" t="n">
        <f aca="false">F56/$I$36</f>
        <v>3.89880606473206</v>
      </c>
      <c r="G59" s="113" t="n">
        <f aca="false">G56/$I$36</f>
        <v>1.14764116773</v>
      </c>
      <c r="H59" s="113" t="n">
        <f aca="false">H56/$I$36</f>
        <v>1.10119410391032</v>
      </c>
      <c r="I59" s="96"/>
      <c r="J59" s="97" t="str">
        <f aca="false">C59</f>
        <v>tau_t0 in comp units</v>
      </c>
    </row>
    <row r="60" customFormat="false" ht="19.7" hidden="false" customHeight="false" outlineLevel="0" collapsed="false">
      <c r="A60" s="92"/>
      <c r="B60" s="93"/>
      <c r="C60" s="94"/>
      <c r="D60" s="95"/>
      <c r="E60" s="96"/>
      <c r="F60" s="96"/>
      <c r="G60" s="96"/>
      <c r="H60" s="96"/>
      <c r="I60" s="96"/>
      <c r="J60" s="97"/>
    </row>
    <row r="61" customFormat="false" ht="19.7" hidden="false" customHeight="false" outlineLevel="0" collapsed="false">
      <c r="A61" s="92"/>
      <c r="B61" s="93"/>
      <c r="C61" s="94" t="s">
        <v>408</v>
      </c>
      <c r="D61" s="95"/>
      <c r="E61" s="114" t="n">
        <f aca="false">E58/E17</f>
        <v>2.86910291932499</v>
      </c>
      <c r="F61" s="114" t="n">
        <f aca="false">F58/F17</f>
        <v>3.89880606473206</v>
      </c>
      <c r="G61" s="114" t="n">
        <f aca="false">G58/G17</f>
        <v>5.73820583865</v>
      </c>
      <c r="H61" s="114" t="n">
        <f aca="false">H58/H17</f>
        <v>2.75298525977578</v>
      </c>
      <c r="I61" s="114"/>
      <c r="J61" s="97"/>
    </row>
    <row r="62" customFormat="false" ht="19.7" hidden="false" customHeight="false" outlineLevel="0" collapsed="false">
      <c r="A62" s="92"/>
      <c r="B62" s="93"/>
      <c r="C62" s="94"/>
      <c r="D62" s="95"/>
      <c r="E62" s="96"/>
      <c r="F62" s="96"/>
      <c r="G62" s="96"/>
      <c r="H62" s="96"/>
      <c r="I62" s="96"/>
      <c r="J62" s="97"/>
    </row>
    <row r="63" customFormat="false" ht="19.7" hidden="false" customHeight="false" outlineLevel="0" collapsed="false">
      <c r="A63" s="92"/>
      <c r="B63" s="93"/>
      <c r="C63" s="94"/>
      <c r="D63" s="95"/>
      <c r="E63" s="96"/>
      <c r="F63" s="96"/>
      <c r="G63" s="96"/>
      <c r="H63" s="96"/>
      <c r="I63" s="96"/>
      <c r="J63" s="97"/>
    </row>
    <row r="64" customFormat="false" ht="19.7" hidden="false" customHeight="false" outlineLevel="0" collapsed="false">
      <c r="A64" s="92"/>
      <c r="B64" s="93"/>
      <c r="C64" s="94"/>
      <c r="D64" s="95"/>
      <c r="E64" s="96"/>
      <c r="F64" s="96"/>
      <c r="G64" s="96"/>
      <c r="H64" s="96"/>
      <c r="I64" s="96"/>
      <c r="J64" s="97"/>
    </row>
    <row r="65" customFormat="false" ht="19.7" hidden="false" customHeight="false" outlineLevel="0" collapsed="false">
      <c r="A65" s="92"/>
      <c r="B65" s="93"/>
      <c r="C65" s="94"/>
      <c r="D65" s="95"/>
      <c r="E65" s="96"/>
      <c r="F65" s="96"/>
      <c r="G65" s="96"/>
      <c r="H65" s="96"/>
      <c r="I65" s="96"/>
      <c r="J65" s="97"/>
    </row>
    <row r="66" customFormat="false" ht="19.7" hidden="false" customHeight="false" outlineLevel="0" collapsed="false">
      <c r="A66" s="92"/>
      <c r="B66" s="93"/>
      <c r="C66" s="94"/>
      <c r="D66" s="95"/>
      <c r="E66" s="96"/>
      <c r="F66" s="96"/>
      <c r="G66" s="96"/>
      <c r="H66" s="96"/>
      <c r="I66" s="96"/>
      <c r="J66" s="97"/>
    </row>
    <row r="67" customFormat="false" ht="19.7" hidden="false" customHeight="false" outlineLevel="0" collapsed="false">
      <c r="A67" s="92"/>
      <c r="B67" s="93"/>
      <c r="C67" s="94"/>
      <c r="D67" s="95"/>
      <c r="E67" s="96"/>
      <c r="F67" s="96"/>
      <c r="G67" s="96"/>
      <c r="H67" s="96"/>
      <c r="I67" s="96"/>
      <c r="J67" s="97"/>
    </row>
    <row r="68" customFormat="false" ht="19.7" hidden="false" customHeight="false" outlineLevel="0" collapsed="false">
      <c r="A68" s="92"/>
      <c r="B68" s="93"/>
      <c r="C68" s="94"/>
      <c r="D68" s="95"/>
      <c r="E68" s="96"/>
      <c r="F68" s="96"/>
      <c r="G68" s="96"/>
      <c r="H68" s="96"/>
      <c r="I68" s="96"/>
      <c r="J68" s="97"/>
    </row>
    <row r="69" customFormat="false" ht="19.7" hidden="false" customHeight="false" outlineLevel="0" collapsed="false">
      <c r="A69" s="92"/>
      <c r="B69" s="93"/>
      <c r="C69" s="94"/>
      <c r="D69" s="95"/>
      <c r="E69" s="96"/>
      <c r="F69" s="96"/>
      <c r="G69" s="96"/>
      <c r="H69" s="96"/>
      <c r="I69" s="96"/>
      <c r="J69" s="97"/>
    </row>
    <row r="70" customFormat="false" ht="19.7" hidden="false" customHeight="false" outlineLevel="0" collapsed="false">
      <c r="A70" s="92"/>
      <c r="B70" s="93"/>
      <c r="C70" s="94"/>
      <c r="D70" s="95"/>
      <c r="E70" s="96"/>
      <c r="F70" s="96"/>
      <c r="G70" s="96"/>
      <c r="H70" s="96"/>
      <c r="I70" s="96"/>
      <c r="J70" s="97"/>
    </row>
    <row r="71" customFormat="false" ht="19.7" hidden="false" customHeight="false" outlineLevel="0" collapsed="false">
      <c r="A71" s="92"/>
      <c r="B71" s="93"/>
      <c r="C71" s="94"/>
      <c r="D71" s="95"/>
      <c r="E71" s="96"/>
      <c r="F71" s="96"/>
      <c r="G71" s="96"/>
      <c r="H71" s="96"/>
      <c r="I71" s="96"/>
      <c r="J71" s="97"/>
    </row>
    <row r="72" customFormat="false" ht="19.7" hidden="false" customHeight="false" outlineLevel="0" collapsed="false">
      <c r="A72" s="92"/>
      <c r="B72" s="93"/>
      <c r="C72" s="94"/>
      <c r="D72" s="95"/>
      <c r="E72" s="96"/>
      <c r="F72" s="96"/>
      <c r="G72" s="96"/>
      <c r="H72" s="96"/>
      <c r="I72" s="96"/>
      <c r="J72" s="97"/>
    </row>
    <row r="73" customFormat="false" ht="19.7" hidden="false" customHeight="false" outlineLevel="0" collapsed="false">
      <c r="A73" s="92"/>
      <c r="B73" s="93"/>
      <c r="C73" s="94"/>
      <c r="D73" s="95"/>
      <c r="E73" s="96"/>
      <c r="F73" s="96"/>
      <c r="G73" s="96"/>
      <c r="H73" s="96"/>
      <c r="I73" s="96"/>
      <c r="J73" s="97"/>
    </row>
    <row r="74" customFormat="false" ht="19.7" hidden="false" customHeight="false" outlineLevel="0" collapsed="false">
      <c r="A74" s="92"/>
      <c r="B74" s="93"/>
      <c r="C74" s="94"/>
      <c r="D74" s="95"/>
      <c r="E74" s="96"/>
      <c r="F74" s="96"/>
      <c r="G74" s="96"/>
      <c r="H74" s="96"/>
      <c r="I74" s="96"/>
      <c r="J74" s="97"/>
    </row>
    <row r="75" customFormat="false" ht="19.7" hidden="false" customHeight="false" outlineLevel="0" collapsed="false">
      <c r="A75" s="92"/>
      <c r="B75" s="93"/>
      <c r="C75" s="94"/>
      <c r="D75" s="95"/>
      <c r="E75" s="96"/>
      <c r="F75" s="96"/>
      <c r="G75" s="96"/>
      <c r="H75" s="96"/>
      <c r="I75" s="96"/>
      <c r="J75" s="97"/>
    </row>
    <row r="76" customFormat="false" ht="19.7" hidden="false" customHeight="false" outlineLevel="0" collapsed="false">
      <c r="A76" s="92"/>
      <c r="B76" s="93"/>
      <c r="C76" s="94"/>
      <c r="D76" s="95"/>
      <c r="E76" s="96"/>
      <c r="F76" s="96"/>
      <c r="G76" s="96"/>
      <c r="H76" s="96"/>
      <c r="I76" s="96"/>
      <c r="J76" s="97"/>
    </row>
    <row r="77" customFormat="false" ht="19.7" hidden="false" customHeight="false" outlineLevel="0" collapsed="false">
      <c r="A77" s="92"/>
      <c r="B77" s="93"/>
      <c r="C77" s="94"/>
      <c r="D77" s="95"/>
      <c r="E77" s="96"/>
      <c r="F77" s="96"/>
      <c r="G77" s="96"/>
      <c r="H77" s="96"/>
      <c r="I77" s="96"/>
      <c r="J77" s="97"/>
    </row>
    <row r="78" customFormat="false" ht="19.7" hidden="false" customHeight="false" outlineLevel="0" collapsed="false">
      <c r="A78" s="92"/>
      <c r="B78" s="93"/>
      <c r="C78" s="94"/>
      <c r="D78" s="95"/>
      <c r="E78" s="96"/>
      <c r="F78" s="96"/>
      <c r="G78" s="96"/>
      <c r="H78" s="96"/>
      <c r="I78" s="96"/>
      <c r="J78" s="97"/>
    </row>
    <row r="79" customFormat="false" ht="19.7" hidden="false" customHeight="false" outlineLevel="0" collapsed="false">
      <c r="A79" s="92"/>
      <c r="B79" s="93"/>
      <c r="C79" s="94"/>
      <c r="D79" s="95"/>
      <c r="E79" s="96"/>
      <c r="F79" s="96"/>
      <c r="G79" s="96"/>
      <c r="H79" s="96"/>
      <c r="I79" s="96"/>
      <c r="J79" s="97"/>
    </row>
    <row r="80" customFormat="false" ht="19.7" hidden="false" customHeight="false" outlineLevel="0" collapsed="false">
      <c r="A80" s="92"/>
      <c r="B80" s="93"/>
      <c r="C80" s="94"/>
      <c r="D80" s="95"/>
      <c r="E80" s="96"/>
      <c r="F80" s="96"/>
      <c r="G80" s="96"/>
      <c r="H80" s="96"/>
      <c r="I80" s="96"/>
      <c r="J80" s="97"/>
    </row>
    <row r="81" customFormat="false" ht="19.7" hidden="false" customHeight="false" outlineLevel="0" collapsed="false">
      <c r="A81" s="92"/>
      <c r="B81" s="93"/>
      <c r="C81" s="94"/>
      <c r="D81" s="95"/>
      <c r="E81" s="96"/>
      <c r="F81" s="96"/>
      <c r="G81" s="96"/>
      <c r="H81" s="96"/>
      <c r="I81" s="96"/>
      <c r="J81" s="97"/>
    </row>
    <row r="82" customFormat="false" ht="19.7" hidden="false" customHeight="false" outlineLevel="0" collapsed="false">
      <c r="A82" s="92"/>
      <c r="B82" s="93"/>
      <c r="C82" s="94"/>
      <c r="D82" s="95"/>
      <c r="E82" s="96"/>
      <c r="F82" s="96"/>
      <c r="G82" s="96"/>
      <c r="H82" s="96"/>
      <c r="I82" s="96"/>
      <c r="J82" s="97"/>
    </row>
    <row r="83" customFormat="false" ht="19.7" hidden="false" customHeight="false" outlineLevel="0" collapsed="false">
      <c r="A83" s="92"/>
      <c r="B83" s="93"/>
      <c r="C83" s="94"/>
      <c r="D83" s="95"/>
      <c r="E83" s="96"/>
      <c r="F83" s="96"/>
      <c r="G83" s="96"/>
      <c r="H83" s="96"/>
      <c r="I83" s="96"/>
      <c r="J83" s="97"/>
    </row>
    <row r="84" customFormat="false" ht="19.7" hidden="false" customHeight="false" outlineLevel="0" collapsed="false">
      <c r="A84" s="92"/>
      <c r="B84" s="93"/>
      <c r="C84" s="94"/>
      <c r="D84" s="95"/>
      <c r="E84" s="96"/>
      <c r="F84" s="96"/>
      <c r="G84" s="96"/>
      <c r="H84" s="96"/>
      <c r="I84" s="96"/>
      <c r="J84" s="97"/>
    </row>
    <row r="85" customFormat="false" ht="19.7" hidden="false" customHeight="false" outlineLevel="0" collapsed="false">
      <c r="A85" s="92"/>
      <c r="B85" s="93"/>
      <c r="C85" s="94"/>
      <c r="D85" s="95"/>
      <c r="E85" s="96"/>
      <c r="F85" s="96"/>
      <c r="G85" s="96"/>
      <c r="H85" s="96"/>
      <c r="I85" s="96"/>
      <c r="J85" s="97"/>
    </row>
    <row r="86" customFormat="false" ht="19.7" hidden="false" customHeight="false" outlineLevel="0" collapsed="false">
      <c r="A86" s="92"/>
      <c r="B86" s="93"/>
      <c r="C86" s="94"/>
      <c r="D86" s="95"/>
      <c r="E86" s="96"/>
      <c r="F86" s="96"/>
      <c r="G86" s="96"/>
      <c r="H86" s="96"/>
      <c r="I86" s="96"/>
      <c r="J86" s="97"/>
    </row>
    <row r="87" customFormat="false" ht="19.7" hidden="false" customHeight="false" outlineLevel="0" collapsed="false">
      <c r="A87" s="92"/>
      <c r="B87" s="93"/>
      <c r="C87" s="94"/>
      <c r="D87" s="95"/>
      <c r="E87" s="96"/>
      <c r="F87" s="96"/>
      <c r="G87" s="96"/>
      <c r="H87" s="96"/>
      <c r="I87" s="96"/>
      <c r="J87" s="97"/>
    </row>
    <row r="88" customFormat="false" ht="19.7" hidden="false" customHeight="false" outlineLevel="0" collapsed="false">
      <c r="A88" s="92"/>
      <c r="B88" s="93"/>
      <c r="C88" s="94"/>
      <c r="D88" s="95"/>
      <c r="E88" s="96"/>
      <c r="F88" s="96"/>
      <c r="G88" s="96"/>
      <c r="H88" s="96"/>
      <c r="I88" s="96"/>
      <c r="J88" s="97"/>
    </row>
    <row r="89" customFormat="false" ht="19.7" hidden="false" customHeight="false" outlineLevel="0" collapsed="false">
      <c r="A89" s="92"/>
      <c r="B89" s="93"/>
      <c r="C89" s="94"/>
      <c r="D89" s="95"/>
      <c r="E89" s="96"/>
      <c r="F89" s="96"/>
      <c r="G89" s="96"/>
      <c r="H89" s="96"/>
      <c r="I89" s="96"/>
      <c r="J89" s="97"/>
    </row>
    <row r="90" customFormat="false" ht="19.7" hidden="false" customHeight="false" outlineLevel="0" collapsed="false">
      <c r="A90" s="92"/>
      <c r="B90" s="93"/>
      <c r="C90" s="94"/>
      <c r="D90" s="95"/>
      <c r="E90" s="96"/>
      <c r="F90" s="96"/>
      <c r="G90" s="96"/>
      <c r="H90" s="96"/>
      <c r="I90" s="96"/>
      <c r="J90" s="97"/>
    </row>
    <row r="91" customFormat="false" ht="19.7" hidden="false" customHeight="false" outlineLevel="0" collapsed="false">
      <c r="A91" s="92"/>
      <c r="B91" s="93"/>
      <c r="C91" s="94"/>
      <c r="D91" s="95"/>
      <c r="E91" s="96"/>
      <c r="F91" s="96"/>
      <c r="G91" s="96"/>
      <c r="H91" s="96"/>
      <c r="I91" s="96"/>
      <c r="J91" s="97"/>
    </row>
    <row r="92" customFormat="false" ht="19.7" hidden="false" customHeight="false" outlineLevel="0" collapsed="false">
      <c r="A92" s="92"/>
      <c r="B92" s="93"/>
      <c r="C92" s="94"/>
      <c r="D92" s="95"/>
      <c r="E92" s="96"/>
      <c r="F92" s="96"/>
      <c r="G92" s="96"/>
      <c r="H92" s="96"/>
      <c r="I92" s="96"/>
      <c r="J92" s="97"/>
    </row>
    <row r="93" customFormat="false" ht="19.7" hidden="false" customHeight="false" outlineLevel="0" collapsed="false">
      <c r="A93" s="92"/>
      <c r="B93" s="93"/>
      <c r="C93" s="94"/>
      <c r="D93" s="95"/>
      <c r="E93" s="96"/>
      <c r="F93" s="96"/>
      <c r="G93" s="96"/>
      <c r="H93" s="96"/>
      <c r="I93" s="96"/>
      <c r="J93" s="97"/>
    </row>
    <row r="94" customFormat="false" ht="19.7" hidden="false" customHeight="false" outlineLevel="0" collapsed="false">
      <c r="A94" s="92"/>
      <c r="B94" s="93"/>
      <c r="C94" s="94"/>
      <c r="D94" s="95"/>
      <c r="E94" s="96"/>
      <c r="F94" s="96"/>
      <c r="G94" s="96"/>
      <c r="H94" s="96"/>
      <c r="I94" s="96"/>
      <c r="J94" s="97"/>
    </row>
    <row r="95" customFormat="false" ht="19.7" hidden="false" customHeight="false" outlineLevel="0" collapsed="false">
      <c r="A95" s="92"/>
      <c r="B95" s="93"/>
      <c r="C95" s="94"/>
      <c r="D95" s="95"/>
      <c r="E95" s="96"/>
      <c r="F95" s="96"/>
      <c r="G95" s="96"/>
      <c r="H95" s="96"/>
      <c r="I95" s="96"/>
      <c r="J95" s="97"/>
    </row>
    <row r="96" customFormat="false" ht="19.7" hidden="false" customHeight="false" outlineLevel="0" collapsed="false">
      <c r="A96" s="92"/>
      <c r="B96" s="93"/>
      <c r="C96" s="94"/>
      <c r="D96" s="95"/>
      <c r="E96" s="96"/>
      <c r="F96" s="96"/>
      <c r="G96" s="96"/>
      <c r="H96" s="96"/>
      <c r="I96" s="96"/>
      <c r="J96" s="97"/>
    </row>
    <row r="97" customFormat="false" ht="19.7" hidden="false" customHeight="false" outlineLevel="0" collapsed="false">
      <c r="A97" s="92"/>
      <c r="B97" s="93"/>
      <c r="C97" s="94"/>
      <c r="D97" s="95"/>
      <c r="E97" s="96"/>
      <c r="F97" s="96"/>
      <c r="G97" s="96"/>
      <c r="H97" s="96"/>
      <c r="I97" s="96"/>
      <c r="J97" s="97"/>
    </row>
    <row r="98" customFormat="false" ht="19.7" hidden="false" customHeight="false" outlineLevel="0" collapsed="false">
      <c r="A98" s="92"/>
      <c r="B98" s="93"/>
      <c r="C98" s="94"/>
      <c r="D98" s="95"/>
      <c r="E98" s="96"/>
      <c r="F98" s="96"/>
      <c r="G98" s="96"/>
      <c r="H98" s="96"/>
      <c r="I98" s="96"/>
      <c r="J98" s="97"/>
    </row>
    <row r="99" customFormat="false" ht="19.7" hidden="false" customHeight="false" outlineLevel="0" collapsed="false">
      <c r="A99" s="92"/>
      <c r="B99" s="93"/>
      <c r="C99" s="94"/>
      <c r="D99" s="95"/>
      <c r="E99" s="96"/>
      <c r="F99" s="96"/>
      <c r="G99" s="96"/>
      <c r="H99" s="96"/>
      <c r="I99" s="96"/>
      <c r="J99" s="97"/>
    </row>
    <row r="100" customFormat="false" ht="19.7" hidden="false" customHeight="false" outlineLevel="0" collapsed="false">
      <c r="A100" s="92"/>
      <c r="B100" s="93"/>
      <c r="C100" s="94"/>
      <c r="D100" s="95"/>
      <c r="E100" s="96"/>
      <c r="F100" s="96"/>
      <c r="G100" s="96"/>
      <c r="H100" s="96"/>
      <c r="I100" s="96"/>
      <c r="J100" s="97"/>
    </row>
    <row r="101" customFormat="false" ht="19.7" hidden="false" customHeight="false" outlineLevel="0" collapsed="false">
      <c r="A101" s="92"/>
      <c r="B101" s="93"/>
      <c r="C101" s="94"/>
      <c r="D101" s="95"/>
      <c r="E101" s="96"/>
      <c r="F101" s="96"/>
      <c r="G101" s="96"/>
      <c r="H101" s="96"/>
      <c r="I101" s="96"/>
      <c r="J101" s="97"/>
    </row>
    <row r="102" customFormat="false" ht="19.7" hidden="false" customHeight="false" outlineLevel="0" collapsed="false">
      <c r="A102" s="92"/>
      <c r="B102" s="93"/>
      <c r="C102" s="94"/>
      <c r="D102" s="95"/>
      <c r="E102" s="96"/>
      <c r="F102" s="96"/>
      <c r="G102" s="96"/>
      <c r="H102" s="96"/>
      <c r="I102" s="96"/>
      <c r="J102" s="97"/>
    </row>
    <row r="103" customFormat="false" ht="19.7" hidden="false" customHeight="false" outlineLevel="0" collapsed="false">
      <c r="A103" s="92"/>
      <c r="B103" s="93"/>
      <c r="C103" s="94"/>
      <c r="D103" s="95"/>
      <c r="E103" s="96"/>
      <c r="F103" s="96"/>
      <c r="G103" s="96"/>
      <c r="H103" s="96"/>
      <c r="I103" s="96"/>
      <c r="J103" s="97"/>
    </row>
    <row r="104" customFormat="false" ht="19.7" hidden="false" customHeight="false" outlineLevel="0" collapsed="false">
      <c r="A104" s="92"/>
      <c r="B104" s="93"/>
      <c r="C104" s="94"/>
      <c r="D104" s="95"/>
      <c r="E104" s="96"/>
      <c r="F104" s="96"/>
      <c r="G104" s="96"/>
      <c r="H104" s="96"/>
      <c r="I104" s="96"/>
      <c r="J104" s="97"/>
    </row>
    <row r="105" customFormat="false" ht="19.7" hidden="false" customHeight="false" outlineLevel="0" collapsed="false">
      <c r="A105" s="92"/>
      <c r="B105" s="93"/>
      <c r="C105" s="94"/>
      <c r="D105" s="95"/>
      <c r="E105" s="96"/>
      <c r="F105" s="96"/>
      <c r="G105" s="96"/>
      <c r="H105" s="96"/>
      <c r="I105" s="96"/>
      <c r="J105" s="97"/>
    </row>
    <row r="106" customFormat="false" ht="19.7" hidden="false" customHeight="false" outlineLevel="0" collapsed="false">
      <c r="A106" s="92"/>
      <c r="B106" s="93"/>
      <c r="C106" s="94"/>
      <c r="D106" s="95"/>
      <c r="E106" s="96"/>
      <c r="F106" s="96"/>
      <c r="G106" s="96"/>
      <c r="H106" s="96"/>
      <c r="I106" s="96"/>
      <c r="J106" s="97"/>
    </row>
    <row r="107" customFormat="false" ht="19.7" hidden="false" customHeight="false" outlineLevel="0" collapsed="false">
      <c r="A107" s="92"/>
      <c r="B107" s="93"/>
      <c r="C107" s="94"/>
      <c r="D107" s="95"/>
      <c r="E107" s="96"/>
      <c r="F107" s="96"/>
      <c r="G107" s="96"/>
      <c r="H107" s="96"/>
      <c r="I107" s="96"/>
      <c r="J107" s="97"/>
    </row>
    <row r="108" customFormat="false" ht="19.7" hidden="false" customHeight="false" outlineLevel="0" collapsed="false">
      <c r="A108" s="92"/>
      <c r="B108" s="93"/>
      <c r="C108" s="94"/>
      <c r="D108" s="95"/>
      <c r="E108" s="96"/>
      <c r="F108" s="96"/>
      <c r="G108" s="96"/>
      <c r="H108" s="96"/>
      <c r="I108" s="96"/>
      <c r="J108" s="9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2014-01-31T18:12:12Z</dcterms:created>
  <dc:creator>Wonjae</dc:creator>
  <dc:language>en-US</dc:language>
  <cp:lastModifiedBy>Wonjae</cp:lastModifiedBy>
  <cp:lastPrinted>2014-03-13T18:16:33Z</cp:lastPrinted>
  <dcterms:modified xsi:type="dcterms:W3CDTF">2014-12-03T01:20:30Z</dcterms:modified>
  <cp:revision>0</cp:revision>
</cp:coreProperties>
</file>