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comments2.xml" ContentType="application/vnd.openxmlformats-officedocument.spreadsheetml.comments+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https://wageningenur4-my.sharepoint.com/personal/cameron_ludemann_wur_nl/Documents/Authored articles/DRYAD/FUBC/4th Updated excel argentina/"/>
    </mc:Choice>
  </mc:AlternateContent>
  <xr:revisionPtr revIDLastSave="0" documentId="8_{57DBCA6C-C2CB-4282-B42A-AE844255D5C5}" xr6:coauthVersionLast="46" xr6:coauthVersionMax="47" xr10:uidLastSave="{00000000-0000-0000-0000-000000000000}"/>
  <bookViews>
    <workbookView xWindow="-120" yWindow="-120" windowWidth="29040" windowHeight="15840" activeTab="1" xr2:uid="{AB7D3C32-6463-44D2-8DF8-5865DD9AEE95}"/>
  </bookViews>
  <sheets>
    <sheet name="Start" sheetId="172" r:id="rId1"/>
    <sheet name="Argentina" sheetId="13" r:id="rId2"/>
    <sheet name="Australia" sheetId="72" r:id="rId3"/>
    <sheet name="Austria" sheetId="50" r:id="rId4"/>
    <sheet name="Bangladesh" sheetId="100" r:id="rId5"/>
    <sheet name="Belarus" sheetId="126" r:id="rId6"/>
    <sheet name="Belgium" sheetId="101" r:id="rId7"/>
    <sheet name="Bolivia" sheetId="127" r:id="rId8"/>
    <sheet name="Brazil" sheetId="96" r:id="rId9"/>
    <sheet name="Bulgaria" sheetId="102" r:id="rId10"/>
    <sheet name="Burkina Faso" sheetId="129" r:id="rId11"/>
    <sheet name="Canada" sheetId="130" r:id="rId12"/>
    <sheet name="Chile" sheetId="131" r:id="rId13"/>
    <sheet name="China" sheetId="132" r:id="rId14"/>
    <sheet name="Croatia" sheetId="103" r:id="rId15"/>
    <sheet name="Cyprus" sheetId="104" r:id="rId16"/>
    <sheet name="Czechia" sheetId="111" r:id="rId17"/>
    <sheet name="Denmark" sheetId="106" r:id="rId18"/>
    <sheet name="Egypt" sheetId="133" r:id="rId19"/>
    <sheet name="Estonia" sheetId="107" r:id="rId20"/>
    <sheet name="Finland" sheetId="108" r:id="rId21"/>
    <sheet name="France" sheetId="134" r:id="rId22"/>
    <sheet name="Germany" sheetId="135" r:id="rId23"/>
    <sheet name="Greece" sheetId="112" r:id="rId24"/>
    <sheet name="Hungary" sheetId="113" r:id="rId25"/>
    <sheet name="India" sheetId="136" r:id="rId26"/>
    <sheet name="Indonesia" sheetId="137" r:id="rId27"/>
    <sheet name="Iran" sheetId="138" r:id="rId28"/>
    <sheet name="Ireland" sheetId="114" r:id="rId29"/>
    <sheet name="Italy" sheetId="115" r:id="rId30"/>
    <sheet name="Japan" sheetId="142" r:id="rId31"/>
    <sheet name="Israel" sheetId="143" r:id="rId32"/>
    <sheet name="Latvia" sheetId="116" r:id="rId33"/>
    <sheet name="Lithuania" sheetId="117" r:id="rId34"/>
    <sheet name="Malaysia" sheetId="144" r:id="rId35"/>
    <sheet name="Mali" sheetId="145" r:id="rId36"/>
    <sheet name="Mexico" sheetId="146" r:id="rId37"/>
    <sheet name="Morocco" sheetId="147" r:id="rId38"/>
    <sheet name="Myanmar" sheetId="148" r:id="rId39"/>
    <sheet name="Netherlands" sheetId="118" r:id="rId40"/>
    <sheet name="New Zealand" sheetId="149" r:id="rId41"/>
    <sheet name="Nigeria" sheetId="150" r:id="rId42"/>
    <sheet name="Norway" sheetId="119" r:id="rId43"/>
    <sheet name="Pakistan" sheetId="152" r:id="rId44"/>
    <sheet name="Paraguay" sheetId="153" r:id="rId45"/>
    <sheet name="Peru" sheetId="154" r:id="rId46"/>
    <sheet name="Philippines" sheetId="156" r:id="rId47"/>
    <sheet name="Poland" sheetId="158" r:id="rId48"/>
    <sheet name="Portugal" sheetId="120" r:id="rId49"/>
    <sheet name="Romania" sheetId="121" r:id="rId50"/>
    <sheet name="Russia" sheetId="159" r:id="rId51"/>
    <sheet name="Senegal" sheetId="160" r:id="rId52"/>
    <sheet name="Slovakia" sheetId="122" r:id="rId53"/>
    <sheet name="Slovenia" sheetId="123" r:id="rId54"/>
    <sheet name="South Africa" sheetId="161" r:id="rId55"/>
    <sheet name="Spain" sheetId="124" r:id="rId56"/>
    <sheet name="Sweden" sheetId="125" r:id="rId57"/>
    <sheet name="Tanzania" sheetId="163" r:id="rId58"/>
    <sheet name="Thailand" sheetId="164" r:id="rId59"/>
    <sheet name="Turkey" sheetId="165" r:id="rId60"/>
    <sheet name="UK" sheetId="168" r:id="rId61"/>
    <sheet name="Ukraine" sheetId="166" r:id="rId62"/>
    <sheet name="United States" sheetId="170" r:id="rId63"/>
    <sheet name="Uruguay" sheetId="169" r:id="rId64"/>
    <sheet name="Vietnam" sheetId="171" r:id="rId65"/>
  </sheets>
  <externalReferences>
    <externalReference r:id="rId66"/>
  </externalReferences>
  <definedNames>
    <definedName name="average_year" localSheetId="8">#REF!</definedName>
    <definedName name="average_year" localSheetId="10">#REF!</definedName>
    <definedName name="average_year" localSheetId="11">#REF!</definedName>
    <definedName name="average_year" localSheetId="35">#REF!</definedName>
    <definedName name="average_year" localSheetId="41">#REF!</definedName>
    <definedName name="average_year" localSheetId="57">#REF!</definedName>
    <definedName name="average_year">#REF!</definedName>
    <definedName name="countries" localSheetId="2">#REF!:OFFSET(#REF!,[1]!max_countries-1,4)</definedName>
    <definedName name="countries" localSheetId="3">#REF!:OFFSET(#REF!,[1]!max_countries-1,4)</definedName>
    <definedName name="countries" localSheetId="4">#REF!:OFFSET(#REF!,[1]!max_countries-1,4)</definedName>
    <definedName name="countries" localSheetId="5">#REF!:OFFSET(#REF!,[1]!max_countries-1,4)</definedName>
    <definedName name="countries" localSheetId="6">#REF!:OFFSET(#REF!,[1]!max_countries-1,4)</definedName>
    <definedName name="countries" localSheetId="8">#REF!:OFFSET(#REF!,max_countries-1,4)</definedName>
    <definedName name="countries" localSheetId="9">#REF!:OFFSET(#REF!,[1]!max_countries-1,4)</definedName>
    <definedName name="countries" localSheetId="10">#REF!:OFFSET(#REF!,[0]!max_countries-1,4)</definedName>
    <definedName name="countries" localSheetId="11">#REF!:OFFSET(#REF!,[0]!max_countries-1,4)</definedName>
    <definedName name="countries" localSheetId="12">#REF!:OFFSET(#REF!,[1]!max_countries-1,4)</definedName>
    <definedName name="countries" localSheetId="13">#REF!:OFFSET(#REF!,[1]!max_countries-1,4)</definedName>
    <definedName name="countries" localSheetId="14">#REF!:OFFSET(#REF!,[1]!max_countries-1,4)</definedName>
    <definedName name="countries" localSheetId="15">#REF!:OFFSET(#REF!,[1]!max_countries-1,4)</definedName>
    <definedName name="countries" localSheetId="16">#REF!:OFFSET(#REF!,[1]!max_countries-1,4)</definedName>
    <definedName name="countries" localSheetId="17">#REF!:OFFSET(#REF!,[1]!max_countries-1,4)</definedName>
    <definedName name="countries" localSheetId="18">#REF!:OFFSET(#REF!,[1]!max_countries-1,4)</definedName>
    <definedName name="countries" localSheetId="19">#REF!:OFFSET(#REF!,[1]!max_countries-1,4)</definedName>
    <definedName name="countries" localSheetId="20">#REF!:OFFSET(#REF!,[1]!max_countries-1,4)</definedName>
    <definedName name="countries" localSheetId="21">#REF!:OFFSET(#REF!,[1]!max_countries-1,4)</definedName>
    <definedName name="countries" localSheetId="22">#REF!:OFFSET(#REF!,[1]!max_countries-1,4)</definedName>
    <definedName name="countries" localSheetId="23">#REF!:OFFSET(#REF!,[1]!max_countries-1,4)</definedName>
    <definedName name="countries" localSheetId="24">#REF!:OFFSET(#REF!,[1]!max_countries-1,4)</definedName>
    <definedName name="countries" localSheetId="25">#REF!:OFFSET(#REF!,[1]!max_countries-1,4)</definedName>
    <definedName name="countries" localSheetId="26">#REF!:OFFSET(#REF!,[1]!max_countries-1,4)</definedName>
    <definedName name="countries" localSheetId="27">#REF!:OFFSET(#REF!,[1]!max_countries-1,4)</definedName>
    <definedName name="countries" localSheetId="28">#REF!:OFFSET(#REF!,[1]!max_countries-1,4)</definedName>
    <definedName name="countries" localSheetId="31">#REF!:OFFSET(#REF!,[1]!max_countries-1,4)</definedName>
    <definedName name="countries" localSheetId="29">#REF!:OFFSET(#REF!,[1]!max_countries-1,4)</definedName>
    <definedName name="countries" localSheetId="32">#REF!:OFFSET(#REF!,[1]!max_countries-1,4)</definedName>
    <definedName name="countries" localSheetId="33">#REF!:OFFSET(#REF!,[1]!max_countries-1,4)</definedName>
    <definedName name="countries" localSheetId="34">#REF!:OFFSET(#REF!,[1]!max_countries-1,4)</definedName>
    <definedName name="countries" localSheetId="35">#REF!:OFFSET(#REF!,[0]!max_countries-1,4)</definedName>
    <definedName name="countries" localSheetId="36">#REF!:OFFSET(#REF!,[1]!max_countries-1,4)</definedName>
    <definedName name="countries" localSheetId="37">#REF!:OFFSET(#REF!,[1]!max_countries-1,4)</definedName>
    <definedName name="countries" localSheetId="38">#REF!:OFFSET(#REF!,[1]!max_countries-1,4)</definedName>
    <definedName name="countries" localSheetId="39">#REF!:OFFSET(#REF!,[1]!max_countries-1,4)</definedName>
    <definedName name="countries" localSheetId="40">#REF!:OFFSET(#REF!,[1]!max_countries-1,4)</definedName>
    <definedName name="countries" localSheetId="41">#REF!:OFFSET(#REF!,[0]!max_countries-1,4)</definedName>
    <definedName name="countries" localSheetId="42">#REF!:OFFSET(#REF!,[1]!max_countries-1,4)</definedName>
    <definedName name="countries" localSheetId="44">#REF!:OFFSET(#REF!,[1]!max_countries-1,4)</definedName>
    <definedName name="countries" localSheetId="46">#REF!:OFFSET(#REF!,[1]!max_countries-1,4)</definedName>
    <definedName name="countries" localSheetId="47">#REF!:OFFSET(#REF!,[1]!max_countries-1,4)</definedName>
    <definedName name="countries" localSheetId="48">#REF!:OFFSET(#REF!,[1]!max_countries-1,4)</definedName>
    <definedName name="countries" localSheetId="49">#REF!:OFFSET(#REF!,[1]!max_countries-1,4)</definedName>
    <definedName name="countries" localSheetId="50">#REF!:OFFSET(#REF!,[1]!max_countries-1,4)</definedName>
    <definedName name="countries" localSheetId="52">#REF!:OFFSET(#REF!,[1]!max_countries-1,4)</definedName>
    <definedName name="countries" localSheetId="53">#REF!:OFFSET(#REF!,[1]!max_countries-1,4)</definedName>
    <definedName name="countries" localSheetId="55">#REF!:OFFSET(#REF!,[1]!max_countries-1,4)</definedName>
    <definedName name="countries" localSheetId="56">#REF!:OFFSET(#REF!,[1]!max_countries-1,4)</definedName>
    <definedName name="countries" localSheetId="57">#REF!:OFFSET(#REF!,[0]!max_countries-1,4)</definedName>
    <definedName name="countries" localSheetId="59">#REF!:OFFSET(#REF!,[1]!max_countries-1,4)</definedName>
    <definedName name="countries" localSheetId="60">#REF!:OFFSET(#REF!,[0]!max_countries-1,4)</definedName>
    <definedName name="countries" localSheetId="62">#REF!:OFFSET(#REF!,[1]!max_countries-1,4)</definedName>
    <definedName name="countries" localSheetId="63">#REF!:OFFSET(#REF!,[1]!max_countries-1,4)</definedName>
    <definedName name="countries" localSheetId="64">#REF!:OFFSET(#REF!,[1]!max_countries-1,4)</definedName>
    <definedName name="countries">#REF!:OFFSET(#REF!,max_countries-1,4)</definedName>
    <definedName name="increment">#REF!</definedName>
    <definedName name="job_year" localSheetId="8">#REF!</definedName>
    <definedName name="job_year" localSheetId="10">#REF!</definedName>
    <definedName name="job_year" localSheetId="11">#REF!</definedName>
    <definedName name="job_year" localSheetId="35">#REF!</definedName>
    <definedName name="job_year" localSheetId="41">#REF!</definedName>
    <definedName name="job_year" localSheetId="57">#REF!</definedName>
    <definedName name="job_year">#REF!</definedName>
    <definedName name="list_countries" localSheetId="2">#REF!:OFFSET(#REF!,[1]!max_countries-1,0)</definedName>
    <definedName name="list_countries" localSheetId="3">#REF!:OFFSET(#REF!,[1]!max_countries-1,0)</definedName>
    <definedName name="list_countries" localSheetId="4">#REF!:OFFSET(#REF!,[1]!max_countries-1,0)</definedName>
    <definedName name="list_countries" localSheetId="5">#REF!:OFFSET(#REF!,[1]!max_countries-1,0)</definedName>
    <definedName name="list_countries" localSheetId="6">#REF!:OFFSET(#REF!,[1]!max_countries-1,0)</definedName>
    <definedName name="list_countries" localSheetId="8">#REF!:OFFSET(#REF!,max_countries-1,0)</definedName>
    <definedName name="list_countries" localSheetId="9">#REF!:OFFSET(#REF!,[1]!max_countries-1,0)</definedName>
    <definedName name="list_countries" localSheetId="10">#REF!:OFFSET(#REF!,[0]!max_countries-1,0)</definedName>
    <definedName name="list_countries" localSheetId="11">#REF!:OFFSET(#REF!,[0]!max_countries-1,0)</definedName>
    <definedName name="list_countries" localSheetId="12">#REF!:OFFSET(#REF!,[1]!max_countries-1,0)</definedName>
    <definedName name="list_countries" localSheetId="13">#REF!:OFFSET(#REF!,[1]!max_countries-1,0)</definedName>
    <definedName name="list_countries" localSheetId="14">#REF!:OFFSET(#REF!,[1]!max_countries-1,0)</definedName>
    <definedName name="list_countries" localSheetId="15">#REF!:OFFSET(#REF!,[1]!max_countries-1,0)</definedName>
    <definedName name="list_countries" localSheetId="16">#REF!:OFFSET(#REF!,[1]!max_countries-1,0)</definedName>
    <definedName name="list_countries" localSheetId="17">#REF!:OFFSET(#REF!,[1]!max_countries-1,0)</definedName>
    <definedName name="list_countries" localSheetId="18">#REF!:OFFSET(#REF!,[1]!max_countries-1,0)</definedName>
    <definedName name="list_countries" localSheetId="19">#REF!:OFFSET(#REF!,[1]!max_countries-1,0)</definedName>
    <definedName name="list_countries" localSheetId="20">#REF!:OFFSET(#REF!,[1]!max_countries-1,0)</definedName>
    <definedName name="list_countries" localSheetId="21">#REF!:OFFSET(#REF!,[1]!max_countries-1,0)</definedName>
    <definedName name="list_countries" localSheetId="22">#REF!:OFFSET(#REF!,[1]!max_countries-1,0)</definedName>
    <definedName name="list_countries" localSheetId="23">#REF!:OFFSET(#REF!,[1]!max_countries-1,0)</definedName>
    <definedName name="list_countries" localSheetId="24">#REF!:OFFSET(#REF!,[1]!max_countries-1,0)</definedName>
    <definedName name="list_countries" localSheetId="25">#REF!:OFFSET(#REF!,[1]!max_countries-1,0)</definedName>
    <definedName name="list_countries" localSheetId="26">#REF!:OFFSET(#REF!,[1]!max_countries-1,0)</definedName>
    <definedName name="list_countries" localSheetId="27">#REF!:OFFSET(#REF!,[1]!max_countries-1,0)</definedName>
    <definedName name="list_countries" localSheetId="28">#REF!:OFFSET(#REF!,[1]!max_countries-1,0)</definedName>
    <definedName name="list_countries" localSheetId="31">#REF!:OFFSET(#REF!,[1]!max_countries-1,0)</definedName>
    <definedName name="list_countries" localSheetId="29">#REF!:OFFSET(#REF!,[1]!max_countries-1,0)</definedName>
    <definedName name="list_countries" localSheetId="32">#REF!:OFFSET(#REF!,[1]!max_countries-1,0)</definedName>
    <definedName name="list_countries" localSheetId="33">#REF!:OFFSET(#REF!,[1]!max_countries-1,0)</definedName>
    <definedName name="list_countries" localSheetId="34">#REF!:OFFSET(#REF!,[1]!max_countries-1,0)</definedName>
    <definedName name="list_countries" localSheetId="35">#REF!:OFFSET(#REF!,[0]!max_countries-1,0)</definedName>
    <definedName name="list_countries" localSheetId="36">#REF!:OFFSET(#REF!,[1]!max_countries-1,0)</definedName>
    <definedName name="list_countries" localSheetId="37">#REF!:OFFSET(#REF!,[1]!max_countries-1,0)</definedName>
    <definedName name="list_countries" localSheetId="38">#REF!:OFFSET(#REF!,[1]!max_countries-1,0)</definedName>
    <definedName name="list_countries" localSheetId="39">#REF!:OFFSET(#REF!,[1]!max_countries-1,0)</definedName>
    <definedName name="list_countries" localSheetId="40">#REF!:OFFSET(#REF!,[1]!max_countries-1,0)</definedName>
    <definedName name="list_countries" localSheetId="41">#REF!:OFFSET(#REF!,[0]!max_countries-1,0)</definedName>
    <definedName name="list_countries" localSheetId="42">#REF!:OFFSET(#REF!,[1]!max_countries-1,0)</definedName>
    <definedName name="list_countries" localSheetId="44">#REF!:OFFSET(#REF!,[1]!max_countries-1,0)</definedName>
    <definedName name="list_countries" localSheetId="46">#REF!:OFFSET(#REF!,[1]!max_countries-1,0)</definedName>
    <definedName name="list_countries" localSheetId="47">#REF!:OFFSET(#REF!,[1]!max_countries-1,0)</definedName>
    <definedName name="list_countries" localSheetId="48">#REF!:OFFSET(#REF!,[1]!max_countries-1,0)</definedName>
    <definedName name="list_countries" localSheetId="49">#REF!:OFFSET(#REF!,[1]!max_countries-1,0)</definedName>
    <definedName name="list_countries" localSheetId="50">#REF!:OFFSET(#REF!,[1]!max_countries-1,0)</definedName>
    <definedName name="list_countries" localSheetId="52">#REF!:OFFSET(#REF!,[1]!max_countries-1,0)</definedName>
    <definedName name="list_countries" localSheetId="53">#REF!:OFFSET(#REF!,[1]!max_countries-1,0)</definedName>
    <definedName name="list_countries" localSheetId="55">#REF!:OFFSET(#REF!,[1]!max_countries-1,0)</definedName>
    <definedName name="list_countries" localSheetId="56">#REF!:OFFSET(#REF!,[1]!max_countries-1,0)</definedName>
    <definedName name="list_countries" localSheetId="57">#REF!:OFFSET(#REF!,[0]!max_countries-1,0)</definedName>
    <definedName name="list_countries" localSheetId="59">#REF!:OFFSET(#REF!,[1]!max_countries-1,0)</definedName>
    <definedName name="list_countries" localSheetId="60">#REF!:OFFSET(#REF!,[0]!max_countries-1,0)</definedName>
    <definedName name="list_countries" localSheetId="62">#REF!:OFFSET(#REF!,[1]!max_countries-1,0)</definedName>
    <definedName name="list_countries" localSheetId="63">#REF!:OFFSET(#REF!,[1]!max_countries-1,0)</definedName>
    <definedName name="list_countries" localSheetId="64">#REF!:OFFSET(#REF!,[1]!max_countries-1,0)</definedName>
    <definedName name="list_countries">#REF!:OFFSET(#REF!,max_countries-1,0)</definedName>
    <definedName name="max_countries">#REF!</definedName>
    <definedName name="_xlnm.Print_Area" localSheetId="8">Brazil!$A$1:$N$29</definedName>
    <definedName name="_xlnm.Print_Area" localSheetId="10">'Burkina Faso'!$A$1:$N$21</definedName>
    <definedName name="_xlnm.Print_Area" localSheetId="11">Canada!$A$1:$N$28</definedName>
    <definedName name="_xlnm.Print_Area" localSheetId="30">Japan!$A$1:$P$33</definedName>
    <definedName name="_xlnm.Print_Area" localSheetId="35">Mali!$A$1:$N$21</definedName>
    <definedName name="_xlnm.Print_Area" localSheetId="41">Nigeria!$A$1:$N$25</definedName>
    <definedName name="_xlnm.Print_Area" localSheetId="0">Start!$B$1:$M$65</definedName>
    <definedName name="_xlnm.Print_Area" localSheetId="57">Tanzania!$A$1:$N$25</definedName>
    <definedName name="year" localSheetId="8">#REF!</definedName>
    <definedName name="year" localSheetId="10">#REF!</definedName>
    <definedName name="year" localSheetId="11">#REF!</definedName>
    <definedName name="year" localSheetId="35">#REF!</definedName>
    <definedName name="year" localSheetId="41">#REF!</definedName>
    <definedName name="year" localSheetId="57">#REF!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70" l="1"/>
  <c r="L13" i="170" s="1"/>
  <c r="E29" i="170"/>
  <c r="K25" i="170" s="1"/>
  <c r="D29" i="170"/>
  <c r="J22" i="170" s="1"/>
  <c r="C29" i="170"/>
  <c r="F22" i="171"/>
  <c r="L20" i="171" s="1"/>
  <c r="E22" i="171"/>
  <c r="K17" i="171" s="1"/>
  <c r="D22" i="171"/>
  <c r="J14" i="171" s="1"/>
  <c r="C22" i="171"/>
  <c r="I20" i="171"/>
  <c r="H20" i="171"/>
  <c r="G20" i="171"/>
  <c r="I19" i="171"/>
  <c r="H19" i="171"/>
  <c r="G19" i="171"/>
  <c r="I18" i="171"/>
  <c r="H18" i="171"/>
  <c r="G18" i="171"/>
  <c r="I17" i="171"/>
  <c r="H17" i="171"/>
  <c r="G17" i="171"/>
  <c r="I16" i="171"/>
  <c r="H16" i="171"/>
  <c r="G16" i="171"/>
  <c r="L15" i="171"/>
  <c r="I15" i="171"/>
  <c r="H15" i="171"/>
  <c r="G15" i="171"/>
  <c r="I14" i="171"/>
  <c r="H14" i="171"/>
  <c r="G14" i="171"/>
  <c r="I13" i="171"/>
  <c r="H13" i="171"/>
  <c r="G13" i="171"/>
  <c r="I12" i="171"/>
  <c r="H12" i="171"/>
  <c r="G12" i="171"/>
  <c r="I11" i="171"/>
  <c r="H11" i="171"/>
  <c r="G11" i="171"/>
  <c r="I27" i="170"/>
  <c r="H27" i="170"/>
  <c r="G27" i="170"/>
  <c r="I26" i="170"/>
  <c r="H26" i="170"/>
  <c r="G26" i="170"/>
  <c r="I25" i="170"/>
  <c r="H25" i="170"/>
  <c r="G25" i="170"/>
  <c r="I24" i="170"/>
  <c r="H24" i="170"/>
  <c r="G24" i="170"/>
  <c r="I23" i="170"/>
  <c r="H23" i="170"/>
  <c r="G23" i="170"/>
  <c r="I22" i="170"/>
  <c r="H22" i="170"/>
  <c r="G22" i="170"/>
  <c r="I21" i="170"/>
  <c r="H21" i="170"/>
  <c r="G21" i="170"/>
  <c r="I20" i="170"/>
  <c r="H20" i="170"/>
  <c r="G20" i="170"/>
  <c r="I19" i="170"/>
  <c r="H19" i="170"/>
  <c r="G19" i="170"/>
  <c r="I18" i="170"/>
  <c r="H18" i="170"/>
  <c r="G18" i="170"/>
  <c r="I17" i="170"/>
  <c r="H17" i="170"/>
  <c r="G17" i="170"/>
  <c r="I16" i="170"/>
  <c r="H16" i="170"/>
  <c r="G16" i="170"/>
  <c r="I15" i="170"/>
  <c r="H15" i="170"/>
  <c r="G15" i="170"/>
  <c r="I14" i="170"/>
  <c r="H14" i="170"/>
  <c r="G14" i="170"/>
  <c r="I13" i="170"/>
  <c r="H13" i="170"/>
  <c r="G13" i="170"/>
  <c r="I12" i="170"/>
  <c r="H12" i="170"/>
  <c r="G12" i="170"/>
  <c r="K11" i="170"/>
  <c r="I11" i="170"/>
  <c r="H11" i="170"/>
  <c r="G11" i="170"/>
  <c r="F24" i="169"/>
  <c r="L13" i="169" s="1"/>
  <c r="E24" i="169"/>
  <c r="K21" i="169" s="1"/>
  <c r="D24" i="169"/>
  <c r="J21" i="169" s="1"/>
  <c r="C24" i="169"/>
  <c r="I22" i="169"/>
  <c r="H22" i="169"/>
  <c r="G22" i="169"/>
  <c r="I21" i="169"/>
  <c r="H21" i="169"/>
  <c r="G21" i="169"/>
  <c r="I20" i="169"/>
  <c r="H20" i="169"/>
  <c r="G20" i="169"/>
  <c r="L19" i="169"/>
  <c r="I19" i="169"/>
  <c r="H19" i="169"/>
  <c r="G19" i="169"/>
  <c r="I18" i="169"/>
  <c r="H18" i="169"/>
  <c r="G18" i="169"/>
  <c r="L17" i="169"/>
  <c r="I17" i="169"/>
  <c r="H17" i="169"/>
  <c r="G17" i="169"/>
  <c r="I16" i="169"/>
  <c r="H16" i="169"/>
  <c r="G16" i="169"/>
  <c r="L15" i="169"/>
  <c r="I15" i="169"/>
  <c r="H15" i="169"/>
  <c r="G15" i="169"/>
  <c r="K14" i="169"/>
  <c r="I14" i="169"/>
  <c r="H14" i="169"/>
  <c r="G14" i="169"/>
  <c r="I13" i="169"/>
  <c r="H13" i="169"/>
  <c r="G13" i="169"/>
  <c r="I12" i="169"/>
  <c r="H12" i="169"/>
  <c r="G12" i="169"/>
  <c r="I11" i="169"/>
  <c r="H11" i="169"/>
  <c r="G11" i="169"/>
  <c r="N30" i="168"/>
  <c r="AF25" i="168" s="1"/>
  <c r="M30" i="168"/>
  <c r="AE21" i="168" s="1"/>
  <c r="L30" i="168"/>
  <c r="AD16" i="168" s="1"/>
  <c r="K30" i="168"/>
  <c r="AC22" i="168" s="1"/>
  <c r="J30" i="168"/>
  <c r="AB27" i="168" s="1"/>
  <c r="I30" i="168"/>
  <c r="AA25" i="168" s="1"/>
  <c r="H30" i="168"/>
  <c r="Z21" i="168" s="1"/>
  <c r="G30" i="168"/>
  <c r="Y25" i="168" s="1"/>
  <c r="F30" i="168"/>
  <c r="X25" i="168" s="1"/>
  <c r="E30" i="168"/>
  <c r="D30" i="168"/>
  <c r="C30" i="168"/>
  <c r="W28" i="168"/>
  <c r="V28" i="168"/>
  <c r="U28" i="168"/>
  <c r="T28" i="168"/>
  <c r="S28" i="168"/>
  <c r="R28" i="168"/>
  <c r="Q28" i="168"/>
  <c r="P28" i="168"/>
  <c r="O28" i="168"/>
  <c r="AE27" i="168"/>
  <c r="W27" i="168"/>
  <c r="V27" i="168"/>
  <c r="U27" i="168"/>
  <c r="T27" i="168"/>
  <c r="S27" i="168"/>
  <c r="R27" i="168"/>
  <c r="Q27" i="168"/>
  <c r="P27" i="168"/>
  <c r="O27" i="168"/>
  <c r="W26" i="168"/>
  <c r="V26" i="168"/>
  <c r="U26" i="168"/>
  <c r="T26" i="168"/>
  <c r="S26" i="168"/>
  <c r="R26" i="168"/>
  <c r="Q26" i="168"/>
  <c r="P26" i="168"/>
  <c r="O26" i="168"/>
  <c r="W25" i="168"/>
  <c r="V25" i="168"/>
  <c r="U25" i="168"/>
  <c r="T25" i="168"/>
  <c r="S25" i="168"/>
  <c r="R25" i="168"/>
  <c r="Q25" i="168"/>
  <c r="P25" i="168"/>
  <c r="O25" i="168"/>
  <c r="AE24" i="168"/>
  <c r="AD24" i="168"/>
  <c r="W24" i="168"/>
  <c r="V24" i="168"/>
  <c r="U24" i="168"/>
  <c r="T24" i="168"/>
  <c r="S24" i="168"/>
  <c r="R24" i="168"/>
  <c r="Q24" i="168"/>
  <c r="P24" i="168"/>
  <c r="O24" i="168"/>
  <c r="AB23" i="168"/>
  <c r="W23" i="168"/>
  <c r="V23" i="168"/>
  <c r="U23" i="168"/>
  <c r="T23" i="168"/>
  <c r="S23" i="168"/>
  <c r="R23" i="168"/>
  <c r="Q23" i="168"/>
  <c r="P23" i="168"/>
  <c r="O23" i="168"/>
  <c r="W22" i="168"/>
  <c r="V22" i="168"/>
  <c r="U22" i="168"/>
  <c r="T22" i="168"/>
  <c r="S22" i="168"/>
  <c r="R22" i="168"/>
  <c r="Q22" i="168"/>
  <c r="P22" i="168"/>
  <c r="O22" i="168"/>
  <c r="W21" i="168"/>
  <c r="V21" i="168"/>
  <c r="U21" i="168"/>
  <c r="T21" i="168"/>
  <c r="S21" i="168"/>
  <c r="R21" i="168"/>
  <c r="Q21" i="168"/>
  <c r="P21" i="168"/>
  <c r="O21" i="168"/>
  <c r="AE20" i="168"/>
  <c r="W20" i="168"/>
  <c r="V20" i="168"/>
  <c r="U20" i="168"/>
  <c r="T20" i="168"/>
  <c r="S20" i="168"/>
  <c r="R20" i="168"/>
  <c r="Q20" i="168"/>
  <c r="P20" i="168"/>
  <c r="O20" i="168"/>
  <c r="AB19" i="168"/>
  <c r="W19" i="168"/>
  <c r="V19" i="168"/>
  <c r="U19" i="168"/>
  <c r="T19" i="168"/>
  <c r="S19" i="168"/>
  <c r="R19" i="168"/>
  <c r="Q19" i="168"/>
  <c r="P19" i="168"/>
  <c r="O19" i="168"/>
  <c r="W18" i="168"/>
  <c r="V18" i="168"/>
  <c r="U18" i="168"/>
  <c r="T18" i="168"/>
  <c r="S18" i="168"/>
  <c r="R18" i="168"/>
  <c r="Q18" i="168"/>
  <c r="P18" i="168"/>
  <c r="O18" i="168"/>
  <c r="W17" i="168"/>
  <c r="V17" i="168"/>
  <c r="U17" i="168"/>
  <c r="T17" i="168"/>
  <c r="S17" i="168"/>
  <c r="R17" i="168"/>
  <c r="Q17" i="168"/>
  <c r="P17" i="168"/>
  <c r="O17" i="168"/>
  <c r="AF16" i="168"/>
  <c r="AE16" i="168"/>
  <c r="W16" i="168"/>
  <c r="V16" i="168"/>
  <c r="U16" i="168"/>
  <c r="T16" i="168"/>
  <c r="S16" i="168"/>
  <c r="R16" i="168"/>
  <c r="Q16" i="168"/>
  <c r="P16" i="168"/>
  <c r="O16" i="168"/>
  <c r="AE15" i="168"/>
  <c r="W15" i="168"/>
  <c r="V15" i="168"/>
  <c r="U15" i="168"/>
  <c r="T15" i="168"/>
  <c r="S15" i="168"/>
  <c r="R15" i="168"/>
  <c r="Q15" i="168"/>
  <c r="P15" i="168"/>
  <c r="O15" i="168"/>
  <c r="AE14" i="168"/>
  <c r="W14" i="168"/>
  <c r="V14" i="168"/>
  <c r="U14" i="168"/>
  <c r="T14" i="168"/>
  <c r="S14" i="168"/>
  <c r="R14" i="168"/>
  <c r="Q14" i="168"/>
  <c r="P14" i="168"/>
  <c r="O14" i="168"/>
  <c r="AF13" i="168"/>
  <c r="AE13" i="168"/>
  <c r="W13" i="168"/>
  <c r="V13" i="168"/>
  <c r="U13" i="168"/>
  <c r="T13" i="168"/>
  <c r="S13" i="168"/>
  <c r="R13" i="168"/>
  <c r="Q13" i="168"/>
  <c r="P13" i="168"/>
  <c r="O13" i="168"/>
  <c r="AE12" i="168"/>
  <c r="W12" i="168"/>
  <c r="V12" i="168"/>
  <c r="U12" i="168"/>
  <c r="T12" i="168"/>
  <c r="S12" i="168"/>
  <c r="R12" i="168"/>
  <c r="Q12" i="168"/>
  <c r="P12" i="168"/>
  <c r="O12" i="168"/>
  <c r="W11" i="168"/>
  <c r="V11" i="168"/>
  <c r="U11" i="168"/>
  <c r="T11" i="168"/>
  <c r="S11" i="168"/>
  <c r="R11" i="168"/>
  <c r="Q11" i="168"/>
  <c r="P11" i="168"/>
  <c r="O11" i="168"/>
  <c r="H28" i="166"/>
  <c r="Q26" i="166" s="1"/>
  <c r="G28" i="166"/>
  <c r="P20" i="166" s="1"/>
  <c r="F28" i="166"/>
  <c r="O23" i="166" s="1"/>
  <c r="C28" i="166"/>
  <c r="K26" i="166"/>
  <c r="J26" i="166"/>
  <c r="I26" i="166"/>
  <c r="E26" i="166"/>
  <c r="M26" i="166" s="1"/>
  <c r="K25" i="166"/>
  <c r="J25" i="166"/>
  <c r="I25" i="166"/>
  <c r="K24" i="166"/>
  <c r="J24" i="166"/>
  <c r="I24" i="166"/>
  <c r="K23" i="166"/>
  <c r="J23" i="166"/>
  <c r="I23" i="166"/>
  <c r="E23" i="166"/>
  <c r="N23" i="166" s="1"/>
  <c r="K22" i="166"/>
  <c r="J22" i="166"/>
  <c r="I22" i="166"/>
  <c r="E22" i="166"/>
  <c r="M22" i="166" s="1"/>
  <c r="K21" i="166"/>
  <c r="J21" i="166"/>
  <c r="I21" i="166"/>
  <c r="E21" i="166"/>
  <c r="N21" i="166" s="1"/>
  <c r="K20" i="166"/>
  <c r="J20" i="166"/>
  <c r="I20" i="166"/>
  <c r="E20" i="166"/>
  <c r="M20" i="166" s="1"/>
  <c r="K19" i="166"/>
  <c r="J19" i="166"/>
  <c r="I19" i="166"/>
  <c r="E19" i="166"/>
  <c r="N19" i="166" s="1"/>
  <c r="K18" i="166"/>
  <c r="J18" i="166"/>
  <c r="I18" i="166"/>
  <c r="E18" i="166"/>
  <c r="M18" i="166" s="1"/>
  <c r="K17" i="166"/>
  <c r="J17" i="166"/>
  <c r="I17" i="166"/>
  <c r="E17" i="166"/>
  <c r="N17" i="166" s="1"/>
  <c r="K16" i="166"/>
  <c r="J16" i="166"/>
  <c r="I16" i="166"/>
  <c r="E16" i="166"/>
  <c r="M16" i="166" s="1"/>
  <c r="K15" i="166"/>
  <c r="J15" i="166"/>
  <c r="I15" i="166"/>
  <c r="E15" i="166"/>
  <c r="N15" i="166" s="1"/>
  <c r="K14" i="166"/>
  <c r="J14" i="166"/>
  <c r="I14" i="166"/>
  <c r="E14" i="166"/>
  <c r="M14" i="166" s="1"/>
  <c r="K13" i="166"/>
  <c r="J13" i="166"/>
  <c r="I13" i="166"/>
  <c r="E13" i="166"/>
  <c r="N13" i="166" s="1"/>
  <c r="K12" i="166"/>
  <c r="J12" i="166"/>
  <c r="I12" i="166"/>
  <c r="E12" i="166"/>
  <c r="M12" i="166" s="1"/>
  <c r="K11" i="166"/>
  <c r="J11" i="166"/>
  <c r="I11" i="166"/>
  <c r="E11" i="166"/>
  <c r="M11" i="166" s="1"/>
  <c r="F31" i="165"/>
  <c r="L21" i="165" s="1"/>
  <c r="E31" i="165"/>
  <c r="K26" i="165" s="1"/>
  <c r="D31" i="165"/>
  <c r="J28" i="165" s="1"/>
  <c r="C31" i="165"/>
  <c r="I29" i="165"/>
  <c r="H29" i="165"/>
  <c r="G29" i="165"/>
  <c r="I28" i="165"/>
  <c r="H28" i="165"/>
  <c r="G28" i="165"/>
  <c r="I27" i="165"/>
  <c r="H27" i="165"/>
  <c r="G27" i="165"/>
  <c r="I26" i="165"/>
  <c r="H26" i="165"/>
  <c r="G26" i="165"/>
  <c r="I25" i="165"/>
  <c r="H25" i="165"/>
  <c r="G25" i="165"/>
  <c r="I24" i="165"/>
  <c r="H24" i="165"/>
  <c r="G24" i="165"/>
  <c r="I23" i="165"/>
  <c r="H23" i="165"/>
  <c r="G23" i="165"/>
  <c r="I22" i="165"/>
  <c r="H22" i="165"/>
  <c r="G22" i="165"/>
  <c r="I21" i="165"/>
  <c r="H21" i="165"/>
  <c r="G21" i="165"/>
  <c r="I20" i="165"/>
  <c r="H20" i="165"/>
  <c r="G20" i="165"/>
  <c r="I19" i="165"/>
  <c r="H19" i="165"/>
  <c r="G19" i="165"/>
  <c r="I18" i="165"/>
  <c r="H18" i="165"/>
  <c r="G18" i="165"/>
  <c r="I17" i="165"/>
  <c r="H17" i="165"/>
  <c r="G17" i="165"/>
  <c r="I16" i="165"/>
  <c r="H16" i="165"/>
  <c r="G16" i="165"/>
  <c r="I15" i="165"/>
  <c r="H15" i="165"/>
  <c r="G15" i="165"/>
  <c r="I14" i="165"/>
  <c r="H14" i="165"/>
  <c r="G14" i="165"/>
  <c r="I13" i="165"/>
  <c r="H13" i="165"/>
  <c r="G13" i="165"/>
  <c r="I12" i="165"/>
  <c r="H12" i="165"/>
  <c r="G12" i="165"/>
  <c r="I11" i="165"/>
  <c r="H11" i="165"/>
  <c r="G11" i="165"/>
  <c r="J24" i="164"/>
  <c r="V19" i="164" s="1"/>
  <c r="I24" i="164"/>
  <c r="U20" i="164" s="1"/>
  <c r="H24" i="164"/>
  <c r="T18" i="164" s="1"/>
  <c r="G24" i="164"/>
  <c r="S16" i="164" s="1"/>
  <c r="F24" i="164"/>
  <c r="R22" i="164" s="1"/>
  <c r="E24" i="164"/>
  <c r="Q21" i="164" s="1"/>
  <c r="D24" i="164"/>
  <c r="C24" i="164"/>
  <c r="V22" i="164"/>
  <c r="P22" i="164"/>
  <c r="O22" i="164"/>
  <c r="N22" i="164"/>
  <c r="M22" i="164"/>
  <c r="L22" i="164"/>
  <c r="K22" i="164"/>
  <c r="V21" i="164"/>
  <c r="P21" i="164"/>
  <c r="O21" i="164"/>
  <c r="N21" i="164"/>
  <c r="M21" i="164"/>
  <c r="L21" i="164"/>
  <c r="K21" i="164"/>
  <c r="V20" i="164"/>
  <c r="P20" i="164"/>
  <c r="O20" i="164"/>
  <c r="N20" i="164"/>
  <c r="M20" i="164"/>
  <c r="L20" i="164"/>
  <c r="K20" i="164"/>
  <c r="P19" i="164"/>
  <c r="O19" i="164"/>
  <c r="N19" i="164"/>
  <c r="M19" i="164"/>
  <c r="L19" i="164"/>
  <c r="K19" i="164"/>
  <c r="V18" i="164"/>
  <c r="P18" i="164"/>
  <c r="O18" i="164"/>
  <c r="N18" i="164"/>
  <c r="M18" i="164"/>
  <c r="L18" i="164"/>
  <c r="K18" i="164"/>
  <c r="P17" i="164"/>
  <c r="O17" i="164"/>
  <c r="N17" i="164"/>
  <c r="M17" i="164"/>
  <c r="L17" i="164"/>
  <c r="K17" i="164"/>
  <c r="V16" i="164"/>
  <c r="P16" i="164"/>
  <c r="O16" i="164"/>
  <c r="N16" i="164"/>
  <c r="M16" i="164"/>
  <c r="L16" i="164"/>
  <c r="K16" i="164"/>
  <c r="P15" i="164"/>
  <c r="O15" i="164"/>
  <c r="N15" i="164"/>
  <c r="M15" i="164"/>
  <c r="L15" i="164"/>
  <c r="K15" i="164"/>
  <c r="V14" i="164"/>
  <c r="P14" i="164"/>
  <c r="O14" i="164"/>
  <c r="N14" i="164"/>
  <c r="M14" i="164"/>
  <c r="L14" i="164"/>
  <c r="K14" i="164"/>
  <c r="V13" i="164"/>
  <c r="Q13" i="164"/>
  <c r="P13" i="164"/>
  <c r="O13" i="164"/>
  <c r="N13" i="164"/>
  <c r="M13" i="164"/>
  <c r="L13" i="164"/>
  <c r="K13" i="164"/>
  <c r="V12" i="164"/>
  <c r="P12" i="164"/>
  <c r="O12" i="164"/>
  <c r="N12" i="164"/>
  <c r="M12" i="164"/>
  <c r="L12" i="164"/>
  <c r="K12" i="164"/>
  <c r="V11" i="164"/>
  <c r="Q11" i="164"/>
  <c r="P11" i="164"/>
  <c r="O11" i="164"/>
  <c r="N11" i="164"/>
  <c r="M11" i="164"/>
  <c r="L11" i="164"/>
  <c r="K11" i="164"/>
  <c r="N24" i="163"/>
  <c r="AF18" i="163" s="1"/>
  <c r="M24" i="163"/>
  <c r="AE20" i="163" s="1"/>
  <c r="L24" i="163"/>
  <c r="AD18" i="163" s="1"/>
  <c r="K24" i="163"/>
  <c r="AC17" i="163" s="1"/>
  <c r="J24" i="163"/>
  <c r="AB13" i="163" s="1"/>
  <c r="I24" i="163"/>
  <c r="AA19" i="163" s="1"/>
  <c r="H24" i="163"/>
  <c r="Z19" i="163" s="1"/>
  <c r="G24" i="163"/>
  <c r="Y12" i="163" s="1"/>
  <c r="F24" i="163"/>
  <c r="X22" i="163" s="1"/>
  <c r="E24" i="163"/>
  <c r="D24" i="163"/>
  <c r="C24" i="163"/>
  <c r="W22" i="163"/>
  <c r="V22" i="163"/>
  <c r="U22" i="163"/>
  <c r="T22" i="163"/>
  <c r="S22" i="163"/>
  <c r="R22" i="163"/>
  <c r="Q22" i="163"/>
  <c r="P22" i="163"/>
  <c r="O22" i="163"/>
  <c r="W21" i="163"/>
  <c r="V21" i="163"/>
  <c r="U21" i="163"/>
  <c r="T21" i="163"/>
  <c r="S21" i="163"/>
  <c r="R21" i="163"/>
  <c r="Q21" i="163"/>
  <c r="P21" i="163"/>
  <c r="O21" i="163"/>
  <c r="W20" i="163"/>
  <c r="V20" i="163"/>
  <c r="U20" i="163"/>
  <c r="T20" i="163"/>
  <c r="S20" i="163"/>
  <c r="R20" i="163"/>
  <c r="Q20" i="163"/>
  <c r="P20" i="163"/>
  <c r="O20" i="163"/>
  <c r="W19" i="163"/>
  <c r="V19" i="163"/>
  <c r="U19" i="163"/>
  <c r="T19" i="163"/>
  <c r="S19" i="163"/>
  <c r="R19" i="163"/>
  <c r="Q19" i="163"/>
  <c r="P19" i="163"/>
  <c r="O19" i="163"/>
  <c r="X18" i="163"/>
  <c r="W18" i="163"/>
  <c r="V18" i="163"/>
  <c r="U18" i="163"/>
  <c r="T18" i="163"/>
  <c r="S18" i="163"/>
  <c r="R18" i="163"/>
  <c r="Q18" i="163"/>
  <c r="P18" i="163"/>
  <c r="O18" i="163"/>
  <c r="X17" i="163"/>
  <c r="W17" i="163"/>
  <c r="V17" i="163"/>
  <c r="U17" i="163"/>
  <c r="T17" i="163"/>
  <c r="S17" i="163"/>
  <c r="R17" i="163"/>
  <c r="Q17" i="163"/>
  <c r="P17" i="163"/>
  <c r="O17" i="163"/>
  <c r="AA16" i="163"/>
  <c r="W16" i="163"/>
  <c r="V16" i="163"/>
  <c r="U16" i="163"/>
  <c r="T16" i="163"/>
  <c r="S16" i="163"/>
  <c r="R16" i="163"/>
  <c r="Q16" i="163"/>
  <c r="P16" i="163"/>
  <c r="O16" i="163"/>
  <c r="W15" i="163"/>
  <c r="V15" i="163"/>
  <c r="U15" i="163"/>
  <c r="T15" i="163"/>
  <c r="S15" i="163"/>
  <c r="R15" i="163"/>
  <c r="Q15" i="163"/>
  <c r="P15" i="163"/>
  <c r="O15" i="163"/>
  <c r="W14" i="163"/>
  <c r="V14" i="163"/>
  <c r="U14" i="163"/>
  <c r="T14" i="163"/>
  <c r="S14" i="163"/>
  <c r="R14" i="163"/>
  <c r="Q14" i="163"/>
  <c r="P14" i="163"/>
  <c r="O14" i="163"/>
  <c r="X13" i="163"/>
  <c r="W13" i="163"/>
  <c r="V13" i="163"/>
  <c r="U13" i="163"/>
  <c r="T13" i="163"/>
  <c r="S13" i="163"/>
  <c r="R13" i="163"/>
  <c r="Q13" i="163"/>
  <c r="P13" i="163"/>
  <c r="O13" i="163"/>
  <c r="X12" i="163"/>
  <c r="W12" i="163"/>
  <c r="V12" i="163"/>
  <c r="U12" i="163"/>
  <c r="T12" i="163"/>
  <c r="S12" i="163"/>
  <c r="R12" i="163"/>
  <c r="Q12" i="163"/>
  <c r="P12" i="163"/>
  <c r="O12" i="163"/>
  <c r="X11" i="163"/>
  <c r="W11" i="163"/>
  <c r="V11" i="163"/>
  <c r="U11" i="163"/>
  <c r="T11" i="163"/>
  <c r="S11" i="163"/>
  <c r="R11" i="163"/>
  <c r="Q11" i="163"/>
  <c r="P11" i="163"/>
  <c r="O11" i="163"/>
  <c r="J28" i="161"/>
  <c r="V19" i="161" s="1"/>
  <c r="I28" i="161"/>
  <c r="U22" i="161" s="1"/>
  <c r="H28" i="161"/>
  <c r="G28" i="161"/>
  <c r="S24" i="161" s="1"/>
  <c r="F28" i="161"/>
  <c r="R25" i="161" s="1"/>
  <c r="E28" i="161"/>
  <c r="Q25" i="161" s="1"/>
  <c r="D28" i="161"/>
  <c r="C28" i="161"/>
  <c r="T26" i="161"/>
  <c r="R26" i="161"/>
  <c r="Q26" i="161"/>
  <c r="P26" i="161"/>
  <c r="O26" i="161"/>
  <c r="N26" i="161"/>
  <c r="M26" i="161"/>
  <c r="L26" i="161"/>
  <c r="K26" i="161"/>
  <c r="T25" i="161"/>
  <c r="S25" i="161"/>
  <c r="P25" i="161"/>
  <c r="O25" i="161"/>
  <c r="N25" i="161"/>
  <c r="M25" i="161"/>
  <c r="L25" i="161"/>
  <c r="K25" i="161"/>
  <c r="T24" i="161"/>
  <c r="R24" i="161"/>
  <c r="Q24" i="161"/>
  <c r="P24" i="161"/>
  <c r="O24" i="161"/>
  <c r="N24" i="161"/>
  <c r="M24" i="161"/>
  <c r="L24" i="161"/>
  <c r="K24" i="161"/>
  <c r="T23" i="161"/>
  <c r="P23" i="161"/>
  <c r="O23" i="161"/>
  <c r="N23" i="161"/>
  <c r="M23" i="161"/>
  <c r="L23" i="161"/>
  <c r="K23" i="161"/>
  <c r="T22" i="161"/>
  <c r="S22" i="161"/>
  <c r="R22" i="161"/>
  <c r="Q22" i="161"/>
  <c r="P22" i="161"/>
  <c r="O22" i="161"/>
  <c r="N22" i="161"/>
  <c r="M22" i="161"/>
  <c r="L22" i="161"/>
  <c r="K22" i="161"/>
  <c r="T21" i="161"/>
  <c r="S21" i="161"/>
  <c r="P21" i="161"/>
  <c r="O21" i="161"/>
  <c r="N21" i="161"/>
  <c r="M21" i="161"/>
  <c r="L21" i="161"/>
  <c r="K21" i="161"/>
  <c r="T20" i="161"/>
  <c r="R20" i="161"/>
  <c r="Q20" i="161"/>
  <c r="P20" i="161"/>
  <c r="O20" i="161"/>
  <c r="N20" i="161"/>
  <c r="M20" i="161"/>
  <c r="L20" i="161"/>
  <c r="K20" i="161"/>
  <c r="T19" i="161"/>
  <c r="P19" i="161"/>
  <c r="O19" i="161"/>
  <c r="N19" i="161"/>
  <c r="M19" i="161"/>
  <c r="L19" i="161"/>
  <c r="K19" i="161"/>
  <c r="T18" i="161"/>
  <c r="S18" i="161"/>
  <c r="R18" i="161"/>
  <c r="Q18" i="161"/>
  <c r="P18" i="161"/>
  <c r="O18" i="161"/>
  <c r="N18" i="161"/>
  <c r="M18" i="161"/>
  <c r="L18" i="161"/>
  <c r="K18" i="161"/>
  <c r="T17" i="161"/>
  <c r="S17" i="161"/>
  <c r="R17" i="161"/>
  <c r="Q17" i="161"/>
  <c r="P17" i="161"/>
  <c r="O17" i="161"/>
  <c r="N17" i="161"/>
  <c r="M17" i="161"/>
  <c r="L17" i="161"/>
  <c r="K17" i="161"/>
  <c r="T16" i="161"/>
  <c r="S16" i="161"/>
  <c r="R16" i="161"/>
  <c r="Q16" i="161"/>
  <c r="P16" i="161"/>
  <c r="O16" i="161"/>
  <c r="N16" i="161"/>
  <c r="M16" i="161"/>
  <c r="L16" i="161"/>
  <c r="K16" i="161"/>
  <c r="T15" i="161"/>
  <c r="S15" i="161"/>
  <c r="R15" i="161"/>
  <c r="Q15" i="161"/>
  <c r="P15" i="161"/>
  <c r="O15" i="161"/>
  <c r="N15" i="161"/>
  <c r="M15" i="161"/>
  <c r="L15" i="161"/>
  <c r="K15" i="161"/>
  <c r="T14" i="161"/>
  <c r="S14" i="161"/>
  <c r="R14" i="161"/>
  <c r="Q14" i="161"/>
  <c r="P14" i="161"/>
  <c r="O14" i="161"/>
  <c r="N14" i="161"/>
  <c r="M14" i="161"/>
  <c r="L14" i="161"/>
  <c r="K14" i="161"/>
  <c r="T13" i="161"/>
  <c r="S13" i="161"/>
  <c r="R13" i="161"/>
  <c r="Q13" i="161"/>
  <c r="P13" i="161"/>
  <c r="O13" i="161"/>
  <c r="N13" i="161"/>
  <c r="M13" i="161"/>
  <c r="L13" i="161"/>
  <c r="K13" i="161"/>
  <c r="T12" i="161"/>
  <c r="S12" i="161"/>
  <c r="R12" i="161"/>
  <c r="Q12" i="161"/>
  <c r="P12" i="161"/>
  <c r="O12" i="161"/>
  <c r="N12" i="161"/>
  <c r="M12" i="161"/>
  <c r="L12" i="161"/>
  <c r="K12" i="161"/>
  <c r="T11" i="161"/>
  <c r="S11" i="161"/>
  <c r="R11" i="161"/>
  <c r="Q11" i="161"/>
  <c r="P11" i="161"/>
  <c r="O11" i="161"/>
  <c r="N11" i="161"/>
  <c r="M11" i="161"/>
  <c r="L11" i="161"/>
  <c r="K11" i="161"/>
  <c r="R25" i="160"/>
  <c r="AP18" i="160" s="1"/>
  <c r="Q25" i="160"/>
  <c r="AO21" i="160" s="1"/>
  <c r="P25" i="160"/>
  <c r="AN20" i="160" s="1"/>
  <c r="O25" i="160"/>
  <c r="AM23" i="160" s="1"/>
  <c r="N25" i="160"/>
  <c r="M25" i="160"/>
  <c r="AK22" i="160" s="1"/>
  <c r="L25" i="160"/>
  <c r="AJ23" i="160" s="1"/>
  <c r="K25" i="160"/>
  <c r="AI23" i="160" s="1"/>
  <c r="J25" i="160"/>
  <c r="AH23" i="160" s="1"/>
  <c r="I25" i="160"/>
  <c r="AG22" i="160" s="1"/>
  <c r="H25" i="160"/>
  <c r="AF21" i="160" s="1"/>
  <c r="G25" i="160"/>
  <c r="AE21" i="160" s="1"/>
  <c r="F25" i="160"/>
  <c r="E25" i="160"/>
  <c r="D25" i="160"/>
  <c r="C25" i="160"/>
  <c r="AL23" i="160"/>
  <c r="AD23" i="160"/>
  <c r="AC23" i="160"/>
  <c r="AB23" i="160"/>
  <c r="AA23" i="160"/>
  <c r="Z23" i="160"/>
  <c r="Y23" i="160"/>
  <c r="X23" i="160"/>
  <c r="W23" i="160"/>
  <c r="V23" i="160"/>
  <c r="U23" i="160"/>
  <c r="T23" i="160"/>
  <c r="S23" i="160"/>
  <c r="AM22" i="160"/>
  <c r="AL22" i="160"/>
  <c r="AD22" i="160"/>
  <c r="AC22" i="160"/>
  <c r="AB22" i="160"/>
  <c r="AA22" i="160"/>
  <c r="Z22" i="160"/>
  <c r="Y22" i="160"/>
  <c r="X22" i="160"/>
  <c r="W22" i="160"/>
  <c r="V22" i="160"/>
  <c r="U22" i="160"/>
  <c r="T22" i="160"/>
  <c r="S22" i="160"/>
  <c r="AM21" i="160"/>
  <c r="AL21" i="160"/>
  <c r="AD21" i="160"/>
  <c r="AC21" i="160"/>
  <c r="AB21" i="160"/>
  <c r="AA21" i="160"/>
  <c r="Z21" i="160"/>
  <c r="Y21" i="160"/>
  <c r="X21" i="160"/>
  <c r="W21" i="160"/>
  <c r="V21" i="160"/>
  <c r="U21" i="160"/>
  <c r="T21" i="160"/>
  <c r="S21" i="160"/>
  <c r="AM20" i="160"/>
  <c r="AL20" i="160"/>
  <c r="AE20" i="160"/>
  <c r="AD20" i="160"/>
  <c r="AC20" i="160"/>
  <c r="AB20" i="160"/>
  <c r="AA20" i="160"/>
  <c r="Z20" i="160"/>
  <c r="Y20" i="160"/>
  <c r="X20" i="160"/>
  <c r="W20" i="160"/>
  <c r="V20" i="160"/>
  <c r="U20" i="160"/>
  <c r="T20" i="160"/>
  <c r="S20" i="160"/>
  <c r="AO19" i="160"/>
  <c r="AM19" i="160"/>
  <c r="AL19" i="160"/>
  <c r="AE19" i="160"/>
  <c r="AD19" i="160"/>
  <c r="AC19" i="160"/>
  <c r="AB19" i="160"/>
  <c r="AA19" i="160"/>
  <c r="Z19" i="160"/>
  <c r="Y19" i="160"/>
  <c r="X19" i="160"/>
  <c r="W19" i="160"/>
  <c r="V19" i="160"/>
  <c r="U19" i="160"/>
  <c r="T19" i="160"/>
  <c r="S19" i="160"/>
  <c r="AL18" i="160"/>
  <c r="AE18" i="160"/>
  <c r="AD18" i="160"/>
  <c r="AC18" i="160"/>
  <c r="AB18" i="160"/>
  <c r="AA18" i="160"/>
  <c r="Z18" i="160"/>
  <c r="Y18" i="160"/>
  <c r="X18" i="160"/>
  <c r="W18" i="160"/>
  <c r="V18" i="160"/>
  <c r="U18" i="160"/>
  <c r="T18" i="160"/>
  <c r="S18" i="160"/>
  <c r="AM17" i="160"/>
  <c r="AL17" i="160"/>
  <c r="AE17" i="160"/>
  <c r="AD17" i="160"/>
  <c r="AC17" i="160"/>
  <c r="AB17" i="160"/>
  <c r="AA17" i="160"/>
  <c r="Z17" i="160"/>
  <c r="Y17" i="160"/>
  <c r="X17" i="160"/>
  <c r="W17" i="160"/>
  <c r="V17" i="160"/>
  <c r="U17" i="160"/>
  <c r="T17" i="160"/>
  <c r="S17" i="160"/>
  <c r="AL16" i="160"/>
  <c r="AH16" i="160"/>
  <c r="AE16" i="160"/>
  <c r="AD16" i="160"/>
  <c r="AC16" i="160"/>
  <c r="AB16" i="160"/>
  <c r="AA16" i="160"/>
  <c r="Z16" i="160"/>
  <c r="Y16" i="160"/>
  <c r="X16" i="160"/>
  <c r="W16" i="160"/>
  <c r="V16" i="160"/>
  <c r="U16" i="160"/>
  <c r="T16" i="160"/>
  <c r="S16" i="160"/>
  <c r="AL15" i="160"/>
  <c r="AG15" i="160"/>
  <c r="AE15" i="160"/>
  <c r="AD15" i="160"/>
  <c r="AC15" i="160"/>
  <c r="AB15" i="160"/>
  <c r="AA15" i="160"/>
  <c r="Z15" i="160"/>
  <c r="Y15" i="160"/>
  <c r="X15" i="160"/>
  <c r="W15" i="160"/>
  <c r="V15" i="160"/>
  <c r="U15" i="160"/>
  <c r="T15" i="160"/>
  <c r="S15" i="160"/>
  <c r="AO14" i="160"/>
  <c r="AM14" i="160"/>
  <c r="AL14" i="160"/>
  <c r="AE14" i="160"/>
  <c r="AD14" i="160"/>
  <c r="AC14" i="160"/>
  <c r="AB14" i="160"/>
  <c r="AA14" i="160"/>
  <c r="Z14" i="160"/>
  <c r="Y14" i="160"/>
  <c r="X14" i="160"/>
  <c r="W14" i="160"/>
  <c r="V14" i="160"/>
  <c r="U14" i="160"/>
  <c r="T14" i="160"/>
  <c r="S14" i="160"/>
  <c r="AL13" i="160"/>
  <c r="AD13" i="160"/>
  <c r="AC13" i="160"/>
  <c r="AB13" i="160"/>
  <c r="AA13" i="160"/>
  <c r="Z13" i="160"/>
  <c r="Y13" i="160"/>
  <c r="X13" i="160"/>
  <c r="W13" i="160"/>
  <c r="V13" i="160"/>
  <c r="U13" i="160"/>
  <c r="T13" i="160"/>
  <c r="S13" i="160"/>
  <c r="AO12" i="160"/>
  <c r="AL12" i="160"/>
  <c r="AD12" i="160"/>
  <c r="AC12" i="160"/>
  <c r="AB12" i="160"/>
  <c r="AA12" i="160"/>
  <c r="Z12" i="160"/>
  <c r="Y12" i="160"/>
  <c r="X12" i="160"/>
  <c r="W12" i="160"/>
  <c r="V12" i="160"/>
  <c r="U12" i="160"/>
  <c r="T12" i="160"/>
  <c r="S12" i="160"/>
  <c r="AL11" i="160"/>
  <c r="AE11" i="160"/>
  <c r="AD11" i="160"/>
  <c r="AC11" i="160"/>
  <c r="AB11" i="160"/>
  <c r="AA11" i="160"/>
  <c r="Z11" i="160"/>
  <c r="Y11" i="160"/>
  <c r="X11" i="160"/>
  <c r="W11" i="160"/>
  <c r="V11" i="160"/>
  <c r="U11" i="160"/>
  <c r="T11" i="160"/>
  <c r="S11" i="160"/>
  <c r="K13" i="171" l="1"/>
  <c r="L13" i="171"/>
  <c r="J13" i="171"/>
  <c r="L17" i="171"/>
  <c r="L18" i="171"/>
  <c r="L11" i="171"/>
  <c r="L19" i="171"/>
  <c r="L12" i="171"/>
  <c r="L14" i="171"/>
  <c r="L16" i="171"/>
  <c r="J16" i="171"/>
  <c r="J12" i="171"/>
  <c r="J15" i="171"/>
  <c r="J18" i="171"/>
  <c r="J17" i="171"/>
  <c r="J20" i="171"/>
  <c r="J19" i="171"/>
  <c r="J11" i="171"/>
  <c r="J17" i="170"/>
  <c r="J14" i="170"/>
  <c r="K14" i="170"/>
  <c r="L15" i="170"/>
  <c r="L17" i="170"/>
  <c r="L19" i="170"/>
  <c r="L21" i="170"/>
  <c r="L23" i="170"/>
  <c r="L25" i="170"/>
  <c r="L27" i="170"/>
  <c r="L14" i="170"/>
  <c r="L16" i="170"/>
  <c r="L12" i="170"/>
  <c r="L18" i="170"/>
  <c r="L20" i="170"/>
  <c r="L22" i="170"/>
  <c r="L24" i="170"/>
  <c r="L26" i="170"/>
  <c r="L11" i="170"/>
  <c r="K22" i="170"/>
  <c r="K13" i="170"/>
  <c r="K16" i="170"/>
  <c r="K19" i="170"/>
  <c r="K27" i="170"/>
  <c r="K24" i="170"/>
  <c r="K21" i="170"/>
  <c r="K12" i="170"/>
  <c r="K15" i="170"/>
  <c r="K29" i="170" s="1"/>
  <c r="K18" i="170"/>
  <c r="K26" i="170"/>
  <c r="K23" i="170"/>
  <c r="K20" i="170"/>
  <c r="K17" i="170"/>
  <c r="J18" i="170"/>
  <c r="J21" i="170"/>
  <c r="J13" i="170"/>
  <c r="J26" i="170"/>
  <c r="L21" i="169"/>
  <c r="AC13" i="168"/>
  <c r="AC16" i="168"/>
  <c r="AD20" i="168"/>
  <c r="AD12" i="168"/>
  <c r="AC15" i="168"/>
  <c r="O13" i="166"/>
  <c r="L23" i="166"/>
  <c r="O17" i="166"/>
  <c r="J29" i="165"/>
  <c r="J25" i="165"/>
  <c r="K27" i="165"/>
  <c r="K29" i="165"/>
  <c r="J27" i="165"/>
  <c r="K14" i="165"/>
  <c r="J23" i="165"/>
  <c r="J13" i="165"/>
  <c r="J17" i="165"/>
  <c r="J19" i="165"/>
  <c r="J11" i="165"/>
  <c r="K13" i="165"/>
  <c r="J15" i="165"/>
  <c r="J21" i="165"/>
  <c r="AE12" i="160"/>
  <c r="AE13" i="160"/>
  <c r="AM18" i="160"/>
  <c r="AM12" i="160"/>
  <c r="AM13" i="160"/>
  <c r="AM15" i="160"/>
  <c r="AM16" i="160"/>
  <c r="AE23" i="160"/>
  <c r="AM11" i="160"/>
  <c r="AM25" i="160" s="1"/>
  <c r="AE22" i="160"/>
  <c r="J13" i="169"/>
  <c r="L12" i="169"/>
  <c r="L14" i="169"/>
  <c r="L16" i="169"/>
  <c r="L18" i="169"/>
  <c r="L20" i="169"/>
  <c r="L22" i="169"/>
  <c r="L11" i="169"/>
  <c r="K13" i="169"/>
  <c r="K18" i="169"/>
  <c r="K22" i="169"/>
  <c r="K17" i="169"/>
  <c r="J17" i="169"/>
  <c r="K14" i="171"/>
  <c r="K18" i="171"/>
  <c r="K12" i="171"/>
  <c r="K16" i="171"/>
  <c r="K20" i="171"/>
  <c r="K11" i="171"/>
  <c r="K15" i="171"/>
  <c r="K19" i="171"/>
  <c r="J12" i="170"/>
  <c r="J16" i="170"/>
  <c r="J20" i="170"/>
  <c r="J24" i="170"/>
  <c r="J25" i="170"/>
  <c r="J11" i="170"/>
  <c r="J15" i="170"/>
  <c r="J19" i="170"/>
  <c r="J23" i="170"/>
  <c r="J27" i="170"/>
  <c r="J14" i="169"/>
  <c r="J18" i="169"/>
  <c r="J22" i="169"/>
  <c r="J12" i="169"/>
  <c r="J16" i="169"/>
  <c r="J20" i="169"/>
  <c r="K12" i="169"/>
  <c r="K16" i="169"/>
  <c r="K20" i="169"/>
  <c r="J11" i="169"/>
  <c r="J15" i="169"/>
  <c r="J19" i="169"/>
  <c r="K11" i="169"/>
  <c r="K15" i="169"/>
  <c r="K19" i="169"/>
  <c r="Y19" i="168"/>
  <c r="Y24" i="168"/>
  <c r="Y11" i="168"/>
  <c r="AC14" i="168"/>
  <c r="AC28" i="168"/>
  <c r="AF14" i="168"/>
  <c r="AA13" i="168"/>
  <c r="AF21" i="168"/>
  <c r="Y15" i="168"/>
  <c r="Y22" i="168"/>
  <c r="Y12" i="168"/>
  <c r="Y17" i="168"/>
  <c r="Y20" i="168"/>
  <c r="AF22" i="168"/>
  <c r="Y14" i="168"/>
  <c r="AF15" i="168"/>
  <c r="X18" i="168"/>
  <c r="Y23" i="168"/>
  <c r="Y26" i="168"/>
  <c r="Y27" i="168"/>
  <c r="Y13" i="168"/>
  <c r="Y16" i="168"/>
  <c r="Y18" i="168"/>
  <c r="Z26" i="168"/>
  <c r="Y21" i="168"/>
  <c r="AB11" i="168"/>
  <c r="AD19" i="168"/>
  <c r="AD23" i="168"/>
  <c r="AD11" i="168"/>
  <c r="X14" i="168"/>
  <c r="X15" i="168"/>
  <c r="X16" i="168"/>
  <c r="X17" i="168"/>
  <c r="AB18" i="168"/>
  <c r="AE19" i="168"/>
  <c r="X21" i="168"/>
  <c r="AB22" i="168"/>
  <c r="AE23" i="168"/>
  <c r="AB25" i="168"/>
  <c r="AD26" i="168"/>
  <c r="AB28" i="168"/>
  <c r="AB26" i="168"/>
  <c r="AE11" i="168"/>
  <c r="AD18" i="168"/>
  <c r="AD22" i="168"/>
  <c r="AD25" i="168"/>
  <c r="AE26" i="168"/>
  <c r="AD27" i="168"/>
  <c r="AB13" i="168"/>
  <c r="AB14" i="168"/>
  <c r="AB15" i="168"/>
  <c r="AB16" i="168"/>
  <c r="AB17" i="168"/>
  <c r="AE18" i="168"/>
  <c r="X20" i="168"/>
  <c r="AB21" i="168"/>
  <c r="AE22" i="168"/>
  <c r="X24" i="168"/>
  <c r="AE25" i="168"/>
  <c r="AD28" i="168"/>
  <c r="AD21" i="168"/>
  <c r="AD17" i="168"/>
  <c r="AE28" i="168"/>
  <c r="AB12" i="168"/>
  <c r="AD13" i="168"/>
  <c r="AD14" i="168"/>
  <c r="AD15" i="168"/>
  <c r="AE17" i="168"/>
  <c r="X19" i="168"/>
  <c r="AB20" i="168"/>
  <c r="AB24" i="168"/>
  <c r="X26" i="168"/>
  <c r="X11" i="168"/>
  <c r="X12" i="168"/>
  <c r="X13" i="168"/>
  <c r="AF17" i="168"/>
  <c r="AF18" i="168"/>
  <c r="AF19" i="168"/>
  <c r="AF20" i="168"/>
  <c r="AF23" i="168"/>
  <c r="AF24" i="168"/>
  <c r="X27" i="168"/>
  <c r="AC11" i="168"/>
  <c r="AC12" i="168"/>
  <c r="AA17" i="168"/>
  <c r="X22" i="168"/>
  <c r="X23" i="168"/>
  <c r="AC25" i="168"/>
  <c r="AC26" i="168"/>
  <c r="AC27" i="168"/>
  <c r="AA21" i="168"/>
  <c r="AC17" i="168"/>
  <c r="AC18" i="168"/>
  <c r="AC19" i="168"/>
  <c r="AC20" i="168"/>
  <c r="AC24" i="168"/>
  <c r="AF11" i="168"/>
  <c r="AF12" i="168"/>
  <c r="AC21" i="168"/>
  <c r="AF26" i="168"/>
  <c r="AF27" i="168"/>
  <c r="Z18" i="168"/>
  <c r="AA14" i="168"/>
  <c r="AA18" i="168"/>
  <c r="AA22" i="168"/>
  <c r="Z27" i="168"/>
  <c r="X28" i="168"/>
  <c r="AF28" i="168"/>
  <c r="Z11" i="168"/>
  <c r="Z15" i="168"/>
  <c r="Z19" i="168"/>
  <c r="Z23" i="168"/>
  <c r="AA27" i="168"/>
  <c r="Y28" i="168"/>
  <c r="Z22" i="168"/>
  <c r="AA11" i="168"/>
  <c r="AA15" i="168"/>
  <c r="AA19" i="168"/>
  <c r="AA23" i="168"/>
  <c r="Z24" i="168"/>
  <c r="Z28" i="168"/>
  <c r="Z12" i="168"/>
  <c r="Z16" i="168"/>
  <c r="Z20" i="168"/>
  <c r="AA24" i="168"/>
  <c r="AA28" i="168"/>
  <c r="Z14" i="168"/>
  <c r="AA26" i="168"/>
  <c r="AA12" i="168"/>
  <c r="AA16" i="168"/>
  <c r="AA20" i="168"/>
  <c r="Z25" i="168"/>
  <c r="Z13" i="168"/>
  <c r="Z17" i="168"/>
  <c r="N14" i="166"/>
  <c r="O14" i="166"/>
  <c r="O18" i="166"/>
  <c r="P13" i="166"/>
  <c r="M19" i="166"/>
  <c r="O22" i="166"/>
  <c r="P23" i="166"/>
  <c r="O21" i="166"/>
  <c r="P14" i="166"/>
  <c r="P15" i="166"/>
  <c r="P18" i="166"/>
  <c r="P21" i="166"/>
  <c r="P24" i="166"/>
  <c r="N26" i="166"/>
  <c r="P19" i="166"/>
  <c r="P22" i="166"/>
  <c r="P11" i="166"/>
  <c r="P17" i="166"/>
  <c r="N20" i="166"/>
  <c r="L16" i="166"/>
  <c r="O24" i="166"/>
  <c r="L15" i="166"/>
  <c r="N22" i="166"/>
  <c r="M23" i="166"/>
  <c r="N11" i="166"/>
  <c r="M15" i="166"/>
  <c r="N16" i="166"/>
  <c r="O26" i="166"/>
  <c r="O25" i="166"/>
  <c r="P26" i="166"/>
  <c r="L19" i="166"/>
  <c r="L20" i="166"/>
  <c r="P25" i="166"/>
  <c r="N18" i="166"/>
  <c r="L11" i="166"/>
  <c r="L12" i="166"/>
  <c r="N12" i="166"/>
  <c r="Q11" i="166"/>
  <c r="O12" i="166"/>
  <c r="M13" i="166"/>
  <c r="Q15" i="166"/>
  <c r="O16" i="166"/>
  <c r="M17" i="166"/>
  <c r="Q19" i="166"/>
  <c r="O20" i="166"/>
  <c r="M21" i="166"/>
  <c r="Q23" i="166"/>
  <c r="E28" i="166"/>
  <c r="Q17" i="166"/>
  <c r="Q25" i="166"/>
  <c r="L13" i="166"/>
  <c r="L17" i="166"/>
  <c r="L21" i="166"/>
  <c r="P12" i="166"/>
  <c r="L14" i="166"/>
  <c r="P16" i="166"/>
  <c r="L18" i="166"/>
  <c r="L22" i="166"/>
  <c r="L26" i="166"/>
  <c r="Q21" i="166"/>
  <c r="Q12" i="166"/>
  <c r="Q16" i="166"/>
  <c r="Q20" i="166"/>
  <c r="Q13" i="166"/>
  <c r="O11" i="166"/>
  <c r="O28" i="166" s="1"/>
  <c r="Q14" i="166"/>
  <c r="O15" i="166"/>
  <c r="Q18" i="166"/>
  <c r="O19" i="166"/>
  <c r="Q22" i="166"/>
  <c r="Q24" i="166"/>
  <c r="K21" i="165"/>
  <c r="L27" i="165"/>
  <c r="K16" i="165"/>
  <c r="K18" i="165"/>
  <c r="K23" i="165"/>
  <c r="K11" i="165"/>
  <c r="K20" i="165"/>
  <c r="K25" i="165"/>
  <c r="K15" i="165"/>
  <c r="K22" i="165"/>
  <c r="K28" i="165"/>
  <c r="K17" i="165"/>
  <c r="K24" i="165"/>
  <c r="K12" i="165"/>
  <c r="K19" i="165"/>
  <c r="L20" i="165"/>
  <c r="L24" i="165"/>
  <c r="L17" i="165"/>
  <c r="L13" i="165"/>
  <c r="L16" i="165"/>
  <c r="L29" i="165"/>
  <c r="L19" i="165"/>
  <c r="L22" i="165"/>
  <c r="L12" i="165"/>
  <c r="L25" i="165"/>
  <c r="L28" i="165"/>
  <c r="L23" i="165"/>
  <c r="L26" i="165"/>
  <c r="L15" i="165"/>
  <c r="L18" i="165"/>
  <c r="L11" i="165"/>
  <c r="L14" i="165"/>
  <c r="J14" i="165"/>
  <c r="J18" i="165"/>
  <c r="J22" i="165"/>
  <c r="J26" i="165"/>
  <c r="J12" i="165"/>
  <c r="J16" i="165"/>
  <c r="J20" i="165"/>
  <c r="J24" i="165"/>
  <c r="U15" i="164"/>
  <c r="R17" i="164"/>
  <c r="Q20" i="164"/>
  <c r="R11" i="164"/>
  <c r="U12" i="164"/>
  <c r="S17" i="164"/>
  <c r="Q18" i="164"/>
  <c r="U19" i="164"/>
  <c r="U17" i="164"/>
  <c r="Q16" i="164"/>
  <c r="Q17" i="164"/>
  <c r="V15" i="164"/>
  <c r="R16" i="164"/>
  <c r="R12" i="164"/>
  <c r="V17" i="164"/>
  <c r="V24" i="164" s="1"/>
  <c r="R18" i="164"/>
  <c r="R19" i="164"/>
  <c r="R13" i="164"/>
  <c r="R14" i="164"/>
  <c r="R15" i="164"/>
  <c r="R20" i="164"/>
  <c r="R21" i="164"/>
  <c r="U22" i="164"/>
  <c r="S14" i="164"/>
  <c r="T16" i="164"/>
  <c r="U18" i="164"/>
  <c r="Q19" i="164"/>
  <c r="S12" i="164"/>
  <c r="T14" i="164"/>
  <c r="U16" i="164"/>
  <c r="S21" i="164"/>
  <c r="T12" i="164"/>
  <c r="U14" i="164"/>
  <c r="Q15" i="164"/>
  <c r="S19" i="164"/>
  <c r="U21" i="164"/>
  <c r="Q22" i="164"/>
  <c r="S22" i="164"/>
  <c r="S13" i="164"/>
  <c r="S20" i="164"/>
  <c r="S11" i="164"/>
  <c r="U13" i="164"/>
  <c r="Q14" i="164"/>
  <c r="S18" i="164"/>
  <c r="T20" i="164"/>
  <c r="S15" i="164"/>
  <c r="U11" i="164"/>
  <c r="Q12" i="164"/>
  <c r="T11" i="164"/>
  <c r="T13" i="164"/>
  <c r="T15" i="164"/>
  <c r="T17" i="164"/>
  <c r="T19" i="164"/>
  <c r="T21" i="164"/>
  <c r="T22" i="164"/>
  <c r="AF19" i="163"/>
  <c r="AF17" i="163"/>
  <c r="AF22" i="163"/>
  <c r="AA15" i="163"/>
  <c r="AF16" i="163"/>
  <c r="Z16" i="163"/>
  <c r="AF15" i="163"/>
  <c r="AE21" i="163"/>
  <c r="AE11" i="163"/>
  <c r="AE14" i="163"/>
  <c r="AE16" i="163"/>
  <c r="AE18" i="163"/>
  <c r="AE13" i="163"/>
  <c r="AE22" i="163"/>
  <c r="AE19" i="163"/>
  <c r="AE17" i="163"/>
  <c r="AE12" i="163"/>
  <c r="AE15" i="163"/>
  <c r="AD17" i="163"/>
  <c r="AD11" i="163"/>
  <c r="AD13" i="163"/>
  <c r="AD19" i="163"/>
  <c r="AD14" i="163"/>
  <c r="AD12" i="163"/>
  <c r="AD16" i="163"/>
  <c r="AD20" i="163"/>
  <c r="AD15" i="163"/>
  <c r="AC15" i="163"/>
  <c r="AC19" i="163"/>
  <c r="AC16" i="163"/>
  <c r="AC13" i="163"/>
  <c r="AC18" i="163"/>
  <c r="AB18" i="163"/>
  <c r="AB17" i="163"/>
  <c r="AB15" i="163"/>
  <c r="AB16" i="163"/>
  <c r="AA18" i="163"/>
  <c r="AA22" i="163"/>
  <c r="AA12" i="163"/>
  <c r="AA20" i="163"/>
  <c r="AA17" i="163"/>
  <c r="AA13" i="163"/>
  <c r="AA14" i="163"/>
  <c r="AA21" i="163"/>
  <c r="AA11" i="163"/>
  <c r="AB22" i="163"/>
  <c r="AF14" i="163"/>
  <c r="AB21" i="163"/>
  <c r="AC22" i="163"/>
  <c r="AF11" i="163"/>
  <c r="AF12" i="163"/>
  <c r="AF13" i="163"/>
  <c r="AB20" i="163"/>
  <c r="AC21" i="163"/>
  <c r="AD22" i="163"/>
  <c r="AB19" i="163"/>
  <c r="AC20" i="163"/>
  <c r="AD21" i="163"/>
  <c r="AB14" i="163"/>
  <c r="AF21" i="163"/>
  <c r="AB11" i="163"/>
  <c r="AB12" i="163"/>
  <c r="AC14" i="163"/>
  <c r="AF20" i="163"/>
  <c r="AC11" i="163"/>
  <c r="AC12" i="163"/>
  <c r="Z12" i="163"/>
  <c r="Y20" i="163"/>
  <c r="Y16" i="163"/>
  <c r="X14" i="163"/>
  <c r="X15" i="163"/>
  <c r="X16" i="163"/>
  <c r="X20" i="163"/>
  <c r="X21" i="163"/>
  <c r="X19" i="163"/>
  <c r="Y13" i="163"/>
  <c r="Y17" i="163"/>
  <c r="Y21" i="163"/>
  <c r="Z13" i="163"/>
  <c r="Z17" i="163"/>
  <c r="Z21" i="163"/>
  <c r="Y14" i="163"/>
  <c r="Y18" i="163"/>
  <c r="Y22" i="163"/>
  <c r="Z18" i="163"/>
  <c r="Z22" i="163"/>
  <c r="Y11" i="163"/>
  <c r="Y15" i="163"/>
  <c r="Y19" i="163"/>
  <c r="Z20" i="163"/>
  <c r="Z14" i="163"/>
  <c r="Z11" i="163"/>
  <c r="Z15" i="163"/>
  <c r="V22" i="161"/>
  <c r="U23" i="161"/>
  <c r="U26" i="161"/>
  <c r="U11" i="161"/>
  <c r="U15" i="161"/>
  <c r="U20" i="161"/>
  <c r="V23" i="161"/>
  <c r="V26" i="161"/>
  <c r="V13" i="161"/>
  <c r="V20" i="161"/>
  <c r="U21" i="161"/>
  <c r="U24" i="161"/>
  <c r="V21" i="161"/>
  <c r="V24" i="161"/>
  <c r="V11" i="161"/>
  <c r="V17" i="161"/>
  <c r="U12" i="161"/>
  <c r="U14" i="161"/>
  <c r="U16" i="161"/>
  <c r="U18" i="161"/>
  <c r="U25" i="161"/>
  <c r="U13" i="161"/>
  <c r="U17" i="161"/>
  <c r="V15" i="161"/>
  <c r="V12" i="161"/>
  <c r="V14" i="161"/>
  <c r="V16" i="161"/>
  <c r="V18" i="161"/>
  <c r="U19" i="161"/>
  <c r="V25" i="161"/>
  <c r="T28" i="161"/>
  <c r="S20" i="161"/>
  <c r="S23" i="161"/>
  <c r="S26" i="161"/>
  <c r="S19" i="161"/>
  <c r="Q19" i="161"/>
  <c r="Q21" i="161"/>
  <c r="Q23" i="161"/>
  <c r="R19" i="161"/>
  <c r="R28" i="161" s="1"/>
  <c r="R21" i="161"/>
  <c r="R23" i="161"/>
  <c r="AO15" i="160"/>
  <c r="AF18" i="160"/>
  <c r="AF16" i="160"/>
  <c r="AO20" i="160"/>
  <c r="AG11" i="160"/>
  <c r="AG18" i="160"/>
  <c r="AO22" i="160"/>
  <c r="AF12" i="160"/>
  <c r="AO17" i="160"/>
  <c r="AG19" i="160"/>
  <c r="AG12" i="160"/>
  <c r="AG20" i="160"/>
  <c r="AO11" i="160"/>
  <c r="AG13" i="160"/>
  <c r="AF15" i="160"/>
  <c r="AO18" i="160"/>
  <c r="AG21" i="160"/>
  <c r="AF23" i="160"/>
  <c r="AG16" i="160"/>
  <c r="AO23" i="160"/>
  <c r="AG23" i="160"/>
  <c r="AK23" i="160"/>
  <c r="AP20" i="160"/>
  <c r="AH21" i="160"/>
  <c r="AN22" i="160"/>
  <c r="AN11" i="160"/>
  <c r="AP17" i="160"/>
  <c r="AH18" i="160"/>
  <c r="AN19" i="160"/>
  <c r="AF20" i="160"/>
  <c r="AN16" i="160"/>
  <c r="AF17" i="160"/>
  <c r="AF22" i="160"/>
  <c r="AP14" i="160"/>
  <c r="AH15" i="160"/>
  <c r="AP22" i="160"/>
  <c r="AP11" i="160"/>
  <c r="AH12" i="160"/>
  <c r="AN13" i="160"/>
  <c r="AF14" i="160"/>
  <c r="AO16" i="160"/>
  <c r="AG17" i="160"/>
  <c r="AP19" i="160"/>
  <c r="AH20" i="160"/>
  <c r="AN21" i="160"/>
  <c r="AF11" i="160"/>
  <c r="AO13" i="160"/>
  <c r="AG14" i="160"/>
  <c r="AP16" i="160"/>
  <c r="AH17" i="160"/>
  <c r="AN18" i="160"/>
  <c r="AF19" i="160"/>
  <c r="AP15" i="160"/>
  <c r="AN17" i="160"/>
  <c r="AP23" i="160"/>
  <c r="AP12" i="160"/>
  <c r="AH13" i="160"/>
  <c r="AN14" i="160"/>
  <c r="AP13" i="160"/>
  <c r="AH14" i="160"/>
  <c r="AN15" i="160"/>
  <c r="AP21" i="160"/>
  <c r="AH22" i="160"/>
  <c r="AN23" i="160"/>
  <c r="AH11" i="160"/>
  <c r="AN12" i="160"/>
  <c r="AF13" i="160"/>
  <c r="AH19" i="160"/>
  <c r="AE25" i="160"/>
  <c r="AL25" i="160"/>
  <c r="AI11" i="160"/>
  <c r="AI12" i="160"/>
  <c r="AI14" i="160"/>
  <c r="AI16" i="160"/>
  <c r="AI20" i="160"/>
  <c r="AJ11" i="160"/>
  <c r="AJ12" i="160"/>
  <c r="AJ13" i="160"/>
  <c r="AJ14" i="160"/>
  <c r="AJ15" i="160"/>
  <c r="AJ16" i="160"/>
  <c r="AJ17" i="160"/>
  <c r="AJ18" i="160"/>
  <c r="AJ19" i="160"/>
  <c r="AJ20" i="160"/>
  <c r="AJ21" i="160"/>
  <c r="AJ22" i="160"/>
  <c r="AI13" i="160"/>
  <c r="AI15" i="160"/>
  <c r="AI17" i="160"/>
  <c r="AI18" i="160"/>
  <c r="AI21" i="160"/>
  <c r="AK11" i="160"/>
  <c r="AK12" i="160"/>
  <c r="AK13" i="160"/>
  <c r="AK14" i="160"/>
  <c r="AK15" i="160"/>
  <c r="AK16" i="160"/>
  <c r="AK17" i="160"/>
  <c r="AK18" i="160"/>
  <c r="AK19" i="160"/>
  <c r="AK20" i="160"/>
  <c r="AK21" i="160"/>
  <c r="AI19" i="160"/>
  <c r="AI22" i="160"/>
  <c r="F23" i="159"/>
  <c r="L21" i="159" s="1"/>
  <c r="E23" i="159"/>
  <c r="K21" i="159" s="1"/>
  <c r="D23" i="159"/>
  <c r="J18" i="159" s="1"/>
  <c r="C23" i="159"/>
  <c r="I21" i="159"/>
  <c r="H21" i="159"/>
  <c r="G21" i="159"/>
  <c r="I20" i="159"/>
  <c r="H20" i="159"/>
  <c r="G20" i="159"/>
  <c r="I19" i="159"/>
  <c r="H19" i="159"/>
  <c r="G19" i="159"/>
  <c r="I18" i="159"/>
  <c r="H18" i="159"/>
  <c r="G18" i="159"/>
  <c r="K17" i="159"/>
  <c r="I17" i="159"/>
  <c r="H17" i="159"/>
  <c r="G17" i="159"/>
  <c r="I16" i="159"/>
  <c r="H16" i="159"/>
  <c r="G16" i="159"/>
  <c r="I15" i="159"/>
  <c r="H15" i="159"/>
  <c r="G15" i="159"/>
  <c r="J14" i="159"/>
  <c r="I14" i="159"/>
  <c r="H14" i="159"/>
  <c r="G14" i="159"/>
  <c r="I13" i="159"/>
  <c r="H13" i="159"/>
  <c r="G13" i="159"/>
  <c r="I12" i="159"/>
  <c r="H12" i="159"/>
  <c r="G12" i="159"/>
  <c r="I11" i="159"/>
  <c r="H11" i="159"/>
  <c r="G11" i="159"/>
  <c r="K31" i="158"/>
  <c r="J30" i="158"/>
  <c r="F33" i="158"/>
  <c r="L30" i="158" s="1"/>
  <c r="E33" i="158"/>
  <c r="K28" i="158" s="1"/>
  <c r="D33" i="158"/>
  <c r="C33" i="158"/>
  <c r="L31" i="158"/>
  <c r="I31" i="158"/>
  <c r="H31" i="158"/>
  <c r="G31" i="158"/>
  <c r="I30" i="158"/>
  <c r="H30" i="158"/>
  <c r="G30" i="158"/>
  <c r="L29" i="158"/>
  <c r="J29" i="158"/>
  <c r="I29" i="158"/>
  <c r="H29" i="158"/>
  <c r="G29" i="158"/>
  <c r="L28" i="158"/>
  <c r="J28" i="158"/>
  <c r="I28" i="158"/>
  <c r="H28" i="158"/>
  <c r="G28" i="158"/>
  <c r="J27" i="158"/>
  <c r="I27" i="158"/>
  <c r="H27" i="158"/>
  <c r="G27" i="158"/>
  <c r="L26" i="158"/>
  <c r="J26" i="158"/>
  <c r="I26" i="158"/>
  <c r="H26" i="158"/>
  <c r="G26" i="158"/>
  <c r="L25" i="158"/>
  <c r="K25" i="158"/>
  <c r="J25" i="158"/>
  <c r="I25" i="158"/>
  <c r="H25" i="158"/>
  <c r="G25" i="158"/>
  <c r="J24" i="158"/>
  <c r="I24" i="158"/>
  <c r="H24" i="158"/>
  <c r="G24" i="158"/>
  <c r="L23" i="158"/>
  <c r="K23" i="158"/>
  <c r="J23" i="158"/>
  <c r="I23" i="158"/>
  <c r="H23" i="158"/>
  <c r="G23" i="158"/>
  <c r="L22" i="158"/>
  <c r="J22" i="158"/>
  <c r="I22" i="158"/>
  <c r="H22" i="158"/>
  <c r="G22" i="158"/>
  <c r="K21" i="158"/>
  <c r="J21" i="158"/>
  <c r="I21" i="158"/>
  <c r="H21" i="158"/>
  <c r="G21" i="158"/>
  <c r="L20" i="158"/>
  <c r="J20" i="158"/>
  <c r="I20" i="158"/>
  <c r="H20" i="158"/>
  <c r="G20" i="158"/>
  <c r="L19" i="158"/>
  <c r="K19" i="158"/>
  <c r="J19" i="158"/>
  <c r="I19" i="158"/>
  <c r="H19" i="158"/>
  <c r="G19" i="158"/>
  <c r="L18" i="158"/>
  <c r="J18" i="158"/>
  <c r="I18" i="158"/>
  <c r="H18" i="158"/>
  <c r="G18" i="158"/>
  <c r="L17" i="158"/>
  <c r="J17" i="158"/>
  <c r="I17" i="158"/>
  <c r="H17" i="158"/>
  <c r="G17" i="158"/>
  <c r="L16" i="158"/>
  <c r="J16" i="158"/>
  <c r="I16" i="158"/>
  <c r="H16" i="158"/>
  <c r="G16" i="158"/>
  <c r="L15" i="158"/>
  <c r="J15" i="158"/>
  <c r="I15" i="158"/>
  <c r="H15" i="158"/>
  <c r="G15" i="158"/>
  <c r="J14" i="158"/>
  <c r="I14" i="158"/>
  <c r="H14" i="158"/>
  <c r="G14" i="158"/>
  <c r="L13" i="158"/>
  <c r="J13" i="158"/>
  <c r="I13" i="158"/>
  <c r="H13" i="158"/>
  <c r="G13" i="158"/>
  <c r="L12" i="158"/>
  <c r="J12" i="158"/>
  <c r="I12" i="158"/>
  <c r="H12" i="158"/>
  <c r="G12" i="158"/>
  <c r="J11" i="158"/>
  <c r="I11" i="158"/>
  <c r="H11" i="158"/>
  <c r="G11" i="158"/>
  <c r="F24" i="156"/>
  <c r="F19" i="156"/>
  <c r="E19" i="156"/>
  <c r="E24" i="156" s="1"/>
  <c r="D19" i="156"/>
  <c r="D24" i="156" s="1"/>
  <c r="J20" i="156" s="1"/>
  <c r="C19" i="156"/>
  <c r="C24" i="156" s="1"/>
  <c r="I22" i="156"/>
  <c r="H22" i="156"/>
  <c r="G22" i="156"/>
  <c r="I21" i="156"/>
  <c r="H21" i="156"/>
  <c r="G21" i="156"/>
  <c r="I20" i="156"/>
  <c r="H20" i="156"/>
  <c r="G20" i="156"/>
  <c r="I18" i="156"/>
  <c r="H18" i="156"/>
  <c r="G18" i="156"/>
  <c r="I17" i="156"/>
  <c r="H17" i="156"/>
  <c r="G17" i="156"/>
  <c r="I16" i="156"/>
  <c r="H16" i="156"/>
  <c r="G16" i="156"/>
  <c r="I15" i="156"/>
  <c r="H15" i="156"/>
  <c r="G15" i="156"/>
  <c r="I14" i="156"/>
  <c r="H14" i="156"/>
  <c r="G14" i="156"/>
  <c r="I13" i="156"/>
  <c r="H13" i="156"/>
  <c r="G13" i="156"/>
  <c r="I12" i="156"/>
  <c r="H12" i="156"/>
  <c r="G12" i="156"/>
  <c r="I11" i="156"/>
  <c r="H11" i="156"/>
  <c r="G11" i="156"/>
  <c r="J23" i="154"/>
  <c r="V21" i="154" s="1"/>
  <c r="I23" i="154"/>
  <c r="U18" i="154" s="1"/>
  <c r="H23" i="154"/>
  <c r="T20" i="154" s="1"/>
  <c r="G23" i="154"/>
  <c r="S21" i="154" s="1"/>
  <c r="F23" i="154"/>
  <c r="R18" i="154" s="1"/>
  <c r="E23" i="154"/>
  <c r="Q21" i="154" s="1"/>
  <c r="D23" i="154"/>
  <c r="C23" i="154"/>
  <c r="P21" i="154"/>
  <c r="O21" i="154"/>
  <c r="N21" i="154"/>
  <c r="M21" i="154"/>
  <c r="L21" i="154"/>
  <c r="K21" i="154"/>
  <c r="P20" i="154"/>
  <c r="O20" i="154"/>
  <c r="N20" i="154"/>
  <c r="M20" i="154"/>
  <c r="L20" i="154"/>
  <c r="K20" i="154"/>
  <c r="P19" i="154"/>
  <c r="O19" i="154"/>
  <c r="N19" i="154"/>
  <c r="M19" i="154"/>
  <c r="L19" i="154"/>
  <c r="K19" i="154"/>
  <c r="P18" i="154"/>
  <c r="O18" i="154"/>
  <c r="N18" i="154"/>
  <c r="M18" i="154"/>
  <c r="L18" i="154"/>
  <c r="K18" i="154"/>
  <c r="V17" i="154"/>
  <c r="P17" i="154"/>
  <c r="O17" i="154"/>
  <c r="N17" i="154"/>
  <c r="M17" i="154"/>
  <c r="L17" i="154"/>
  <c r="K17" i="154"/>
  <c r="S16" i="154"/>
  <c r="P16" i="154"/>
  <c r="O16" i="154"/>
  <c r="N16" i="154"/>
  <c r="M16" i="154"/>
  <c r="L16" i="154"/>
  <c r="K16" i="154"/>
  <c r="P15" i="154"/>
  <c r="O15" i="154"/>
  <c r="N15" i="154"/>
  <c r="M15" i="154"/>
  <c r="L15" i="154"/>
  <c r="K15" i="154"/>
  <c r="S14" i="154"/>
  <c r="P14" i="154"/>
  <c r="O14" i="154"/>
  <c r="N14" i="154"/>
  <c r="M14" i="154"/>
  <c r="L14" i="154"/>
  <c r="K14" i="154"/>
  <c r="V13" i="154"/>
  <c r="S13" i="154"/>
  <c r="P13" i="154"/>
  <c r="O13" i="154"/>
  <c r="N13" i="154"/>
  <c r="M13" i="154"/>
  <c r="L13" i="154"/>
  <c r="K13" i="154"/>
  <c r="V12" i="154"/>
  <c r="S12" i="154"/>
  <c r="Q12" i="154"/>
  <c r="P12" i="154"/>
  <c r="O12" i="154"/>
  <c r="N12" i="154"/>
  <c r="M12" i="154"/>
  <c r="L12" i="154"/>
  <c r="K12" i="154"/>
  <c r="V11" i="154"/>
  <c r="P11" i="154"/>
  <c r="O11" i="154"/>
  <c r="N11" i="154"/>
  <c r="M11" i="154"/>
  <c r="L11" i="154"/>
  <c r="K11" i="154"/>
  <c r="F27" i="153"/>
  <c r="L19" i="153" s="1"/>
  <c r="E27" i="153"/>
  <c r="K25" i="153" s="1"/>
  <c r="D27" i="153"/>
  <c r="J22" i="153" s="1"/>
  <c r="C27" i="153"/>
  <c r="I25" i="153"/>
  <c r="H25" i="153"/>
  <c r="G25" i="153"/>
  <c r="I24" i="153"/>
  <c r="H24" i="153"/>
  <c r="G24" i="153"/>
  <c r="J23" i="153"/>
  <c r="I23" i="153"/>
  <c r="H23" i="153"/>
  <c r="G23" i="153"/>
  <c r="I22" i="153"/>
  <c r="H22" i="153"/>
  <c r="G22" i="153"/>
  <c r="I21" i="153"/>
  <c r="H21" i="153"/>
  <c r="G21" i="153"/>
  <c r="I20" i="153"/>
  <c r="H20" i="153"/>
  <c r="G20" i="153"/>
  <c r="J19" i="153"/>
  <c r="I19" i="153"/>
  <c r="H19" i="153"/>
  <c r="G19" i="153"/>
  <c r="L18" i="153"/>
  <c r="I18" i="153"/>
  <c r="H18" i="153"/>
  <c r="G18" i="153"/>
  <c r="I17" i="153"/>
  <c r="H17" i="153"/>
  <c r="G17" i="153"/>
  <c r="I16" i="153"/>
  <c r="H16" i="153"/>
  <c r="G16" i="153"/>
  <c r="J15" i="153"/>
  <c r="I15" i="153"/>
  <c r="H15" i="153"/>
  <c r="G15" i="153"/>
  <c r="I14" i="153"/>
  <c r="H14" i="153"/>
  <c r="G14" i="153"/>
  <c r="I13" i="153"/>
  <c r="H13" i="153"/>
  <c r="G13" i="153"/>
  <c r="I12" i="153"/>
  <c r="H12" i="153"/>
  <c r="G12" i="153"/>
  <c r="J11" i="153"/>
  <c r="I11" i="153"/>
  <c r="H11" i="153"/>
  <c r="G11" i="153"/>
  <c r="J28" i="152"/>
  <c r="V25" i="152" s="1"/>
  <c r="I28" i="152"/>
  <c r="U26" i="152" s="1"/>
  <c r="H28" i="152"/>
  <c r="T14" i="152" s="1"/>
  <c r="G28" i="152"/>
  <c r="S26" i="152" s="1"/>
  <c r="F28" i="152"/>
  <c r="R26" i="152" s="1"/>
  <c r="E28" i="152"/>
  <c r="Q22" i="152" s="1"/>
  <c r="D28" i="152"/>
  <c r="C28" i="152"/>
  <c r="V26" i="152"/>
  <c r="P26" i="152"/>
  <c r="O26" i="152"/>
  <c r="N26" i="152"/>
  <c r="M26" i="152"/>
  <c r="L26" i="152"/>
  <c r="K26" i="152"/>
  <c r="R25" i="152"/>
  <c r="Q25" i="152"/>
  <c r="P25" i="152"/>
  <c r="O25" i="152"/>
  <c r="N25" i="152"/>
  <c r="M25" i="152"/>
  <c r="L25" i="152"/>
  <c r="K25" i="152"/>
  <c r="R24" i="152"/>
  <c r="P24" i="152"/>
  <c r="O24" i="152"/>
  <c r="N24" i="152"/>
  <c r="M24" i="152"/>
  <c r="L24" i="152"/>
  <c r="K24" i="152"/>
  <c r="R23" i="152"/>
  <c r="P23" i="152"/>
  <c r="O23" i="152"/>
  <c r="N23" i="152"/>
  <c r="M23" i="152"/>
  <c r="L23" i="152"/>
  <c r="K23" i="152"/>
  <c r="R22" i="152"/>
  <c r="P22" i="152"/>
  <c r="O22" i="152"/>
  <c r="N22" i="152"/>
  <c r="M22" i="152"/>
  <c r="L22" i="152"/>
  <c r="K22" i="152"/>
  <c r="R21" i="152"/>
  <c r="P21" i="152"/>
  <c r="O21" i="152"/>
  <c r="N21" i="152"/>
  <c r="M21" i="152"/>
  <c r="L21" i="152"/>
  <c r="K21" i="152"/>
  <c r="T20" i="152"/>
  <c r="R20" i="152"/>
  <c r="Q20" i="152"/>
  <c r="P20" i="152"/>
  <c r="O20" i="152"/>
  <c r="N20" i="152"/>
  <c r="M20" i="152"/>
  <c r="L20" i="152"/>
  <c r="K20" i="152"/>
  <c r="T19" i="152"/>
  <c r="P19" i="152"/>
  <c r="O19" i="152"/>
  <c r="N19" i="152"/>
  <c r="M19" i="152"/>
  <c r="L19" i="152"/>
  <c r="K19" i="152"/>
  <c r="R18" i="152"/>
  <c r="P18" i="152"/>
  <c r="O18" i="152"/>
  <c r="N18" i="152"/>
  <c r="M18" i="152"/>
  <c r="L18" i="152"/>
  <c r="K18" i="152"/>
  <c r="R17" i="152"/>
  <c r="Q17" i="152"/>
  <c r="P17" i="152"/>
  <c r="O17" i="152"/>
  <c r="N17" i="152"/>
  <c r="M17" i="152"/>
  <c r="L17" i="152"/>
  <c r="K17" i="152"/>
  <c r="T16" i="152"/>
  <c r="P16" i="152"/>
  <c r="O16" i="152"/>
  <c r="N16" i="152"/>
  <c r="M16" i="152"/>
  <c r="L16" i="152"/>
  <c r="K16" i="152"/>
  <c r="R15" i="152"/>
  <c r="P15" i="152"/>
  <c r="O15" i="152"/>
  <c r="N15" i="152"/>
  <c r="M15" i="152"/>
  <c r="L15" i="152"/>
  <c r="K15" i="152"/>
  <c r="P14" i="152"/>
  <c r="O14" i="152"/>
  <c r="N14" i="152"/>
  <c r="M14" i="152"/>
  <c r="L14" i="152"/>
  <c r="K14" i="152"/>
  <c r="P13" i="152"/>
  <c r="O13" i="152"/>
  <c r="N13" i="152"/>
  <c r="M13" i="152"/>
  <c r="L13" i="152"/>
  <c r="K13" i="152"/>
  <c r="P12" i="152"/>
  <c r="O12" i="152"/>
  <c r="N12" i="152"/>
  <c r="M12" i="152"/>
  <c r="L12" i="152"/>
  <c r="K12" i="152"/>
  <c r="P11" i="152"/>
  <c r="O11" i="152"/>
  <c r="N11" i="152"/>
  <c r="M11" i="152"/>
  <c r="L11" i="152"/>
  <c r="K11" i="152"/>
  <c r="N24" i="150"/>
  <c r="AF19" i="150" s="1"/>
  <c r="M24" i="150"/>
  <c r="AE20" i="150" s="1"/>
  <c r="L24" i="150"/>
  <c r="AD19" i="150" s="1"/>
  <c r="K24" i="150"/>
  <c r="AC16" i="150" s="1"/>
  <c r="J24" i="150"/>
  <c r="AB20" i="150" s="1"/>
  <c r="I24" i="150"/>
  <c r="AA12" i="150" s="1"/>
  <c r="H24" i="150"/>
  <c r="Z14" i="150" s="1"/>
  <c r="G24" i="150"/>
  <c r="Y21" i="150" s="1"/>
  <c r="F24" i="150"/>
  <c r="X14" i="150" s="1"/>
  <c r="E24" i="150"/>
  <c r="Z21" i="150"/>
  <c r="D24" i="150"/>
  <c r="C24" i="150"/>
  <c r="Z22" i="150"/>
  <c r="Y22" i="150"/>
  <c r="X22" i="150"/>
  <c r="W22" i="150"/>
  <c r="V22" i="150"/>
  <c r="U22" i="150"/>
  <c r="T22" i="150"/>
  <c r="S22" i="150"/>
  <c r="R22" i="150"/>
  <c r="Q22" i="150"/>
  <c r="P22" i="150"/>
  <c r="O22" i="150"/>
  <c r="AC21" i="150"/>
  <c r="X21" i="150"/>
  <c r="W21" i="150"/>
  <c r="V21" i="150"/>
  <c r="U21" i="150"/>
  <c r="T21" i="150"/>
  <c r="S21" i="150"/>
  <c r="R21" i="150"/>
  <c r="Q21" i="150"/>
  <c r="P21" i="150"/>
  <c r="O21" i="150"/>
  <c r="Z20" i="150"/>
  <c r="Y20" i="150"/>
  <c r="X20" i="150"/>
  <c r="W20" i="150"/>
  <c r="V20" i="150"/>
  <c r="U20" i="150"/>
  <c r="T20" i="150"/>
  <c r="S20" i="150"/>
  <c r="R20" i="150"/>
  <c r="Q20" i="150"/>
  <c r="P20" i="150"/>
  <c r="O20" i="150"/>
  <c r="X19" i="150"/>
  <c r="W19" i="150"/>
  <c r="V19" i="150"/>
  <c r="U19" i="150"/>
  <c r="T19" i="150"/>
  <c r="S19" i="150"/>
  <c r="R19" i="150"/>
  <c r="Q19" i="150"/>
  <c r="P19" i="150"/>
  <c r="O19" i="150"/>
  <c r="Z18" i="150"/>
  <c r="Y18" i="150"/>
  <c r="X18" i="150"/>
  <c r="W18" i="150"/>
  <c r="V18" i="150"/>
  <c r="U18" i="150"/>
  <c r="T18" i="150"/>
  <c r="S18" i="150"/>
  <c r="R18" i="150"/>
  <c r="Q18" i="150"/>
  <c r="P18" i="150"/>
  <c r="O18" i="150"/>
  <c r="X17" i="150"/>
  <c r="W17" i="150"/>
  <c r="V17" i="150"/>
  <c r="U17" i="150"/>
  <c r="T17" i="150"/>
  <c r="S17" i="150"/>
  <c r="R17" i="150"/>
  <c r="Q17" i="150"/>
  <c r="P17" i="150"/>
  <c r="O17" i="150"/>
  <c r="AF16" i="150"/>
  <c r="AA16" i="150"/>
  <c r="Z16" i="150"/>
  <c r="Y16" i="150"/>
  <c r="X16" i="150"/>
  <c r="W16" i="150"/>
  <c r="V16" i="150"/>
  <c r="U16" i="150"/>
  <c r="T16" i="150"/>
  <c r="S16" i="150"/>
  <c r="R16" i="150"/>
  <c r="Q16" i="150"/>
  <c r="P16" i="150"/>
  <c r="O16" i="150"/>
  <c r="X15" i="150"/>
  <c r="W15" i="150"/>
  <c r="V15" i="150"/>
  <c r="U15" i="150"/>
  <c r="T15" i="150"/>
  <c r="S15" i="150"/>
  <c r="R15" i="150"/>
  <c r="Q15" i="150"/>
  <c r="P15" i="150"/>
  <c r="O15" i="150"/>
  <c r="W14" i="150"/>
  <c r="V14" i="150"/>
  <c r="U14" i="150"/>
  <c r="T14" i="150"/>
  <c r="S14" i="150"/>
  <c r="R14" i="150"/>
  <c r="Q14" i="150"/>
  <c r="P14" i="150"/>
  <c r="O14" i="150"/>
  <c r="Y13" i="150"/>
  <c r="X13" i="150"/>
  <c r="W13" i="150"/>
  <c r="V13" i="150"/>
  <c r="U13" i="150"/>
  <c r="T13" i="150"/>
  <c r="S13" i="150"/>
  <c r="R13" i="150"/>
  <c r="Q13" i="150"/>
  <c r="P13" i="150"/>
  <c r="O13" i="150"/>
  <c r="AD12" i="150"/>
  <c r="X12" i="150"/>
  <c r="W12" i="150"/>
  <c r="V12" i="150"/>
  <c r="U12" i="150"/>
  <c r="T12" i="150"/>
  <c r="S12" i="150"/>
  <c r="R12" i="150"/>
  <c r="Q12" i="150"/>
  <c r="P12" i="150"/>
  <c r="O12" i="150"/>
  <c r="X11" i="150"/>
  <c r="W11" i="150"/>
  <c r="V11" i="150"/>
  <c r="U11" i="150"/>
  <c r="T11" i="150"/>
  <c r="S11" i="150"/>
  <c r="R11" i="150"/>
  <c r="Q11" i="150"/>
  <c r="P11" i="150"/>
  <c r="O11" i="150"/>
  <c r="F22" i="149"/>
  <c r="L19" i="149" s="1"/>
  <c r="E22" i="149"/>
  <c r="K17" i="149" s="1"/>
  <c r="D22" i="149"/>
  <c r="J19" i="149" s="1"/>
  <c r="C22" i="149"/>
  <c r="I20" i="149"/>
  <c r="H20" i="149"/>
  <c r="G20" i="149"/>
  <c r="I19" i="149"/>
  <c r="H19" i="149"/>
  <c r="G19" i="149"/>
  <c r="I18" i="149"/>
  <c r="H18" i="149"/>
  <c r="G18" i="149"/>
  <c r="I17" i="149"/>
  <c r="H17" i="149"/>
  <c r="G17" i="149"/>
  <c r="I16" i="149"/>
  <c r="H16" i="149"/>
  <c r="G16" i="149"/>
  <c r="I15" i="149"/>
  <c r="H15" i="149"/>
  <c r="G15" i="149"/>
  <c r="I14" i="149"/>
  <c r="H14" i="149"/>
  <c r="G14" i="149"/>
  <c r="I13" i="149"/>
  <c r="H13" i="149"/>
  <c r="G13" i="149"/>
  <c r="I12" i="149"/>
  <c r="H12" i="149"/>
  <c r="G12" i="149"/>
  <c r="I11" i="149"/>
  <c r="H11" i="149"/>
  <c r="G11" i="149"/>
  <c r="F31" i="148"/>
  <c r="L28" i="148" s="1"/>
  <c r="E31" i="148"/>
  <c r="K29" i="148" s="1"/>
  <c r="D31" i="148"/>
  <c r="J29" i="148" s="1"/>
  <c r="C31" i="148"/>
  <c r="I29" i="148"/>
  <c r="H29" i="148"/>
  <c r="G29" i="148"/>
  <c r="I28" i="148"/>
  <c r="H28" i="148"/>
  <c r="G28" i="148"/>
  <c r="I27" i="148"/>
  <c r="H27" i="148"/>
  <c r="G27" i="148"/>
  <c r="I26" i="148"/>
  <c r="H26" i="148"/>
  <c r="G26" i="148"/>
  <c r="I25" i="148"/>
  <c r="H25" i="148"/>
  <c r="G25" i="148"/>
  <c r="I24" i="148"/>
  <c r="H24" i="148"/>
  <c r="G24" i="148"/>
  <c r="I23" i="148"/>
  <c r="H23" i="148"/>
  <c r="G23" i="148"/>
  <c r="K22" i="148"/>
  <c r="I22" i="148"/>
  <c r="H22" i="148"/>
  <c r="G22" i="148"/>
  <c r="I21" i="148"/>
  <c r="H21" i="148"/>
  <c r="G21" i="148"/>
  <c r="K20" i="148"/>
  <c r="I20" i="148"/>
  <c r="H20" i="148"/>
  <c r="G20" i="148"/>
  <c r="I19" i="148"/>
  <c r="H19" i="148"/>
  <c r="G19" i="148"/>
  <c r="K18" i="148"/>
  <c r="I18" i="148"/>
  <c r="H18" i="148"/>
  <c r="G18" i="148"/>
  <c r="I17" i="148"/>
  <c r="H17" i="148"/>
  <c r="G17" i="148"/>
  <c r="K16" i="148"/>
  <c r="I16" i="148"/>
  <c r="H16" i="148"/>
  <c r="G16" i="148"/>
  <c r="J15" i="148"/>
  <c r="I15" i="148"/>
  <c r="H15" i="148"/>
  <c r="G15" i="148"/>
  <c r="I14" i="148"/>
  <c r="H14" i="148"/>
  <c r="G14" i="148"/>
  <c r="I13" i="148"/>
  <c r="H13" i="148"/>
  <c r="G13" i="148"/>
  <c r="J12" i="148"/>
  <c r="I12" i="148"/>
  <c r="H12" i="148"/>
  <c r="G12" i="148"/>
  <c r="J11" i="148"/>
  <c r="I11" i="148"/>
  <c r="H11" i="148"/>
  <c r="G11" i="148"/>
  <c r="F22" i="147"/>
  <c r="L18" i="147" s="1"/>
  <c r="E22" i="147"/>
  <c r="K19" i="147" s="1"/>
  <c r="D22" i="147"/>
  <c r="J20" i="147" s="1"/>
  <c r="C22" i="147"/>
  <c r="I20" i="147"/>
  <c r="H20" i="147"/>
  <c r="G20" i="147"/>
  <c r="I19" i="147"/>
  <c r="H19" i="147"/>
  <c r="G19" i="147"/>
  <c r="J18" i="147"/>
  <c r="I18" i="147"/>
  <c r="H18" i="147"/>
  <c r="G18" i="147"/>
  <c r="J17" i="147"/>
  <c r="I17" i="147"/>
  <c r="H17" i="147"/>
  <c r="G17" i="147"/>
  <c r="J16" i="147"/>
  <c r="I16" i="147"/>
  <c r="H16" i="147"/>
  <c r="G16" i="147"/>
  <c r="J15" i="147"/>
  <c r="I15" i="147"/>
  <c r="H15" i="147"/>
  <c r="G15" i="147"/>
  <c r="L14" i="147"/>
  <c r="J14" i="147"/>
  <c r="I14" i="147"/>
  <c r="H14" i="147"/>
  <c r="G14" i="147"/>
  <c r="J13" i="147"/>
  <c r="I13" i="147"/>
  <c r="H13" i="147"/>
  <c r="G13" i="147"/>
  <c r="J12" i="147"/>
  <c r="I12" i="147"/>
  <c r="H12" i="147"/>
  <c r="G12" i="147"/>
  <c r="J11" i="147"/>
  <c r="I11" i="147"/>
  <c r="H11" i="147"/>
  <c r="G11" i="147"/>
  <c r="F26" i="146"/>
  <c r="L18" i="146" s="1"/>
  <c r="E26" i="146"/>
  <c r="K19" i="146" s="1"/>
  <c r="D26" i="146"/>
  <c r="J20" i="146" s="1"/>
  <c r="C26" i="146"/>
  <c r="I24" i="146"/>
  <c r="H24" i="146"/>
  <c r="G24" i="146"/>
  <c r="J23" i="146"/>
  <c r="I23" i="146"/>
  <c r="H23" i="146"/>
  <c r="G23" i="146"/>
  <c r="I22" i="146"/>
  <c r="H22" i="146"/>
  <c r="G22" i="146"/>
  <c r="K21" i="146"/>
  <c r="I21" i="146"/>
  <c r="H21" i="146"/>
  <c r="G21" i="146"/>
  <c r="I20" i="146"/>
  <c r="H20" i="146"/>
  <c r="G20" i="146"/>
  <c r="J19" i="146"/>
  <c r="I19" i="146"/>
  <c r="H19" i="146"/>
  <c r="G19" i="146"/>
  <c r="I18" i="146"/>
  <c r="H18" i="146"/>
  <c r="G18" i="146"/>
  <c r="K17" i="146"/>
  <c r="I17" i="146"/>
  <c r="H17" i="146"/>
  <c r="G17" i="146"/>
  <c r="I16" i="146"/>
  <c r="H16" i="146"/>
  <c r="G16" i="146"/>
  <c r="K15" i="146"/>
  <c r="I15" i="146"/>
  <c r="H15" i="146"/>
  <c r="G15" i="146"/>
  <c r="I14" i="146"/>
  <c r="H14" i="146"/>
  <c r="G14" i="146"/>
  <c r="J13" i="146"/>
  <c r="I13" i="146"/>
  <c r="H13" i="146"/>
  <c r="G13" i="146"/>
  <c r="K12" i="146"/>
  <c r="J12" i="146"/>
  <c r="I12" i="146"/>
  <c r="H12" i="146"/>
  <c r="G12" i="146"/>
  <c r="I11" i="146"/>
  <c r="H11" i="146"/>
  <c r="G11" i="146"/>
  <c r="N20" i="145"/>
  <c r="AF14" i="145" s="1"/>
  <c r="M20" i="145"/>
  <c r="AE17" i="145" s="1"/>
  <c r="L20" i="145"/>
  <c r="AD17" i="145" s="1"/>
  <c r="K20" i="145"/>
  <c r="AC17" i="145" s="1"/>
  <c r="J20" i="145"/>
  <c r="AB13" i="145" s="1"/>
  <c r="I20" i="145"/>
  <c r="AA16" i="145" s="1"/>
  <c r="H20" i="145"/>
  <c r="Z15" i="145" s="1"/>
  <c r="G20" i="145"/>
  <c r="Y12" i="145" s="1"/>
  <c r="F20" i="145"/>
  <c r="X16" i="145" s="1"/>
  <c r="E20" i="145"/>
  <c r="D20" i="145"/>
  <c r="C20" i="145"/>
  <c r="X18" i="145"/>
  <c r="W18" i="145"/>
  <c r="V18" i="145"/>
  <c r="U18" i="145"/>
  <c r="T18" i="145"/>
  <c r="S18" i="145"/>
  <c r="R18" i="145"/>
  <c r="Q18" i="145"/>
  <c r="P18" i="145"/>
  <c r="O18" i="145"/>
  <c r="W17" i="145"/>
  <c r="V17" i="145"/>
  <c r="U17" i="145"/>
  <c r="T17" i="145"/>
  <c r="S17" i="145"/>
  <c r="R17" i="145"/>
  <c r="Q17" i="145"/>
  <c r="P17" i="145"/>
  <c r="O17" i="145"/>
  <c r="Y16" i="145"/>
  <c r="W16" i="145"/>
  <c r="V16" i="145"/>
  <c r="U16" i="145"/>
  <c r="T16" i="145"/>
  <c r="S16" i="145"/>
  <c r="R16" i="145"/>
  <c r="Q16" i="145"/>
  <c r="P16" i="145"/>
  <c r="O16" i="145"/>
  <c r="X15" i="145"/>
  <c r="W15" i="145"/>
  <c r="V15" i="145"/>
  <c r="U15" i="145"/>
  <c r="T15" i="145"/>
  <c r="S15" i="145"/>
  <c r="R15" i="145"/>
  <c r="Q15" i="145"/>
  <c r="P15" i="145"/>
  <c r="O15" i="145"/>
  <c r="W14" i="145"/>
  <c r="V14" i="145"/>
  <c r="U14" i="145"/>
  <c r="T14" i="145"/>
  <c r="S14" i="145"/>
  <c r="R14" i="145"/>
  <c r="Q14" i="145"/>
  <c r="P14" i="145"/>
  <c r="O14" i="145"/>
  <c r="W13" i="145"/>
  <c r="V13" i="145"/>
  <c r="U13" i="145"/>
  <c r="T13" i="145"/>
  <c r="S13" i="145"/>
  <c r="R13" i="145"/>
  <c r="Q13" i="145"/>
  <c r="P13" i="145"/>
  <c r="O13" i="145"/>
  <c r="W12" i="145"/>
  <c r="V12" i="145"/>
  <c r="U12" i="145"/>
  <c r="T12" i="145"/>
  <c r="S12" i="145"/>
  <c r="R12" i="145"/>
  <c r="Q12" i="145"/>
  <c r="P12" i="145"/>
  <c r="O12" i="145"/>
  <c r="X11" i="145"/>
  <c r="W11" i="145"/>
  <c r="V11" i="145"/>
  <c r="U11" i="145"/>
  <c r="T11" i="145"/>
  <c r="S11" i="145"/>
  <c r="R11" i="145"/>
  <c r="Q11" i="145"/>
  <c r="P11" i="145"/>
  <c r="O11" i="145"/>
  <c r="F20" i="144"/>
  <c r="L17" i="144" s="1"/>
  <c r="E20" i="144"/>
  <c r="K17" i="144" s="1"/>
  <c r="D20" i="144"/>
  <c r="J16" i="144" s="1"/>
  <c r="C20" i="144"/>
  <c r="I18" i="144"/>
  <c r="H18" i="144"/>
  <c r="G18" i="144"/>
  <c r="I17" i="144"/>
  <c r="H17" i="144"/>
  <c r="G17" i="144"/>
  <c r="I16" i="144"/>
  <c r="H16" i="144"/>
  <c r="G16" i="144"/>
  <c r="I15" i="144"/>
  <c r="H15" i="144"/>
  <c r="G15" i="144"/>
  <c r="I14" i="144"/>
  <c r="H14" i="144"/>
  <c r="G14" i="144"/>
  <c r="I13" i="144"/>
  <c r="H13" i="144"/>
  <c r="G13" i="144"/>
  <c r="J12" i="144"/>
  <c r="I12" i="144"/>
  <c r="H12" i="144"/>
  <c r="G12" i="144"/>
  <c r="J11" i="144"/>
  <c r="I11" i="144"/>
  <c r="H11" i="144"/>
  <c r="G11" i="144"/>
  <c r="F22" i="143"/>
  <c r="L19" i="143" s="1"/>
  <c r="E22" i="143"/>
  <c r="K19" i="143" s="1"/>
  <c r="D22" i="143"/>
  <c r="J19" i="143" s="1"/>
  <c r="C22" i="143"/>
  <c r="J20" i="143"/>
  <c r="I20" i="143"/>
  <c r="H20" i="143"/>
  <c r="G20" i="143"/>
  <c r="I19" i="143"/>
  <c r="H19" i="143"/>
  <c r="G19" i="143"/>
  <c r="K18" i="143"/>
  <c r="J18" i="143"/>
  <c r="I18" i="143"/>
  <c r="H18" i="143"/>
  <c r="G18" i="143"/>
  <c r="K17" i="143"/>
  <c r="J17" i="143"/>
  <c r="I17" i="143"/>
  <c r="H17" i="143"/>
  <c r="G17" i="143"/>
  <c r="J16" i="143"/>
  <c r="I16" i="143"/>
  <c r="H16" i="143"/>
  <c r="G16" i="143"/>
  <c r="J15" i="143"/>
  <c r="I15" i="143"/>
  <c r="H15" i="143"/>
  <c r="G15" i="143"/>
  <c r="K14" i="143"/>
  <c r="J14" i="143"/>
  <c r="I14" i="143"/>
  <c r="H14" i="143"/>
  <c r="G14" i="143"/>
  <c r="K13" i="143"/>
  <c r="J13" i="143"/>
  <c r="I13" i="143"/>
  <c r="H13" i="143"/>
  <c r="G13" i="143"/>
  <c r="J12" i="143"/>
  <c r="I12" i="143"/>
  <c r="H12" i="143"/>
  <c r="G12" i="143"/>
  <c r="J11" i="143"/>
  <c r="I11" i="143"/>
  <c r="H11" i="143"/>
  <c r="G11" i="143"/>
  <c r="K22" i="171" l="1"/>
  <c r="J22" i="171"/>
  <c r="L22" i="171"/>
  <c r="L29" i="170"/>
  <c r="J29" i="170"/>
  <c r="L24" i="169"/>
  <c r="J31" i="165"/>
  <c r="Q28" i="161"/>
  <c r="S28" i="161"/>
  <c r="I19" i="156"/>
  <c r="AE12" i="150"/>
  <c r="AE22" i="150"/>
  <c r="AE16" i="150"/>
  <c r="J13" i="149"/>
  <c r="J11" i="149"/>
  <c r="K11" i="148"/>
  <c r="L26" i="148"/>
  <c r="K28" i="148"/>
  <c r="L22" i="148"/>
  <c r="K13" i="148"/>
  <c r="K15" i="148"/>
  <c r="K17" i="148"/>
  <c r="K19" i="148"/>
  <c r="K21" i="148"/>
  <c r="K26" i="148"/>
  <c r="K23" i="148"/>
  <c r="K25" i="148"/>
  <c r="K27" i="148"/>
  <c r="K24" i="148"/>
  <c r="K12" i="148"/>
  <c r="K31" i="148" s="1"/>
  <c r="K14" i="148"/>
  <c r="J19" i="147"/>
  <c r="L20" i="146"/>
  <c r="AD11" i="145"/>
  <c r="J13" i="144"/>
  <c r="J15" i="144"/>
  <c r="J17" i="144"/>
  <c r="L15" i="144"/>
  <c r="L12" i="144"/>
  <c r="J14" i="144"/>
  <c r="J22" i="143"/>
  <c r="K24" i="169"/>
  <c r="J24" i="169"/>
  <c r="AE30" i="168"/>
  <c r="Y30" i="168"/>
  <c r="X30" i="168"/>
  <c r="AD30" i="168"/>
  <c r="AB30" i="168"/>
  <c r="AF30" i="168"/>
  <c r="AC30" i="168"/>
  <c r="Z30" i="168"/>
  <c r="AA30" i="168"/>
  <c r="P28" i="166"/>
  <c r="Q28" i="166"/>
  <c r="L31" i="165"/>
  <c r="K31" i="165"/>
  <c r="Q24" i="164"/>
  <c r="R24" i="164"/>
  <c r="U24" i="164"/>
  <c r="T24" i="164"/>
  <c r="S24" i="164"/>
  <c r="X24" i="163"/>
  <c r="AE24" i="163"/>
  <c r="AA24" i="163"/>
  <c r="AD24" i="163"/>
  <c r="AF24" i="163"/>
  <c r="AB24" i="163"/>
  <c r="AC24" i="163"/>
  <c r="Z24" i="163"/>
  <c r="Y24" i="163"/>
  <c r="V28" i="161"/>
  <c r="U28" i="161"/>
  <c r="AG25" i="160"/>
  <c r="AO25" i="160"/>
  <c r="AH25" i="160"/>
  <c r="AF25" i="160"/>
  <c r="AP25" i="160"/>
  <c r="AI25" i="160"/>
  <c r="AN25" i="160"/>
  <c r="AJ25" i="160"/>
  <c r="AK25" i="160"/>
  <c r="L14" i="159"/>
  <c r="K14" i="159"/>
  <c r="L20" i="159"/>
  <c r="L19" i="159"/>
  <c r="L17" i="159"/>
  <c r="L11" i="159"/>
  <c r="J13" i="159"/>
  <c r="J17" i="159"/>
  <c r="J21" i="159"/>
  <c r="K13" i="159"/>
  <c r="K16" i="159"/>
  <c r="L13" i="159"/>
  <c r="L16" i="159"/>
  <c r="K19" i="159"/>
  <c r="K20" i="159"/>
  <c r="K12" i="159"/>
  <c r="L12" i="159"/>
  <c r="K15" i="159"/>
  <c r="L15" i="159"/>
  <c r="K18" i="159"/>
  <c r="K11" i="159"/>
  <c r="L18" i="159"/>
  <c r="J12" i="159"/>
  <c r="J16" i="159"/>
  <c r="J20" i="159"/>
  <c r="J11" i="159"/>
  <c r="J15" i="159"/>
  <c r="J19" i="159"/>
  <c r="K15" i="158"/>
  <c r="J33" i="158"/>
  <c r="K11" i="158"/>
  <c r="L21" i="158"/>
  <c r="L24" i="158"/>
  <c r="K27" i="158"/>
  <c r="L11" i="158"/>
  <c r="L33" i="158" s="1"/>
  <c r="L14" i="158"/>
  <c r="K17" i="158"/>
  <c r="L27" i="158"/>
  <c r="K13" i="158"/>
  <c r="K29" i="158"/>
  <c r="K14" i="158"/>
  <c r="K18" i="158"/>
  <c r="K22" i="158"/>
  <c r="K26" i="158"/>
  <c r="K30" i="158"/>
  <c r="K12" i="158"/>
  <c r="K16" i="158"/>
  <c r="K20" i="158"/>
  <c r="K24" i="158"/>
  <c r="J21" i="156"/>
  <c r="J12" i="156"/>
  <c r="J16" i="156"/>
  <c r="K22" i="156"/>
  <c r="K20" i="156"/>
  <c r="K17" i="156"/>
  <c r="K21" i="156"/>
  <c r="K13" i="156"/>
  <c r="K16" i="156"/>
  <c r="K12" i="156"/>
  <c r="L20" i="156"/>
  <c r="H19" i="156"/>
  <c r="G19" i="156"/>
  <c r="K11" i="156"/>
  <c r="K15" i="156"/>
  <c r="K19" i="156"/>
  <c r="J15" i="156"/>
  <c r="J19" i="156"/>
  <c r="J14" i="156"/>
  <c r="J18" i="156"/>
  <c r="J22" i="156"/>
  <c r="J11" i="156"/>
  <c r="J24" i="156" s="1"/>
  <c r="K14" i="156"/>
  <c r="K18" i="156"/>
  <c r="J13" i="156"/>
  <c r="J17" i="156"/>
  <c r="S11" i="154"/>
  <c r="S15" i="154"/>
  <c r="S19" i="154"/>
  <c r="S20" i="154"/>
  <c r="S17" i="154"/>
  <c r="S23" i="154" s="1"/>
  <c r="S18" i="154"/>
  <c r="U12" i="154"/>
  <c r="V14" i="154"/>
  <c r="V18" i="154"/>
  <c r="V19" i="154"/>
  <c r="U20" i="154"/>
  <c r="V20" i="154"/>
  <c r="U14" i="154"/>
  <c r="U16" i="154"/>
  <c r="T12" i="154"/>
  <c r="T14" i="154"/>
  <c r="T18" i="154"/>
  <c r="T17" i="154"/>
  <c r="R14" i="154"/>
  <c r="T11" i="154"/>
  <c r="R12" i="154"/>
  <c r="T15" i="154"/>
  <c r="T16" i="154"/>
  <c r="T21" i="154"/>
  <c r="T13" i="154"/>
  <c r="T19" i="154"/>
  <c r="Q14" i="154"/>
  <c r="V15" i="154"/>
  <c r="R16" i="154"/>
  <c r="Q17" i="154"/>
  <c r="R19" i="154"/>
  <c r="Q15" i="154"/>
  <c r="V16" i="154"/>
  <c r="R17" i="154"/>
  <c r="Q13" i="154"/>
  <c r="R15" i="154"/>
  <c r="Q20" i="154"/>
  <c r="Q19" i="154"/>
  <c r="R21" i="154"/>
  <c r="Q11" i="154"/>
  <c r="R13" i="154"/>
  <c r="Q18" i="154"/>
  <c r="R20" i="154"/>
  <c r="R11" i="154"/>
  <c r="Q16" i="154"/>
  <c r="U11" i="154"/>
  <c r="U13" i="154"/>
  <c r="U15" i="154"/>
  <c r="U17" i="154"/>
  <c r="U19" i="154"/>
  <c r="U21" i="154"/>
  <c r="L22" i="153"/>
  <c r="L24" i="153"/>
  <c r="L21" i="153"/>
  <c r="K24" i="153"/>
  <c r="K12" i="153"/>
  <c r="K15" i="153"/>
  <c r="L12" i="153"/>
  <c r="L15" i="153"/>
  <c r="K11" i="153"/>
  <c r="L14" i="153"/>
  <c r="L17" i="153"/>
  <c r="L20" i="153"/>
  <c r="L23" i="153"/>
  <c r="K21" i="153"/>
  <c r="K14" i="153"/>
  <c r="K17" i="153"/>
  <c r="K20" i="153"/>
  <c r="K23" i="153"/>
  <c r="L11" i="153"/>
  <c r="K22" i="153"/>
  <c r="L25" i="153"/>
  <c r="K18" i="153"/>
  <c r="K13" i="153"/>
  <c r="K16" i="153"/>
  <c r="K19" i="153"/>
  <c r="L13" i="153"/>
  <c r="L16" i="153"/>
  <c r="J13" i="153"/>
  <c r="J17" i="153"/>
  <c r="J21" i="153"/>
  <c r="J25" i="153"/>
  <c r="J12" i="153"/>
  <c r="J16" i="153"/>
  <c r="J20" i="153"/>
  <c r="J24" i="153"/>
  <c r="J14" i="153"/>
  <c r="J18" i="153"/>
  <c r="J16" i="149"/>
  <c r="J12" i="149"/>
  <c r="J14" i="149"/>
  <c r="J17" i="149"/>
  <c r="J15" i="149"/>
  <c r="J18" i="149"/>
  <c r="V24" i="152"/>
  <c r="V14" i="152"/>
  <c r="S22" i="152"/>
  <c r="S24" i="152"/>
  <c r="T26" i="152"/>
  <c r="T25" i="152"/>
  <c r="R11" i="152"/>
  <c r="Q12" i="152"/>
  <c r="S11" i="152"/>
  <c r="R12" i="152"/>
  <c r="R13" i="152"/>
  <c r="S21" i="152"/>
  <c r="T22" i="152"/>
  <c r="T12" i="152"/>
  <c r="S13" i="152"/>
  <c r="R14" i="152"/>
  <c r="R16" i="152"/>
  <c r="R19" i="152"/>
  <c r="T13" i="152"/>
  <c r="S14" i="152"/>
  <c r="S16" i="152"/>
  <c r="S19" i="152"/>
  <c r="T15" i="152"/>
  <c r="T21" i="152"/>
  <c r="U16" i="152"/>
  <c r="U22" i="152"/>
  <c r="V16" i="152"/>
  <c r="V22" i="152"/>
  <c r="T23" i="152"/>
  <c r="T11" i="152"/>
  <c r="T17" i="152"/>
  <c r="T18" i="152"/>
  <c r="T24" i="152"/>
  <c r="U20" i="152"/>
  <c r="U12" i="152"/>
  <c r="U18" i="152"/>
  <c r="U24" i="152"/>
  <c r="U14" i="152"/>
  <c r="V18" i="152"/>
  <c r="S12" i="152"/>
  <c r="Q15" i="152"/>
  <c r="S17" i="152"/>
  <c r="Q18" i="152"/>
  <c r="S20" i="152"/>
  <c r="Q23" i="152"/>
  <c r="S25" i="152"/>
  <c r="Q26" i="152"/>
  <c r="Q13" i="152"/>
  <c r="S15" i="152"/>
  <c r="Q16" i="152"/>
  <c r="S18" i="152"/>
  <c r="Q21" i="152"/>
  <c r="S23" i="152"/>
  <c r="Q24" i="152"/>
  <c r="V12" i="152"/>
  <c r="V20" i="152"/>
  <c r="Q11" i="152"/>
  <c r="Q14" i="152"/>
  <c r="Q19" i="152"/>
  <c r="U11" i="152"/>
  <c r="U13" i="152"/>
  <c r="U15" i="152"/>
  <c r="U17" i="152"/>
  <c r="U19" i="152"/>
  <c r="U21" i="152"/>
  <c r="U23" i="152"/>
  <c r="U25" i="152"/>
  <c r="V11" i="152"/>
  <c r="V13" i="152"/>
  <c r="V15" i="152"/>
  <c r="V17" i="152"/>
  <c r="V19" i="152"/>
  <c r="V21" i="152"/>
  <c r="V23" i="152"/>
  <c r="AA14" i="150"/>
  <c r="Y11" i="150"/>
  <c r="AC14" i="150"/>
  <c r="AA18" i="150"/>
  <c r="AA20" i="150"/>
  <c r="Z12" i="150"/>
  <c r="AC15" i="150"/>
  <c r="AE18" i="150"/>
  <c r="AA22" i="150"/>
  <c r="AE19" i="150"/>
  <c r="Y12" i="150"/>
  <c r="AA21" i="150"/>
  <c r="Y14" i="150"/>
  <c r="AB22" i="150"/>
  <c r="Y15" i="150"/>
  <c r="Y17" i="150"/>
  <c r="AB21" i="150"/>
  <c r="AC22" i="150"/>
  <c r="AF11" i="150"/>
  <c r="AF12" i="150"/>
  <c r="AF24" i="150" s="1"/>
  <c r="AF15" i="150"/>
  <c r="AF21" i="150"/>
  <c r="AF22" i="150"/>
  <c r="AF18" i="150"/>
  <c r="AF14" i="150"/>
  <c r="AF17" i="150"/>
  <c r="AF20" i="150"/>
  <c r="AF13" i="150"/>
  <c r="AE14" i="150"/>
  <c r="AD20" i="150"/>
  <c r="AD16" i="150"/>
  <c r="AD14" i="150"/>
  <c r="AD18" i="150"/>
  <c r="AC13" i="150"/>
  <c r="AC20" i="150"/>
  <c r="AC12" i="150"/>
  <c r="AC19" i="150"/>
  <c r="AC11" i="150"/>
  <c r="AC18" i="150"/>
  <c r="AC17" i="150"/>
  <c r="AB11" i="150"/>
  <c r="AB12" i="150"/>
  <c r="AB13" i="150"/>
  <c r="AB14" i="150"/>
  <c r="AB15" i="150"/>
  <c r="AB16" i="150"/>
  <c r="AB17" i="150"/>
  <c r="AB18" i="150"/>
  <c r="AB19" i="150"/>
  <c r="Y19" i="150"/>
  <c r="Z11" i="150"/>
  <c r="AD13" i="150"/>
  <c r="Z15" i="150"/>
  <c r="AD17" i="150"/>
  <c r="Z19" i="150"/>
  <c r="AD21" i="150"/>
  <c r="AA11" i="150"/>
  <c r="AE13" i="150"/>
  <c r="AA15" i="150"/>
  <c r="AE17" i="150"/>
  <c r="AA19" i="150"/>
  <c r="AE21" i="150"/>
  <c r="AD22" i="150"/>
  <c r="AD11" i="150"/>
  <c r="Z13" i="150"/>
  <c r="AD15" i="150"/>
  <c r="Z17" i="150"/>
  <c r="AE11" i="150"/>
  <c r="AA13" i="150"/>
  <c r="AE15" i="150"/>
  <c r="AA17" i="150"/>
  <c r="X24" i="150"/>
  <c r="L17" i="149"/>
  <c r="K13" i="149"/>
  <c r="J20" i="149"/>
  <c r="L11" i="149"/>
  <c r="L13" i="149"/>
  <c r="L14" i="149"/>
  <c r="L12" i="149"/>
  <c r="L15" i="149"/>
  <c r="L18" i="149"/>
  <c r="L20" i="149"/>
  <c r="L16" i="149"/>
  <c r="K14" i="149"/>
  <c r="K18" i="149"/>
  <c r="K12" i="149"/>
  <c r="K16" i="149"/>
  <c r="K20" i="149"/>
  <c r="K11" i="149"/>
  <c r="K15" i="149"/>
  <c r="K19" i="149"/>
  <c r="J18" i="148"/>
  <c r="J25" i="148"/>
  <c r="L18" i="148"/>
  <c r="J14" i="148"/>
  <c r="J17" i="148"/>
  <c r="L14" i="148"/>
  <c r="J13" i="148"/>
  <c r="J16" i="148"/>
  <c r="J21" i="148"/>
  <c r="L11" i="148"/>
  <c r="L15" i="148"/>
  <c r="L19" i="148"/>
  <c r="J22" i="148"/>
  <c r="L23" i="148"/>
  <c r="J26" i="148"/>
  <c r="L27" i="148"/>
  <c r="L29" i="148"/>
  <c r="L13" i="148"/>
  <c r="L17" i="148"/>
  <c r="J20" i="148"/>
  <c r="L21" i="148"/>
  <c r="J24" i="148"/>
  <c r="L25" i="148"/>
  <c r="J28" i="148"/>
  <c r="L12" i="148"/>
  <c r="L16" i="148"/>
  <c r="J19" i="148"/>
  <c r="L20" i="148"/>
  <c r="J23" i="148"/>
  <c r="L24" i="148"/>
  <c r="J27" i="148"/>
  <c r="K14" i="147"/>
  <c r="J22" i="147"/>
  <c r="K16" i="147"/>
  <c r="K13" i="147"/>
  <c r="K12" i="147"/>
  <c r="K18" i="147"/>
  <c r="K20" i="147"/>
  <c r="K17" i="147"/>
  <c r="L13" i="147"/>
  <c r="L20" i="147"/>
  <c r="K11" i="147"/>
  <c r="K15" i="147"/>
  <c r="L17" i="147"/>
  <c r="L12" i="147"/>
  <c r="L16" i="147"/>
  <c r="L11" i="147"/>
  <c r="L15" i="147"/>
  <c r="L19" i="147"/>
  <c r="L12" i="146"/>
  <c r="L14" i="146"/>
  <c r="L22" i="146"/>
  <c r="J24" i="146"/>
  <c r="K24" i="146"/>
  <c r="L17" i="146"/>
  <c r="L21" i="146"/>
  <c r="J17" i="146"/>
  <c r="J11" i="146"/>
  <c r="J16" i="146"/>
  <c r="J21" i="146"/>
  <c r="L24" i="146"/>
  <c r="L16" i="146"/>
  <c r="L13" i="146"/>
  <c r="J15" i="146"/>
  <c r="K11" i="146"/>
  <c r="K14" i="146"/>
  <c r="K20" i="146"/>
  <c r="K23" i="146"/>
  <c r="K13" i="146"/>
  <c r="K16" i="146"/>
  <c r="L11" i="146"/>
  <c r="J14" i="146"/>
  <c r="L15" i="146"/>
  <c r="J18" i="146"/>
  <c r="L19" i="146"/>
  <c r="J22" i="146"/>
  <c r="L23" i="146"/>
  <c r="K18" i="146"/>
  <c r="K22" i="146"/>
  <c r="X13" i="145"/>
  <c r="X17" i="145"/>
  <c r="X14" i="145"/>
  <c r="X12" i="145"/>
  <c r="AF12" i="145"/>
  <c r="AF17" i="145"/>
  <c r="AF15" i="145"/>
  <c r="AF18" i="145"/>
  <c r="AF13" i="145"/>
  <c r="AF11" i="145"/>
  <c r="AF16" i="145"/>
  <c r="AE14" i="145"/>
  <c r="AE18" i="145"/>
  <c r="AE16" i="145"/>
  <c r="AE11" i="145"/>
  <c r="AE13" i="145"/>
  <c r="AE15" i="145"/>
  <c r="AE12" i="145"/>
  <c r="AD18" i="145"/>
  <c r="AD13" i="145"/>
  <c r="AD16" i="145"/>
  <c r="AD15" i="145"/>
  <c r="AD12" i="145"/>
  <c r="AD14" i="145"/>
  <c r="AC11" i="145"/>
  <c r="AC15" i="145"/>
  <c r="AC16" i="145"/>
  <c r="AC12" i="145"/>
  <c r="AC14" i="145"/>
  <c r="AC18" i="145"/>
  <c r="AC13" i="145"/>
  <c r="AB12" i="145"/>
  <c r="AB11" i="145"/>
  <c r="AB18" i="145"/>
  <c r="AB15" i="145"/>
  <c r="AB16" i="145"/>
  <c r="AB17" i="145"/>
  <c r="AB14" i="145"/>
  <c r="AA11" i="145"/>
  <c r="AA15" i="145"/>
  <c r="AA18" i="145"/>
  <c r="AA12" i="145"/>
  <c r="AA14" i="145"/>
  <c r="AA17" i="145"/>
  <c r="AA13" i="145"/>
  <c r="Y11" i="145"/>
  <c r="Y13" i="145"/>
  <c r="Y17" i="145"/>
  <c r="Y15" i="145"/>
  <c r="Z12" i="145"/>
  <c r="Z16" i="145"/>
  <c r="Z13" i="145"/>
  <c r="Z17" i="145"/>
  <c r="Y14" i="145"/>
  <c r="Y18" i="145"/>
  <c r="Z14" i="145"/>
  <c r="Z18" i="145"/>
  <c r="Z11" i="145"/>
  <c r="X20" i="145"/>
  <c r="J18" i="144"/>
  <c r="L14" i="144"/>
  <c r="L13" i="144"/>
  <c r="L11" i="144"/>
  <c r="L16" i="144"/>
  <c r="L18" i="144"/>
  <c r="K13" i="144"/>
  <c r="K18" i="144"/>
  <c r="K15" i="144"/>
  <c r="K11" i="144"/>
  <c r="K14" i="144"/>
  <c r="J20" i="144"/>
  <c r="K12" i="144"/>
  <c r="K16" i="144"/>
  <c r="L14" i="143"/>
  <c r="L18" i="143"/>
  <c r="L17" i="143"/>
  <c r="K12" i="143"/>
  <c r="K16" i="143"/>
  <c r="K20" i="143"/>
  <c r="L20" i="143"/>
  <c r="K11" i="143"/>
  <c r="K15" i="143"/>
  <c r="L13" i="143"/>
  <c r="L12" i="143"/>
  <c r="L16" i="143"/>
  <c r="L11" i="143"/>
  <c r="L15" i="143"/>
  <c r="J26" i="142"/>
  <c r="V23" i="142" s="1"/>
  <c r="I26" i="142"/>
  <c r="U23" i="142" s="1"/>
  <c r="H26" i="142"/>
  <c r="T23" i="142" s="1"/>
  <c r="G26" i="142"/>
  <c r="S14" i="142" s="1"/>
  <c r="F26" i="142"/>
  <c r="R20" i="142" s="1"/>
  <c r="E26" i="142"/>
  <c r="Q23" i="142" s="1"/>
  <c r="D26" i="142"/>
  <c r="C26" i="142"/>
  <c r="P24" i="142"/>
  <c r="O24" i="142"/>
  <c r="N24" i="142"/>
  <c r="M24" i="142"/>
  <c r="L24" i="142"/>
  <c r="K24" i="142"/>
  <c r="P23" i="142"/>
  <c r="O23" i="142"/>
  <c r="N23" i="142"/>
  <c r="M23" i="142"/>
  <c r="L23" i="142"/>
  <c r="K23" i="142"/>
  <c r="P22" i="142"/>
  <c r="O22" i="142"/>
  <c r="N22" i="142"/>
  <c r="M22" i="142"/>
  <c r="L22" i="142"/>
  <c r="K22" i="142"/>
  <c r="U21" i="142"/>
  <c r="P21" i="142"/>
  <c r="O21" i="142"/>
  <c r="N21" i="142"/>
  <c r="M21" i="142"/>
  <c r="L21" i="142"/>
  <c r="K21" i="142"/>
  <c r="U20" i="142"/>
  <c r="Q20" i="142"/>
  <c r="P20" i="142"/>
  <c r="O20" i="142"/>
  <c r="N20" i="142"/>
  <c r="M20" i="142"/>
  <c r="L20" i="142"/>
  <c r="K20" i="142"/>
  <c r="P19" i="142"/>
  <c r="O19" i="142"/>
  <c r="N19" i="142"/>
  <c r="M19" i="142"/>
  <c r="L19" i="142"/>
  <c r="K19" i="142"/>
  <c r="R18" i="142"/>
  <c r="P18" i="142"/>
  <c r="O18" i="142"/>
  <c r="N18" i="142"/>
  <c r="M18" i="142"/>
  <c r="L18" i="142"/>
  <c r="K18" i="142"/>
  <c r="P17" i="142"/>
  <c r="O17" i="142"/>
  <c r="N17" i="142"/>
  <c r="M17" i="142"/>
  <c r="L17" i="142"/>
  <c r="K17" i="142"/>
  <c r="P16" i="142"/>
  <c r="O16" i="142"/>
  <c r="N16" i="142"/>
  <c r="M16" i="142"/>
  <c r="L16" i="142"/>
  <c r="K16" i="142"/>
  <c r="P15" i="142"/>
  <c r="O15" i="142"/>
  <c r="N15" i="142"/>
  <c r="M15" i="142"/>
  <c r="L15" i="142"/>
  <c r="K15" i="142"/>
  <c r="P14" i="142"/>
  <c r="O14" i="142"/>
  <c r="N14" i="142"/>
  <c r="M14" i="142"/>
  <c r="L14" i="142"/>
  <c r="K14" i="142"/>
  <c r="R13" i="142"/>
  <c r="P13" i="142"/>
  <c r="O13" i="142"/>
  <c r="N13" i="142"/>
  <c r="M13" i="142"/>
  <c r="L13" i="142"/>
  <c r="K13" i="142"/>
  <c r="U12" i="142"/>
  <c r="P12" i="142"/>
  <c r="O12" i="142"/>
  <c r="N12" i="142"/>
  <c r="M12" i="142"/>
  <c r="L12" i="142"/>
  <c r="K12" i="142"/>
  <c r="P11" i="142"/>
  <c r="O11" i="142"/>
  <c r="N11" i="142"/>
  <c r="M11" i="142"/>
  <c r="L11" i="142"/>
  <c r="K11" i="142"/>
  <c r="K24" i="156" l="1"/>
  <c r="V23" i="154"/>
  <c r="AC24" i="150"/>
  <c r="J22" i="149"/>
  <c r="AB20" i="145"/>
  <c r="L22" i="143"/>
  <c r="L23" i="159"/>
  <c r="K23" i="159"/>
  <c r="J23" i="159"/>
  <c r="K33" i="158"/>
  <c r="L11" i="156"/>
  <c r="L12" i="156"/>
  <c r="L15" i="156"/>
  <c r="L22" i="156"/>
  <c r="L17" i="156"/>
  <c r="L21" i="156"/>
  <c r="L13" i="156"/>
  <c r="L18" i="156"/>
  <c r="L14" i="156"/>
  <c r="L19" i="156"/>
  <c r="L16" i="156"/>
  <c r="T23" i="154"/>
  <c r="Q23" i="154"/>
  <c r="R23" i="154"/>
  <c r="U23" i="154"/>
  <c r="J27" i="153"/>
  <c r="L27" i="153"/>
  <c r="K27" i="153"/>
  <c r="T28" i="152"/>
  <c r="R28" i="152"/>
  <c r="S28" i="152"/>
  <c r="Q28" i="152"/>
  <c r="V28" i="152"/>
  <c r="U28" i="152"/>
  <c r="AE24" i="150"/>
  <c r="Y24" i="150"/>
  <c r="AB24" i="150"/>
  <c r="AD24" i="150"/>
  <c r="AA24" i="150"/>
  <c r="Z24" i="150"/>
  <c r="L22" i="149"/>
  <c r="K22" i="149"/>
  <c r="J31" i="148"/>
  <c r="L31" i="148"/>
  <c r="K22" i="147"/>
  <c r="L22" i="147"/>
  <c r="L26" i="146"/>
  <c r="J26" i="146"/>
  <c r="K26" i="146"/>
  <c r="AA20" i="145"/>
  <c r="AC20" i="145"/>
  <c r="AD20" i="145"/>
  <c r="AE20" i="145"/>
  <c r="AF20" i="145"/>
  <c r="Z20" i="145"/>
  <c r="Y20" i="145"/>
  <c r="L20" i="144"/>
  <c r="K20" i="144"/>
  <c r="K22" i="143"/>
  <c r="R17" i="142"/>
  <c r="S12" i="142"/>
  <c r="S24" i="142"/>
  <c r="S11" i="142"/>
  <c r="Q14" i="142"/>
  <c r="Q16" i="142"/>
  <c r="S19" i="142"/>
  <c r="S20" i="142"/>
  <c r="S23" i="142"/>
  <c r="V12" i="142"/>
  <c r="S13" i="142"/>
  <c r="R14" i="142"/>
  <c r="S15" i="142"/>
  <c r="S16" i="142"/>
  <c r="S17" i="142"/>
  <c r="S18" i="142"/>
  <c r="T20" i="142"/>
  <c r="S21" i="142"/>
  <c r="S22" i="142"/>
  <c r="T16" i="142"/>
  <c r="U16" i="142"/>
  <c r="R11" i="142"/>
  <c r="T14" i="142"/>
  <c r="T18" i="142"/>
  <c r="T24" i="142"/>
  <c r="U13" i="142"/>
  <c r="U22" i="142"/>
  <c r="U24" i="142"/>
  <c r="U17" i="142"/>
  <c r="R12" i="142"/>
  <c r="U14" i="142"/>
  <c r="R15" i="142"/>
  <c r="U18" i="142"/>
  <c r="R19" i="142"/>
  <c r="U11" i="142"/>
  <c r="V14" i="142"/>
  <c r="V18" i="142"/>
  <c r="T12" i="142"/>
  <c r="U15" i="142"/>
  <c r="R16" i="142"/>
  <c r="U19" i="142"/>
  <c r="T22" i="142"/>
  <c r="R21" i="142"/>
  <c r="R22" i="142"/>
  <c r="R23" i="142"/>
  <c r="R24" i="142"/>
  <c r="V22" i="142"/>
  <c r="Q24" i="142"/>
  <c r="V16" i="142"/>
  <c r="Q18" i="142"/>
  <c r="Q12" i="142"/>
  <c r="V20" i="142"/>
  <c r="Q22" i="142"/>
  <c r="Q11" i="142"/>
  <c r="Q13" i="142"/>
  <c r="Q15" i="142"/>
  <c r="Q17" i="142"/>
  <c r="Q19" i="142"/>
  <c r="Q21" i="142"/>
  <c r="V24" i="142"/>
  <c r="T11" i="142"/>
  <c r="T13" i="142"/>
  <c r="T15" i="142"/>
  <c r="T17" i="142"/>
  <c r="T19" i="142"/>
  <c r="T21" i="142"/>
  <c r="V11" i="142"/>
  <c r="V13" i="142"/>
  <c r="V15" i="142"/>
  <c r="V17" i="142"/>
  <c r="V19" i="142"/>
  <c r="V21" i="142"/>
  <c r="F25" i="138"/>
  <c r="L16" i="138" s="1"/>
  <c r="E25" i="138"/>
  <c r="K17" i="138" s="1"/>
  <c r="D25" i="138"/>
  <c r="J12" i="138" s="1"/>
  <c r="C25" i="138"/>
  <c r="I23" i="138"/>
  <c r="H23" i="138"/>
  <c r="G23" i="138"/>
  <c r="I22" i="138"/>
  <c r="H22" i="138"/>
  <c r="G22" i="138"/>
  <c r="I21" i="138"/>
  <c r="H21" i="138"/>
  <c r="G21" i="138"/>
  <c r="L20" i="138"/>
  <c r="J20" i="138"/>
  <c r="I20" i="138"/>
  <c r="H20" i="138"/>
  <c r="G20" i="138"/>
  <c r="K19" i="138"/>
  <c r="I19" i="138"/>
  <c r="H19" i="138"/>
  <c r="G19" i="138"/>
  <c r="J18" i="138"/>
  <c r="I18" i="138"/>
  <c r="H18" i="138"/>
  <c r="G18" i="138"/>
  <c r="I17" i="138"/>
  <c r="H17" i="138"/>
  <c r="G17" i="138"/>
  <c r="K16" i="138"/>
  <c r="I16" i="138"/>
  <c r="H16" i="138"/>
  <c r="G16" i="138"/>
  <c r="I15" i="138"/>
  <c r="H15" i="138"/>
  <c r="G15" i="138"/>
  <c r="I14" i="138"/>
  <c r="H14" i="138"/>
  <c r="G14" i="138"/>
  <c r="L13" i="138"/>
  <c r="K13" i="138"/>
  <c r="I13" i="138"/>
  <c r="H13" i="138"/>
  <c r="G13" i="138"/>
  <c r="L12" i="138"/>
  <c r="K12" i="138"/>
  <c r="I12" i="138"/>
  <c r="H12" i="138"/>
  <c r="G12" i="138"/>
  <c r="J11" i="138"/>
  <c r="I11" i="138"/>
  <c r="H11" i="138"/>
  <c r="G11" i="138"/>
  <c r="F23" i="137"/>
  <c r="L20" i="137" s="1"/>
  <c r="E23" i="137"/>
  <c r="K16" i="137" s="1"/>
  <c r="D23" i="137"/>
  <c r="J20" i="137" s="1"/>
  <c r="C23" i="137"/>
  <c r="L21" i="137"/>
  <c r="K21" i="137"/>
  <c r="I21" i="137"/>
  <c r="H21" i="137"/>
  <c r="G21" i="137"/>
  <c r="K20" i="137"/>
  <c r="I20" i="137"/>
  <c r="H20" i="137"/>
  <c r="G20" i="137"/>
  <c r="L19" i="137"/>
  <c r="K19" i="137"/>
  <c r="I19" i="137"/>
  <c r="H19" i="137"/>
  <c r="G19" i="137"/>
  <c r="L18" i="137"/>
  <c r="K18" i="137"/>
  <c r="I18" i="137"/>
  <c r="H18" i="137"/>
  <c r="G18" i="137"/>
  <c r="L17" i="137"/>
  <c r="K17" i="137"/>
  <c r="J17" i="137"/>
  <c r="I17" i="137"/>
  <c r="H17" i="137"/>
  <c r="G17" i="137"/>
  <c r="L16" i="137"/>
  <c r="I16" i="137"/>
  <c r="H16" i="137"/>
  <c r="G16" i="137"/>
  <c r="L15" i="137"/>
  <c r="J15" i="137"/>
  <c r="I15" i="137"/>
  <c r="H15" i="137"/>
  <c r="G15" i="137"/>
  <c r="L14" i="137"/>
  <c r="K14" i="137"/>
  <c r="I14" i="137"/>
  <c r="H14" i="137"/>
  <c r="G14" i="137"/>
  <c r="L13" i="137"/>
  <c r="K13" i="137"/>
  <c r="J13" i="137"/>
  <c r="I13" i="137"/>
  <c r="H13" i="137"/>
  <c r="G13" i="137"/>
  <c r="L12" i="137"/>
  <c r="I12" i="137"/>
  <c r="H12" i="137"/>
  <c r="G12" i="137"/>
  <c r="L11" i="137"/>
  <c r="J11" i="137"/>
  <c r="I11" i="137"/>
  <c r="H11" i="137"/>
  <c r="G11" i="137"/>
  <c r="F31" i="136"/>
  <c r="L28" i="136" s="1"/>
  <c r="E31" i="136"/>
  <c r="D31" i="136"/>
  <c r="J13" i="136" s="1"/>
  <c r="C31" i="136"/>
  <c r="I29" i="136"/>
  <c r="H29" i="136"/>
  <c r="G29" i="136"/>
  <c r="I28" i="136"/>
  <c r="H28" i="136"/>
  <c r="G28" i="136"/>
  <c r="I27" i="136"/>
  <c r="H27" i="136"/>
  <c r="G27" i="136"/>
  <c r="L26" i="136"/>
  <c r="I26" i="136"/>
  <c r="H26" i="136"/>
  <c r="G26" i="136"/>
  <c r="I25" i="136"/>
  <c r="H25" i="136"/>
  <c r="G25" i="136"/>
  <c r="L24" i="136"/>
  <c r="I24" i="136"/>
  <c r="H24" i="136"/>
  <c r="G24" i="136"/>
  <c r="I23" i="136"/>
  <c r="H23" i="136"/>
  <c r="G23" i="136"/>
  <c r="L22" i="136"/>
  <c r="I22" i="136"/>
  <c r="H22" i="136"/>
  <c r="G22" i="136"/>
  <c r="I21" i="136"/>
  <c r="H21" i="136"/>
  <c r="G21" i="136"/>
  <c r="L20" i="136"/>
  <c r="I20" i="136"/>
  <c r="H20" i="136"/>
  <c r="G20" i="136"/>
  <c r="I19" i="136"/>
  <c r="H19" i="136"/>
  <c r="G19" i="136"/>
  <c r="L18" i="136"/>
  <c r="I18" i="136"/>
  <c r="H18" i="136"/>
  <c r="G18" i="136"/>
  <c r="I17" i="136"/>
  <c r="H17" i="136"/>
  <c r="G17" i="136"/>
  <c r="L16" i="136"/>
  <c r="I16" i="136"/>
  <c r="H16" i="136"/>
  <c r="G16" i="136"/>
  <c r="L15" i="136"/>
  <c r="I15" i="136"/>
  <c r="H15" i="136"/>
  <c r="G15" i="136"/>
  <c r="L14" i="136"/>
  <c r="I14" i="136"/>
  <c r="H14" i="136"/>
  <c r="G14" i="136"/>
  <c r="L13" i="136"/>
  <c r="I13" i="136"/>
  <c r="H13" i="136"/>
  <c r="G13" i="136"/>
  <c r="L12" i="136"/>
  <c r="I12" i="136"/>
  <c r="H12" i="136"/>
  <c r="G12" i="136"/>
  <c r="L11" i="136"/>
  <c r="I11" i="136"/>
  <c r="H11" i="136"/>
  <c r="G11" i="136"/>
  <c r="F33" i="135"/>
  <c r="L30" i="135" s="1"/>
  <c r="E33" i="135"/>
  <c r="K31" i="135" s="1"/>
  <c r="D33" i="135"/>
  <c r="C33" i="135"/>
  <c r="I31" i="135"/>
  <c r="H31" i="135"/>
  <c r="G31" i="135"/>
  <c r="I30" i="135"/>
  <c r="H30" i="135"/>
  <c r="G30" i="135"/>
  <c r="I29" i="135"/>
  <c r="H29" i="135"/>
  <c r="G29" i="135"/>
  <c r="L28" i="135"/>
  <c r="J28" i="135"/>
  <c r="I28" i="135"/>
  <c r="H28" i="135"/>
  <c r="G28" i="135"/>
  <c r="J27" i="135"/>
  <c r="I27" i="135"/>
  <c r="H27" i="135"/>
  <c r="G27" i="135"/>
  <c r="L26" i="135"/>
  <c r="J26" i="135"/>
  <c r="I26" i="135"/>
  <c r="H26" i="135"/>
  <c r="G26" i="135"/>
  <c r="L25" i="135"/>
  <c r="J25" i="135"/>
  <c r="I25" i="135"/>
  <c r="H25" i="135"/>
  <c r="G25" i="135"/>
  <c r="J24" i="135"/>
  <c r="I24" i="135"/>
  <c r="H24" i="135"/>
  <c r="G24" i="135"/>
  <c r="J23" i="135"/>
  <c r="I23" i="135"/>
  <c r="H23" i="135"/>
  <c r="G23" i="135"/>
  <c r="J22" i="135"/>
  <c r="I22" i="135"/>
  <c r="H22" i="135"/>
  <c r="G22" i="135"/>
  <c r="L21" i="135"/>
  <c r="J21" i="135"/>
  <c r="I21" i="135"/>
  <c r="H21" i="135"/>
  <c r="G21" i="135"/>
  <c r="L20" i="135"/>
  <c r="J20" i="135"/>
  <c r="I20" i="135"/>
  <c r="H20" i="135"/>
  <c r="G20" i="135"/>
  <c r="J19" i="135"/>
  <c r="I19" i="135"/>
  <c r="H19" i="135"/>
  <c r="G19" i="135"/>
  <c r="L18" i="135"/>
  <c r="J18" i="135"/>
  <c r="I18" i="135"/>
  <c r="H18" i="135"/>
  <c r="G18" i="135"/>
  <c r="L17" i="135"/>
  <c r="J17" i="135"/>
  <c r="I17" i="135"/>
  <c r="H17" i="135"/>
  <c r="G17" i="135"/>
  <c r="J16" i="135"/>
  <c r="I16" i="135"/>
  <c r="H16" i="135"/>
  <c r="G16" i="135"/>
  <c r="J15" i="135"/>
  <c r="I15" i="135"/>
  <c r="H15" i="135"/>
  <c r="G15" i="135"/>
  <c r="J14" i="135"/>
  <c r="I14" i="135"/>
  <c r="H14" i="135"/>
  <c r="G14" i="135"/>
  <c r="L13" i="135"/>
  <c r="J13" i="135"/>
  <c r="I13" i="135"/>
  <c r="H13" i="135"/>
  <c r="G13" i="135"/>
  <c r="L12" i="135"/>
  <c r="J12" i="135"/>
  <c r="I12" i="135"/>
  <c r="H12" i="135"/>
  <c r="G12" i="135"/>
  <c r="J11" i="135"/>
  <c r="I11" i="135"/>
  <c r="H11" i="135"/>
  <c r="G11" i="135"/>
  <c r="F28" i="134"/>
  <c r="F25" i="134"/>
  <c r="F24" i="134"/>
  <c r="F23" i="134"/>
  <c r="F22" i="134"/>
  <c r="F21" i="134"/>
  <c r="L21" i="134" s="1"/>
  <c r="F20" i="134"/>
  <c r="L20" i="134" s="1"/>
  <c r="F19" i="134"/>
  <c r="F18" i="134"/>
  <c r="F17" i="134"/>
  <c r="F16" i="134"/>
  <c r="F15" i="134"/>
  <c r="F14" i="134"/>
  <c r="F13" i="134"/>
  <c r="I13" i="134" s="1"/>
  <c r="F12" i="134"/>
  <c r="L12" i="134" s="1"/>
  <c r="F11" i="134"/>
  <c r="E28" i="134"/>
  <c r="K28" i="134" s="1"/>
  <c r="E25" i="134"/>
  <c r="E24" i="134"/>
  <c r="E23" i="134"/>
  <c r="K23" i="134" s="1"/>
  <c r="E22" i="134"/>
  <c r="E21" i="134"/>
  <c r="E20" i="134"/>
  <c r="H20" i="134" s="1"/>
  <c r="E19" i="134"/>
  <c r="K19" i="134" s="1"/>
  <c r="E18" i="134"/>
  <c r="K18" i="134" s="1"/>
  <c r="E17" i="134"/>
  <c r="E16" i="134"/>
  <c r="E15" i="134"/>
  <c r="H15" i="134" s="1"/>
  <c r="E14" i="134"/>
  <c r="E13" i="134"/>
  <c r="E12" i="134"/>
  <c r="K12" i="134" s="1"/>
  <c r="E11" i="134"/>
  <c r="K11" i="134" s="1"/>
  <c r="D28" i="134"/>
  <c r="D25" i="134"/>
  <c r="D24" i="134"/>
  <c r="D22" i="134"/>
  <c r="G22" i="134" s="1"/>
  <c r="D21" i="134"/>
  <c r="G21" i="134" s="1"/>
  <c r="D20" i="134"/>
  <c r="D19" i="134"/>
  <c r="G19" i="134" s="1"/>
  <c r="D17" i="134"/>
  <c r="D16" i="134"/>
  <c r="D15" i="134"/>
  <c r="D14" i="134"/>
  <c r="D13" i="134"/>
  <c r="G13" i="134" s="1"/>
  <c r="D12" i="134"/>
  <c r="D31" i="134" s="1"/>
  <c r="D11" i="134"/>
  <c r="F31" i="134"/>
  <c r="L28" i="134" s="1"/>
  <c r="E31" i="134"/>
  <c r="K24" i="134" s="1"/>
  <c r="C31" i="134"/>
  <c r="I29" i="134"/>
  <c r="H29" i="134"/>
  <c r="G29" i="134"/>
  <c r="I28" i="134"/>
  <c r="H28" i="134"/>
  <c r="G28" i="134"/>
  <c r="I27" i="134"/>
  <c r="H27" i="134"/>
  <c r="G27" i="134"/>
  <c r="I26" i="134"/>
  <c r="H26" i="134"/>
  <c r="G26" i="134"/>
  <c r="I25" i="134"/>
  <c r="H25" i="134"/>
  <c r="G25" i="134"/>
  <c r="I24" i="134"/>
  <c r="H24" i="134"/>
  <c r="G24" i="134"/>
  <c r="I23" i="134"/>
  <c r="G23" i="134"/>
  <c r="I22" i="134"/>
  <c r="H22" i="134"/>
  <c r="H21" i="134"/>
  <c r="G20" i="134"/>
  <c r="I19" i="134"/>
  <c r="I18" i="134"/>
  <c r="H18" i="134"/>
  <c r="G18" i="134"/>
  <c r="I17" i="134"/>
  <c r="H17" i="134"/>
  <c r="G17" i="134"/>
  <c r="I16" i="134"/>
  <c r="H16" i="134"/>
  <c r="G16" i="134"/>
  <c r="I15" i="134"/>
  <c r="G15" i="134"/>
  <c r="I14" i="134"/>
  <c r="H14" i="134"/>
  <c r="G14" i="134"/>
  <c r="H13" i="134"/>
  <c r="I11" i="134"/>
  <c r="G11" i="134"/>
  <c r="F24" i="133"/>
  <c r="L18" i="133" s="1"/>
  <c r="E24" i="133"/>
  <c r="K13" i="133" s="1"/>
  <c r="D24" i="133"/>
  <c r="J21" i="133" s="1"/>
  <c r="C24" i="133"/>
  <c r="I22" i="133"/>
  <c r="H22" i="133"/>
  <c r="G22" i="133"/>
  <c r="I21" i="133"/>
  <c r="H21" i="133"/>
  <c r="G21" i="133"/>
  <c r="I20" i="133"/>
  <c r="H20" i="133"/>
  <c r="G20" i="133"/>
  <c r="I19" i="133"/>
  <c r="H19" i="133"/>
  <c r="G19" i="133"/>
  <c r="I18" i="133"/>
  <c r="H18" i="133"/>
  <c r="G18" i="133"/>
  <c r="I17" i="133"/>
  <c r="H17" i="133"/>
  <c r="G17" i="133"/>
  <c r="I16" i="133"/>
  <c r="H16" i="133"/>
  <c r="G16" i="133"/>
  <c r="I15" i="133"/>
  <c r="H15" i="133"/>
  <c r="G15" i="133"/>
  <c r="I14" i="133"/>
  <c r="H14" i="133"/>
  <c r="G14" i="133"/>
  <c r="I13" i="133"/>
  <c r="H13" i="133"/>
  <c r="G13" i="133"/>
  <c r="I12" i="133"/>
  <c r="H12" i="133"/>
  <c r="G12" i="133"/>
  <c r="I11" i="133"/>
  <c r="H11" i="133"/>
  <c r="G11" i="133"/>
  <c r="C24" i="132"/>
  <c r="G22" i="132"/>
  <c r="F22" i="132"/>
  <c r="E22" i="132"/>
  <c r="G21" i="132"/>
  <c r="F21" i="132"/>
  <c r="E21" i="132"/>
  <c r="G20" i="132"/>
  <c r="F20" i="132"/>
  <c r="E20" i="132"/>
  <c r="G19" i="132"/>
  <c r="F19" i="132"/>
  <c r="E19" i="132"/>
  <c r="G18" i="132"/>
  <c r="F18" i="132"/>
  <c r="E18" i="132"/>
  <c r="G17" i="132"/>
  <c r="F17" i="132"/>
  <c r="E17" i="132"/>
  <c r="G16" i="132"/>
  <c r="F16" i="132"/>
  <c r="E16" i="132"/>
  <c r="G15" i="132"/>
  <c r="F15" i="132"/>
  <c r="E15" i="132"/>
  <c r="G14" i="132"/>
  <c r="F14" i="132"/>
  <c r="E14" i="132"/>
  <c r="G13" i="132"/>
  <c r="F13" i="132"/>
  <c r="E13" i="132"/>
  <c r="G12" i="132"/>
  <c r="F12" i="132"/>
  <c r="E12" i="132"/>
  <c r="G11" i="132"/>
  <c r="F11" i="132"/>
  <c r="E11" i="132"/>
  <c r="F24" i="131"/>
  <c r="L19" i="131" s="1"/>
  <c r="E24" i="131"/>
  <c r="D24" i="131"/>
  <c r="J22" i="131" s="1"/>
  <c r="C24" i="131"/>
  <c r="I22" i="131"/>
  <c r="H22" i="131"/>
  <c r="G22" i="131"/>
  <c r="L21" i="131"/>
  <c r="K21" i="131"/>
  <c r="J21" i="131"/>
  <c r="I21" i="131"/>
  <c r="H21" i="131"/>
  <c r="G21" i="131"/>
  <c r="L20" i="131"/>
  <c r="I20" i="131"/>
  <c r="H20" i="131"/>
  <c r="G20" i="131"/>
  <c r="J19" i="131"/>
  <c r="I19" i="131"/>
  <c r="H19" i="131"/>
  <c r="G19" i="131"/>
  <c r="J18" i="131"/>
  <c r="I18" i="131"/>
  <c r="H18" i="131"/>
  <c r="G18" i="131"/>
  <c r="L17" i="131"/>
  <c r="K17" i="131"/>
  <c r="J17" i="131"/>
  <c r="I17" i="131"/>
  <c r="H17" i="131"/>
  <c r="G17" i="131"/>
  <c r="I16" i="131"/>
  <c r="H16" i="131"/>
  <c r="G16" i="131"/>
  <c r="L15" i="131"/>
  <c r="J15" i="131"/>
  <c r="I15" i="131"/>
  <c r="H15" i="131"/>
  <c r="G15" i="131"/>
  <c r="J14" i="131"/>
  <c r="I14" i="131"/>
  <c r="H14" i="131"/>
  <c r="G14" i="131"/>
  <c r="L13" i="131"/>
  <c r="K13" i="131"/>
  <c r="J13" i="131"/>
  <c r="I13" i="131"/>
  <c r="H13" i="131"/>
  <c r="G13" i="131"/>
  <c r="L12" i="131"/>
  <c r="I12" i="131"/>
  <c r="H12" i="131"/>
  <c r="G12" i="131"/>
  <c r="J11" i="131"/>
  <c r="I11" i="131"/>
  <c r="H11" i="131"/>
  <c r="G11" i="131"/>
  <c r="N27" i="130"/>
  <c r="AF13" i="130" s="1"/>
  <c r="M27" i="130"/>
  <c r="AE12" i="130" s="1"/>
  <c r="AE19" i="130"/>
  <c r="L27" i="130"/>
  <c r="AD20" i="130" s="1"/>
  <c r="K27" i="130"/>
  <c r="AC16" i="130" s="1"/>
  <c r="J27" i="130"/>
  <c r="AB20" i="130" s="1"/>
  <c r="I27" i="130"/>
  <c r="AA11" i="130"/>
  <c r="H27" i="130"/>
  <c r="Z14" i="130" s="1"/>
  <c r="G27" i="130"/>
  <c r="Y22" i="130" s="1"/>
  <c r="F27" i="130"/>
  <c r="X22" i="130" s="1"/>
  <c r="E27" i="130"/>
  <c r="D27" i="130"/>
  <c r="C27" i="130"/>
  <c r="AF25" i="130"/>
  <c r="AE25" i="130"/>
  <c r="AD25" i="130"/>
  <c r="AB25" i="130"/>
  <c r="AA25" i="130"/>
  <c r="Z25" i="130"/>
  <c r="W25" i="130"/>
  <c r="V25" i="130"/>
  <c r="U25" i="130"/>
  <c r="T25" i="130"/>
  <c r="S25" i="130"/>
  <c r="R25" i="130"/>
  <c r="Q25" i="130"/>
  <c r="P25" i="130"/>
  <c r="O25" i="130"/>
  <c r="AE24" i="130"/>
  <c r="AB24" i="130"/>
  <c r="AA24" i="130"/>
  <c r="W24" i="130"/>
  <c r="V24" i="130"/>
  <c r="U24" i="130"/>
  <c r="T24" i="130"/>
  <c r="S24" i="130"/>
  <c r="R24" i="130"/>
  <c r="Q24" i="130"/>
  <c r="P24" i="130"/>
  <c r="O24" i="130"/>
  <c r="AE23" i="130"/>
  <c r="Z23" i="130"/>
  <c r="W23" i="130"/>
  <c r="V23" i="130"/>
  <c r="U23" i="130"/>
  <c r="T23" i="130"/>
  <c r="S23" i="130"/>
  <c r="R23" i="130"/>
  <c r="Q23" i="130"/>
  <c r="P23" i="130"/>
  <c r="O23" i="130"/>
  <c r="AA22" i="130"/>
  <c r="W22" i="130"/>
  <c r="V22" i="130"/>
  <c r="U22" i="130"/>
  <c r="T22" i="130"/>
  <c r="S22" i="130"/>
  <c r="R22" i="130"/>
  <c r="Q22" i="130"/>
  <c r="P22" i="130"/>
  <c r="O22" i="130"/>
  <c r="AE21" i="130"/>
  <c r="AA21" i="130"/>
  <c r="Z21" i="130"/>
  <c r="W21" i="130"/>
  <c r="V21" i="130"/>
  <c r="U21" i="130"/>
  <c r="T21" i="130"/>
  <c r="S21" i="130"/>
  <c r="R21" i="130"/>
  <c r="Q21" i="130"/>
  <c r="P21" i="130"/>
  <c r="O21" i="130"/>
  <c r="AE20" i="130"/>
  <c r="AA20" i="130"/>
  <c r="W20" i="130"/>
  <c r="V20" i="130"/>
  <c r="U20" i="130"/>
  <c r="T20" i="130"/>
  <c r="S20" i="130"/>
  <c r="R20" i="130"/>
  <c r="Q20" i="130"/>
  <c r="P20" i="130"/>
  <c r="O20" i="130"/>
  <c r="AF19" i="130"/>
  <c r="AB19" i="130"/>
  <c r="AA19" i="130"/>
  <c r="W19" i="130"/>
  <c r="V19" i="130"/>
  <c r="U19" i="130"/>
  <c r="T19" i="130"/>
  <c r="S19" i="130"/>
  <c r="R19" i="130"/>
  <c r="Q19" i="130"/>
  <c r="P19" i="130"/>
  <c r="O19" i="130"/>
  <c r="AE18" i="130"/>
  <c r="AB18" i="130"/>
  <c r="AA18" i="130"/>
  <c r="W18" i="130"/>
  <c r="V18" i="130"/>
  <c r="U18" i="130"/>
  <c r="T18" i="130"/>
  <c r="S18" i="130"/>
  <c r="R18" i="130"/>
  <c r="Q18" i="130"/>
  <c r="P18" i="130"/>
  <c r="O18" i="130"/>
  <c r="AE17" i="130"/>
  <c r="AB17" i="130"/>
  <c r="AA17" i="130"/>
  <c r="W17" i="130"/>
  <c r="V17" i="130"/>
  <c r="U17" i="130"/>
  <c r="T17" i="130"/>
  <c r="S17" i="130"/>
  <c r="R17" i="130"/>
  <c r="Q17" i="130"/>
  <c r="P17" i="130"/>
  <c r="O17" i="130"/>
  <c r="AA16" i="130"/>
  <c r="W16" i="130"/>
  <c r="V16" i="130"/>
  <c r="U16" i="130"/>
  <c r="T16" i="130"/>
  <c r="S16" i="130"/>
  <c r="R16" i="130"/>
  <c r="Q16" i="130"/>
  <c r="P16" i="130"/>
  <c r="O16" i="130"/>
  <c r="AE15" i="130"/>
  <c r="AB15" i="130"/>
  <c r="AA15" i="130"/>
  <c r="W15" i="130"/>
  <c r="V15" i="130"/>
  <c r="U15" i="130"/>
  <c r="T15" i="130"/>
  <c r="S15" i="130"/>
  <c r="R15" i="130"/>
  <c r="Q15" i="130"/>
  <c r="P15" i="130"/>
  <c r="O15" i="130"/>
  <c r="AE14" i="130"/>
  <c r="AB14" i="130"/>
  <c r="AA14" i="130"/>
  <c r="W14" i="130"/>
  <c r="V14" i="130"/>
  <c r="U14" i="130"/>
  <c r="T14" i="130"/>
  <c r="S14" i="130"/>
  <c r="R14" i="130"/>
  <c r="Q14" i="130"/>
  <c r="P14" i="130"/>
  <c r="O14" i="130"/>
  <c r="AE13" i="130"/>
  <c r="AB13" i="130"/>
  <c r="AA13" i="130"/>
  <c r="W13" i="130"/>
  <c r="V13" i="130"/>
  <c r="U13" i="130"/>
  <c r="T13" i="130"/>
  <c r="S13" i="130"/>
  <c r="R13" i="130"/>
  <c r="Q13" i="130"/>
  <c r="P13" i="130"/>
  <c r="O13" i="130"/>
  <c r="AF12" i="130"/>
  <c r="AA12" i="130"/>
  <c r="Y12" i="130"/>
  <c r="W12" i="130"/>
  <c r="V12" i="130"/>
  <c r="U12" i="130"/>
  <c r="T12" i="130"/>
  <c r="S12" i="130"/>
  <c r="R12" i="130"/>
  <c r="Q12" i="130"/>
  <c r="P12" i="130"/>
  <c r="O12" i="130"/>
  <c r="AE11" i="130"/>
  <c r="AD11" i="130"/>
  <c r="Z11" i="130"/>
  <c r="W11" i="130"/>
  <c r="V11" i="130"/>
  <c r="U11" i="130"/>
  <c r="T11" i="130"/>
  <c r="S11" i="130"/>
  <c r="R11" i="130"/>
  <c r="Q11" i="130"/>
  <c r="P11" i="130"/>
  <c r="O11" i="130"/>
  <c r="N20" i="129"/>
  <c r="AF15" i="129" s="1"/>
  <c r="M20" i="129"/>
  <c r="AE14" i="129" s="1"/>
  <c r="L20" i="129"/>
  <c r="AD18" i="129" s="1"/>
  <c r="K20" i="129"/>
  <c r="AC18" i="129" s="1"/>
  <c r="J20" i="129"/>
  <c r="AB12" i="129" s="1"/>
  <c r="I20" i="129"/>
  <c r="AA17" i="129" s="1"/>
  <c r="H20" i="129"/>
  <c r="Z15" i="129"/>
  <c r="G20" i="129"/>
  <c r="Y15" i="129" s="1"/>
  <c r="F20" i="129"/>
  <c r="X15" i="129" s="1"/>
  <c r="E20" i="129"/>
  <c r="D20" i="129"/>
  <c r="C20" i="129"/>
  <c r="W18" i="129"/>
  <c r="V18" i="129"/>
  <c r="U18" i="129"/>
  <c r="T18" i="129"/>
  <c r="S18" i="129"/>
  <c r="R18" i="129"/>
  <c r="Q18" i="129"/>
  <c r="P18" i="129"/>
  <c r="O18" i="129"/>
  <c r="AF17" i="129"/>
  <c r="AE17" i="129"/>
  <c r="AD17" i="129"/>
  <c r="Y17" i="129"/>
  <c r="W17" i="129"/>
  <c r="V17" i="129"/>
  <c r="U17" i="129"/>
  <c r="T17" i="129"/>
  <c r="S17" i="129"/>
  <c r="R17" i="129"/>
  <c r="Q17" i="129"/>
  <c r="P17" i="129"/>
  <c r="O17" i="129"/>
  <c r="AE16" i="129"/>
  <c r="AA16" i="129"/>
  <c r="Y16" i="129"/>
  <c r="W16" i="129"/>
  <c r="V16" i="129"/>
  <c r="U16" i="129"/>
  <c r="T16" i="129"/>
  <c r="S16" i="129"/>
  <c r="R16" i="129"/>
  <c r="Q16" i="129"/>
  <c r="P16" i="129"/>
  <c r="O16" i="129"/>
  <c r="AE15" i="129"/>
  <c r="AA15" i="129"/>
  <c r="W15" i="129"/>
  <c r="V15" i="129"/>
  <c r="U15" i="129"/>
  <c r="T15" i="129"/>
  <c r="S15" i="129"/>
  <c r="R15" i="129"/>
  <c r="Q15" i="129"/>
  <c r="P15" i="129"/>
  <c r="O15" i="129"/>
  <c r="Y14" i="129"/>
  <c r="W14" i="129"/>
  <c r="V14" i="129"/>
  <c r="U14" i="129"/>
  <c r="T14" i="129"/>
  <c r="S14" i="129"/>
  <c r="R14" i="129"/>
  <c r="Q14" i="129"/>
  <c r="P14" i="129"/>
  <c r="O14" i="129"/>
  <c r="AE13" i="129"/>
  <c r="AB13" i="129"/>
  <c r="AA13" i="129"/>
  <c r="Y13" i="129"/>
  <c r="W13" i="129"/>
  <c r="V13" i="129"/>
  <c r="U13" i="129"/>
  <c r="T13" i="129"/>
  <c r="S13" i="129"/>
  <c r="R13" i="129"/>
  <c r="Q13" i="129"/>
  <c r="P13" i="129"/>
  <c r="O13" i="129"/>
  <c r="AA12" i="129"/>
  <c r="Y12" i="129"/>
  <c r="W12" i="129"/>
  <c r="V12" i="129"/>
  <c r="U12" i="129"/>
  <c r="T12" i="129"/>
  <c r="S12" i="129"/>
  <c r="R12" i="129"/>
  <c r="Q12" i="129"/>
  <c r="P12" i="129"/>
  <c r="O12" i="129"/>
  <c r="AE11" i="129"/>
  <c r="W11" i="129"/>
  <c r="V11" i="129"/>
  <c r="U11" i="129"/>
  <c r="T11" i="129"/>
  <c r="S11" i="129"/>
  <c r="R11" i="129"/>
  <c r="Q11" i="129"/>
  <c r="P11" i="129"/>
  <c r="O11" i="129"/>
  <c r="G32" i="127"/>
  <c r="M29" i="127" s="1"/>
  <c r="F32" i="127"/>
  <c r="L26" i="127" s="1"/>
  <c r="E32" i="127"/>
  <c r="K29" i="127" s="1"/>
  <c r="C32" i="127"/>
  <c r="J30" i="127"/>
  <c r="I30" i="127"/>
  <c r="H30" i="127"/>
  <c r="J29" i="127"/>
  <c r="I29" i="127"/>
  <c r="H29" i="127"/>
  <c r="J28" i="127"/>
  <c r="I28" i="127"/>
  <c r="H28" i="127"/>
  <c r="J27" i="127"/>
  <c r="I27" i="127"/>
  <c r="H27" i="127"/>
  <c r="K26" i="127"/>
  <c r="J26" i="127"/>
  <c r="I26" i="127"/>
  <c r="H26" i="127"/>
  <c r="J25" i="127"/>
  <c r="I25" i="127"/>
  <c r="H25" i="127"/>
  <c r="J24" i="127"/>
  <c r="I24" i="127"/>
  <c r="H24" i="127"/>
  <c r="J23" i="127"/>
  <c r="I23" i="127"/>
  <c r="H23" i="127"/>
  <c r="J22" i="127"/>
  <c r="I22" i="127"/>
  <c r="H22" i="127"/>
  <c r="J21" i="127"/>
  <c r="I21" i="127"/>
  <c r="H21" i="127"/>
  <c r="J20" i="127"/>
  <c r="I20" i="127"/>
  <c r="H20" i="127"/>
  <c r="J19" i="127"/>
  <c r="I19" i="127"/>
  <c r="H19" i="127"/>
  <c r="J18" i="127"/>
  <c r="I18" i="127"/>
  <c r="H18" i="127"/>
  <c r="J17" i="127"/>
  <c r="I17" i="127"/>
  <c r="H17" i="127"/>
  <c r="J16" i="127"/>
  <c r="I16" i="127"/>
  <c r="H16" i="127"/>
  <c r="J15" i="127"/>
  <c r="I15" i="127"/>
  <c r="H15" i="127"/>
  <c r="J14" i="127"/>
  <c r="I14" i="127"/>
  <c r="H14" i="127"/>
  <c r="J13" i="127"/>
  <c r="I13" i="127"/>
  <c r="H13" i="127"/>
  <c r="J12" i="127"/>
  <c r="I12" i="127"/>
  <c r="H12" i="127"/>
  <c r="J11" i="127"/>
  <c r="I11" i="127"/>
  <c r="H11" i="127"/>
  <c r="F26" i="126"/>
  <c r="L15" i="126" s="1"/>
  <c r="E26" i="126"/>
  <c r="K17" i="126" s="1"/>
  <c r="D26" i="126"/>
  <c r="C26" i="126"/>
  <c r="C22" i="126"/>
  <c r="I22" i="126" s="1"/>
  <c r="C12" i="126"/>
  <c r="J20" i="126"/>
  <c r="I24" i="126"/>
  <c r="H24" i="126"/>
  <c r="G24" i="126"/>
  <c r="I23" i="126"/>
  <c r="H23" i="126"/>
  <c r="G23" i="126"/>
  <c r="I21" i="126"/>
  <c r="H21" i="126"/>
  <c r="G21" i="126"/>
  <c r="I20" i="126"/>
  <c r="H20" i="126"/>
  <c r="G20" i="126"/>
  <c r="I19" i="126"/>
  <c r="H19" i="126"/>
  <c r="G19" i="126"/>
  <c r="I18" i="126"/>
  <c r="H18" i="126"/>
  <c r="G18" i="126"/>
  <c r="I17" i="126"/>
  <c r="H17" i="126"/>
  <c r="G17" i="126"/>
  <c r="I16" i="126"/>
  <c r="H16" i="126"/>
  <c r="G16" i="126"/>
  <c r="I15" i="126"/>
  <c r="H15" i="126"/>
  <c r="G15" i="126"/>
  <c r="I14" i="126"/>
  <c r="H14" i="126"/>
  <c r="G14" i="126"/>
  <c r="I13" i="126"/>
  <c r="H13" i="126"/>
  <c r="G13" i="126"/>
  <c r="I11" i="126"/>
  <c r="H11" i="126"/>
  <c r="G11" i="126"/>
  <c r="F33" i="125"/>
  <c r="L31" i="125" s="1"/>
  <c r="E33" i="125"/>
  <c r="D33" i="125"/>
  <c r="J29" i="125" s="1"/>
  <c r="C33" i="125"/>
  <c r="K31" i="125"/>
  <c r="J31" i="125"/>
  <c r="I31" i="125"/>
  <c r="H31" i="125"/>
  <c r="G31" i="125"/>
  <c r="K30" i="125"/>
  <c r="I30" i="125"/>
  <c r="H30" i="125"/>
  <c r="G30" i="125"/>
  <c r="K29" i="125"/>
  <c r="I29" i="125"/>
  <c r="H29" i="125"/>
  <c r="G29" i="125"/>
  <c r="K28" i="125"/>
  <c r="I28" i="125"/>
  <c r="H28" i="125"/>
  <c r="G28" i="125"/>
  <c r="L27" i="125"/>
  <c r="K27" i="125"/>
  <c r="J27" i="125"/>
  <c r="I27" i="125"/>
  <c r="H27" i="125"/>
  <c r="G27" i="125"/>
  <c r="K26" i="125"/>
  <c r="I26" i="125"/>
  <c r="H26" i="125"/>
  <c r="G26" i="125"/>
  <c r="L25" i="125"/>
  <c r="K25" i="125"/>
  <c r="J25" i="125"/>
  <c r="I25" i="125"/>
  <c r="H25" i="125"/>
  <c r="G25" i="125"/>
  <c r="K24" i="125"/>
  <c r="I24" i="125"/>
  <c r="H24" i="125"/>
  <c r="G24" i="125"/>
  <c r="K23" i="125"/>
  <c r="J23" i="125"/>
  <c r="I23" i="125"/>
  <c r="H23" i="125"/>
  <c r="G23" i="125"/>
  <c r="K22" i="125"/>
  <c r="I22" i="125"/>
  <c r="H22" i="125"/>
  <c r="G22" i="125"/>
  <c r="K21" i="125"/>
  <c r="J21" i="125"/>
  <c r="I21" i="125"/>
  <c r="H21" i="125"/>
  <c r="G21" i="125"/>
  <c r="K20" i="125"/>
  <c r="I20" i="125"/>
  <c r="H20" i="125"/>
  <c r="G20" i="125"/>
  <c r="K19" i="125"/>
  <c r="I19" i="125"/>
  <c r="H19" i="125"/>
  <c r="G19" i="125"/>
  <c r="K18" i="125"/>
  <c r="I18" i="125"/>
  <c r="H18" i="125"/>
  <c r="G18" i="125"/>
  <c r="K17" i="125"/>
  <c r="I17" i="125"/>
  <c r="H17" i="125"/>
  <c r="G17" i="125"/>
  <c r="K16" i="125"/>
  <c r="I16" i="125"/>
  <c r="H16" i="125"/>
  <c r="G16" i="125"/>
  <c r="K15" i="125"/>
  <c r="K33" i="125" s="1"/>
  <c r="I15" i="125"/>
  <c r="H15" i="125"/>
  <c r="G15" i="125"/>
  <c r="L14" i="125"/>
  <c r="K14" i="125"/>
  <c r="I14" i="125"/>
  <c r="H14" i="125"/>
  <c r="G14" i="125"/>
  <c r="K13" i="125"/>
  <c r="J13" i="125"/>
  <c r="I13" i="125"/>
  <c r="H13" i="125"/>
  <c r="G13" i="125"/>
  <c r="L12" i="125"/>
  <c r="K12" i="125"/>
  <c r="I12" i="125"/>
  <c r="H12" i="125"/>
  <c r="G12" i="125"/>
  <c r="L11" i="125"/>
  <c r="K11" i="125"/>
  <c r="J11" i="125"/>
  <c r="I11" i="125"/>
  <c r="H11" i="125"/>
  <c r="G11" i="125"/>
  <c r="F29" i="124"/>
  <c r="L24" i="124" s="1"/>
  <c r="E29" i="124"/>
  <c r="K27" i="124" s="1"/>
  <c r="D29" i="124"/>
  <c r="C29" i="124"/>
  <c r="L27" i="124"/>
  <c r="I27" i="124"/>
  <c r="H27" i="124"/>
  <c r="G27" i="124"/>
  <c r="L26" i="124"/>
  <c r="K26" i="124"/>
  <c r="J26" i="124"/>
  <c r="I26" i="124"/>
  <c r="H26" i="124"/>
  <c r="G26" i="124"/>
  <c r="L25" i="124"/>
  <c r="I25" i="124"/>
  <c r="H25" i="124"/>
  <c r="G25" i="124"/>
  <c r="I24" i="124"/>
  <c r="H24" i="124"/>
  <c r="G24" i="124"/>
  <c r="L23" i="124"/>
  <c r="K23" i="124"/>
  <c r="I23" i="124"/>
  <c r="H23" i="124"/>
  <c r="G23" i="124"/>
  <c r="L22" i="124"/>
  <c r="K22" i="124"/>
  <c r="J22" i="124"/>
  <c r="I22" i="124"/>
  <c r="H22" i="124"/>
  <c r="G22" i="124"/>
  <c r="J21" i="124"/>
  <c r="I21" i="124"/>
  <c r="H21" i="124"/>
  <c r="G21" i="124"/>
  <c r="L20" i="124"/>
  <c r="I20" i="124"/>
  <c r="H20" i="124"/>
  <c r="G20" i="124"/>
  <c r="L19" i="124"/>
  <c r="I19" i="124"/>
  <c r="H19" i="124"/>
  <c r="G19" i="124"/>
  <c r="J18" i="124"/>
  <c r="I18" i="124"/>
  <c r="H18" i="124"/>
  <c r="G18" i="124"/>
  <c r="L17" i="124"/>
  <c r="J17" i="124"/>
  <c r="I17" i="124"/>
  <c r="H17" i="124"/>
  <c r="G17" i="124"/>
  <c r="I16" i="124"/>
  <c r="H16" i="124"/>
  <c r="G16" i="124"/>
  <c r="L15" i="124"/>
  <c r="K15" i="124"/>
  <c r="I15" i="124"/>
  <c r="H15" i="124"/>
  <c r="G15" i="124"/>
  <c r="L14" i="124"/>
  <c r="J14" i="124"/>
  <c r="I14" i="124"/>
  <c r="H14" i="124"/>
  <c r="G14" i="124"/>
  <c r="J13" i="124"/>
  <c r="I13" i="124"/>
  <c r="H13" i="124"/>
  <c r="G13" i="124"/>
  <c r="L12" i="124"/>
  <c r="K12" i="124"/>
  <c r="I12" i="124"/>
  <c r="H12" i="124"/>
  <c r="G12" i="124"/>
  <c r="L11" i="124"/>
  <c r="I11" i="124"/>
  <c r="H11" i="124"/>
  <c r="G11" i="124"/>
  <c r="F33" i="123"/>
  <c r="L30" i="123" s="1"/>
  <c r="E33" i="123"/>
  <c r="K30" i="123" s="1"/>
  <c r="D33" i="123"/>
  <c r="J30" i="123" s="1"/>
  <c r="C33" i="123"/>
  <c r="K31" i="123"/>
  <c r="I31" i="123"/>
  <c r="H31" i="123"/>
  <c r="G31" i="123"/>
  <c r="I30" i="123"/>
  <c r="H30" i="123"/>
  <c r="G30" i="123"/>
  <c r="K29" i="123"/>
  <c r="J29" i="123"/>
  <c r="I29" i="123"/>
  <c r="H29" i="123"/>
  <c r="G29" i="123"/>
  <c r="K28" i="123"/>
  <c r="J28" i="123"/>
  <c r="I28" i="123"/>
  <c r="H28" i="123"/>
  <c r="G28" i="123"/>
  <c r="K27" i="123"/>
  <c r="J27" i="123"/>
  <c r="I27" i="123"/>
  <c r="H27" i="123"/>
  <c r="G27" i="123"/>
  <c r="K26" i="123"/>
  <c r="J26" i="123"/>
  <c r="I26" i="123"/>
  <c r="H26" i="123"/>
  <c r="G26" i="123"/>
  <c r="K25" i="123"/>
  <c r="J25" i="123"/>
  <c r="I25" i="123"/>
  <c r="H25" i="123"/>
  <c r="G25" i="123"/>
  <c r="K24" i="123"/>
  <c r="J24" i="123"/>
  <c r="I24" i="123"/>
  <c r="H24" i="123"/>
  <c r="G24" i="123"/>
  <c r="L23" i="123"/>
  <c r="K23" i="123"/>
  <c r="J23" i="123"/>
  <c r="I23" i="123"/>
  <c r="H23" i="123"/>
  <c r="G23" i="123"/>
  <c r="K22" i="123"/>
  <c r="J22" i="123"/>
  <c r="I22" i="123"/>
  <c r="H22" i="123"/>
  <c r="G22" i="123"/>
  <c r="K21" i="123"/>
  <c r="J21" i="123"/>
  <c r="I21" i="123"/>
  <c r="H21" i="123"/>
  <c r="G21" i="123"/>
  <c r="K20" i="123"/>
  <c r="J20" i="123"/>
  <c r="I20" i="123"/>
  <c r="H20" i="123"/>
  <c r="G20" i="123"/>
  <c r="L19" i="123"/>
  <c r="K19" i="123"/>
  <c r="J19" i="123"/>
  <c r="I19" i="123"/>
  <c r="H19" i="123"/>
  <c r="G19" i="123"/>
  <c r="K18" i="123"/>
  <c r="J18" i="123"/>
  <c r="I18" i="123"/>
  <c r="H18" i="123"/>
  <c r="G18" i="123"/>
  <c r="K17" i="123"/>
  <c r="J17" i="123"/>
  <c r="I17" i="123"/>
  <c r="H17" i="123"/>
  <c r="G17" i="123"/>
  <c r="K16" i="123"/>
  <c r="J16" i="123"/>
  <c r="I16" i="123"/>
  <c r="H16" i="123"/>
  <c r="G16" i="123"/>
  <c r="L15" i="123"/>
  <c r="K15" i="123"/>
  <c r="J15" i="123"/>
  <c r="I15" i="123"/>
  <c r="H15" i="123"/>
  <c r="G15" i="123"/>
  <c r="K14" i="123"/>
  <c r="K33" i="123" s="1"/>
  <c r="J14" i="123"/>
  <c r="I14" i="123"/>
  <c r="H14" i="123"/>
  <c r="G14" i="123"/>
  <c r="K13" i="123"/>
  <c r="J13" i="123"/>
  <c r="I13" i="123"/>
  <c r="H13" i="123"/>
  <c r="G13" i="123"/>
  <c r="K12" i="123"/>
  <c r="J12" i="123"/>
  <c r="I12" i="123"/>
  <c r="H12" i="123"/>
  <c r="G12" i="123"/>
  <c r="L11" i="123"/>
  <c r="K11" i="123"/>
  <c r="J11" i="123"/>
  <c r="I11" i="123"/>
  <c r="H11" i="123"/>
  <c r="G11" i="123"/>
  <c r="F33" i="122"/>
  <c r="E33" i="122"/>
  <c r="K31" i="122" s="1"/>
  <c r="D33" i="122"/>
  <c r="J28" i="122" s="1"/>
  <c r="C33" i="122"/>
  <c r="L31" i="122"/>
  <c r="J31" i="122"/>
  <c r="I31" i="122"/>
  <c r="H31" i="122"/>
  <c r="G31" i="122"/>
  <c r="L30" i="122"/>
  <c r="J30" i="122"/>
  <c r="I30" i="122"/>
  <c r="H30" i="122"/>
  <c r="G30" i="122"/>
  <c r="L29" i="122"/>
  <c r="K29" i="122"/>
  <c r="J29" i="122"/>
  <c r="I29" i="122"/>
  <c r="H29" i="122"/>
  <c r="G29" i="122"/>
  <c r="L28" i="122"/>
  <c r="I28" i="122"/>
  <c r="H28" i="122"/>
  <c r="G28" i="122"/>
  <c r="L27" i="122"/>
  <c r="J27" i="122"/>
  <c r="I27" i="122"/>
  <c r="H27" i="122"/>
  <c r="G27" i="122"/>
  <c r="L26" i="122"/>
  <c r="J26" i="122"/>
  <c r="I26" i="122"/>
  <c r="H26" i="122"/>
  <c r="G26" i="122"/>
  <c r="L25" i="122"/>
  <c r="K25" i="122"/>
  <c r="J25" i="122"/>
  <c r="I25" i="122"/>
  <c r="H25" i="122"/>
  <c r="G25" i="122"/>
  <c r="L24" i="122"/>
  <c r="K24" i="122"/>
  <c r="I24" i="122"/>
  <c r="H24" i="122"/>
  <c r="G24" i="122"/>
  <c r="L23" i="122"/>
  <c r="J23" i="122"/>
  <c r="I23" i="122"/>
  <c r="H23" i="122"/>
  <c r="G23" i="122"/>
  <c r="L22" i="122"/>
  <c r="J22" i="122"/>
  <c r="I22" i="122"/>
  <c r="H22" i="122"/>
  <c r="G22" i="122"/>
  <c r="L21" i="122"/>
  <c r="K21" i="122"/>
  <c r="J21" i="122"/>
  <c r="I21" i="122"/>
  <c r="H21" i="122"/>
  <c r="G21" i="122"/>
  <c r="L20" i="122"/>
  <c r="K20" i="122"/>
  <c r="J20" i="122"/>
  <c r="I20" i="122"/>
  <c r="H20" i="122"/>
  <c r="G20" i="122"/>
  <c r="L19" i="122"/>
  <c r="J19" i="122"/>
  <c r="I19" i="122"/>
  <c r="H19" i="122"/>
  <c r="G19" i="122"/>
  <c r="L18" i="122"/>
  <c r="J18" i="122"/>
  <c r="I18" i="122"/>
  <c r="H18" i="122"/>
  <c r="G18" i="122"/>
  <c r="L17" i="122"/>
  <c r="K17" i="122"/>
  <c r="J17" i="122"/>
  <c r="I17" i="122"/>
  <c r="H17" i="122"/>
  <c r="G17" i="122"/>
  <c r="L16" i="122"/>
  <c r="K16" i="122"/>
  <c r="J16" i="122"/>
  <c r="I16" i="122"/>
  <c r="H16" i="122"/>
  <c r="G16" i="122"/>
  <c r="L15" i="122"/>
  <c r="J15" i="122"/>
  <c r="I15" i="122"/>
  <c r="H15" i="122"/>
  <c r="G15" i="122"/>
  <c r="L14" i="122"/>
  <c r="J14" i="122"/>
  <c r="I14" i="122"/>
  <c r="H14" i="122"/>
  <c r="G14" i="122"/>
  <c r="L13" i="122"/>
  <c r="K13" i="122"/>
  <c r="J13" i="122"/>
  <c r="I13" i="122"/>
  <c r="H13" i="122"/>
  <c r="G13" i="122"/>
  <c r="L12" i="122"/>
  <c r="K12" i="122"/>
  <c r="J12" i="122"/>
  <c r="I12" i="122"/>
  <c r="H12" i="122"/>
  <c r="G12" i="122"/>
  <c r="L11" i="122"/>
  <c r="J11" i="122"/>
  <c r="I11" i="122"/>
  <c r="H11" i="122"/>
  <c r="G11" i="122"/>
  <c r="F33" i="121"/>
  <c r="L30" i="121" s="1"/>
  <c r="E33" i="121"/>
  <c r="K30" i="121" s="1"/>
  <c r="D33" i="121"/>
  <c r="C33" i="121"/>
  <c r="J31" i="121"/>
  <c r="I31" i="121"/>
  <c r="H31" i="121"/>
  <c r="G31" i="121"/>
  <c r="J30" i="121"/>
  <c r="I30" i="121"/>
  <c r="H30" i="121"/>
  <c r="G30" i="121"/>
  <c r="L29" i="121"/>
  <c r="J29" i="121"/>
  <c r="I29" i="121"/>
  <c r="H29" i="121"/>
  <c r="G29" i="121"/>
  <c r="J28" i="121"/>
  <c r="I28" i="121"/>
  <c r="H28" i="121"/>
  <c r="G28" i="121"/>
  <c r="K27" i="121"/>
  <c r="J27" i="121"/>
  <c r="I27" i="121"/>
  <c r="H27" i="121"/>
  <c r="G27" i="121"/>
  <c r="J26" i="121"/>
  <c r="I26" i="121"/>
  <c r="H26" i="121"/>
  <c r="G26" i="121"/>
  <c r="J25" i="121"/>
  <c r="I25" i="121"/>
  <c r="H25" i="121"/>
  <c r="G25" i="121"/>
  <c r="L24" i="121"/>
  <c r="J24" i="121"/>
  <c r="I24" i="121"/>
  <c r="H24" i="121"/>
  <c r="G24" i="121"/>
  <c r="L23" i="121"/>
  <c r="J23" i="121"/>
  <c r="I23" i="121"/>
  <c r="H23" i="121"/>
  <c r="G23" i="121"/>
  <c r="L22" i="121"/>
  <c r="J22" i="121"/>
  <c r="I22" i="121"/>
  <c r="H22" i="121"/>
  <c r="G22" i="121"/>
  <c r="J21" i="121"/>
  <c r="I21" i="121"/>
  <c r="H21" i="121"/>
  <c r="G21" i="121"/>
  <c r="L20" i="121"/>
  <c r="J20" i="121"/>
  <c r="I20" i="121"/>
  <c r="H20" i="121"/>
  <c r="G20" i="121"/>
  <c r="L19" i="121"/>
  <c r="J19" i="121"/>
  <c r="I19" i="121"/>
  <c r="H19" i="121"/>
  <c r="G19" i="121"/>
  <c r="L18" i="121"/>
  <c r="J18" i="121"/>
  <c r="I18" i="121"/>
  <c r="H18" i="121"/>
  <c r="G18" i="121"/>
  <c r="L17" i="121"/>
  <c r="J17" i="121"/>
  <c r="I17" i="121"/>
  <c r="H17" i="121"/>
  <c r="G17" i="121"/>
  <c r="L16" i="121"/>
  <c r="J16" i="121"/>
  <c r="I16" i="121"/>
  <c r="H16" i="121"/>
  <c r="G16" i="121"/>
  <c r="L15" i="121"/>
  <c r="J15" i="121"/>
  <c r="I15" i="121"/>
  <c r="H15" i="121"/>
  <c r="G15" i="121"/>
  <c r="L14" i="121"/>
  <c r="J14" i="121"/>
  <c r="I14" i="121"/>
  <c r="H14" i="121"/>
  <c r="G14" i="121"/>
  <c r="L13" i="121"/>
  <c r="J13" i="121"/>
  <c r="I13" i="121"/>
  <c r="H13" i="121"/>
  <c r="G13" i="121"/>
  <c r="L12" i="121"/>
  <c r="J12" i="121"/>
  <c r="I12" i="121"/>
  <c r="H12" i="121"/>
  <c r="G12" i="121"/>
  <c r="L11" i="121"/>
  <c r="J11" i="121"/>
  <c r="J33" i="121" s="1"/>
  <c r="I11" i="121"/>
  <c r="H11" i="121"/>
  <c r="G11" i="121"/>
  <c r="F33" i="120"/>
  <c r="L30" i="120" s="1"/>
  <c r="E33" i="120"/>
  <c r="K30" i="120" s="1"/>
  <c r="D33" i="120"/>
  <c r="C33" i="120"/>
  <c r="K31" i="120"/>
  <c r="J31" i="120"/>
  <c r="I31" i="120"/>
  <c r="H31" i="120"/>
  <c r="G31" i="120"/>
  <c r="J30" i="120"/>
  <c r="I30" i="120"/>
  <c r="H30" i="120"/>
  <c r="G30" i="120"/>
  <c r="L29" i="120"/>
  <c r="K29" i="120"/>
  <c r="J29" i="120"/>
  <c r="I29" i="120"/>
  <c r="H29" i="120"/>
  <c r="G29" i="120"/>
  <c r="L28" i="120"/>
  <c r="K28" i="120"/>
  <c r="J28" i="120"/>
  <c r="I28" i="120"/>
  <c r="H28" i="120"/>
  <c r="G28" i="120"/>
  <c r="L27" i="120"/>
  <c r="K27" i="120"/>
  <c r="J27" i="120"/>
  <c r="I27" i="120"/>
  <c r="H27" i="120"/>
  <c r="G27" i="120"/>
  <c r="L26" i="120"/>
  <c r="K26" i="120"/>
  <c r="J26" i="120"/>
  <c r="I26" i="120"/>
  <c r="H26" i="120"/>
  <c r="G26" i="120"/>
  <c r="L25" i="120"/>
  <c r="K25" i="120"/>
  <c r="J25" i="120"/>
  <c r="I25" i="120"/>
  <c r="H25" i="120"/>
  <c r="G25" i="120"/>
  <c r="L24" i="120"/>
  <c r="K24" i="120"/>
  <c r="J24" i="120"/>
  <c r="I24" i="120"/>
  <c r="H24" i="120"/>
  <c r="G24" i="120"/>
  <c r="L23" i="120"/>
  <c r="K23" i="120"/>
  <c r="J23" i="120"/>
  <c r="I23" i="120"/>
  <c r="H23" i="120"/>
  <c r="G23" i="120"/>
  <c r="L22" i="120"/>
  <c r="K22" i="120"/>
  <c r="J22" i="120"/>
  <c r="I22" i="120"/>
  <c r="H22" i="120"/>
  <c r="G22" i="120"/>
  <c r="L21" i="120"/>
  <c r="K21" i="120"/>
  <c r="J21" i="120"/>
  <c r="I21" i="120"/>
  <c r="H21" i="120"/>
  <c r="G21" i="120"/>
  <c r="L20" i="120"/>
  <c r="K20" i="120"/>
  <c r="J20" i="120"/>
  <c r="I20" i="120"/>
  <c r="H20" i="120"/>
  <c r="G20" i="120"/>
  <c r="L19" i="120"/>
  <c r="K19" i="120"/>
  <c r="J19" i="120"/>
  <c r="I19" i="120"/>
  <c r="H19" i="120"/>
  <c r="G19" i="120"/>
  <c r="L18" i="120"/>
  <c r="K18" i="120"/>
  <c r="J18" i="120"/>
  <c r="I18" i="120"/>
  <c r="H18" i="120"/>
  <c r="G18" i="120"/>
  <c r="L17" i="120"/>
  <c r="K17" i="120"/>
  <c r="J17" i="120"/>
  <c r="I17" i="120"/>
  <c r="H17" i="120"/>
  <c r="G17" i="120"/>
  <c r="L16" i="120"/>
  <c r="K16" i="120"/>
  <c r="J16" i="120"/>
  <c r="I16" i="120"/>
  <c r="H16" i="120"/>
  <c r="G16" i="120"/>
  <c r="L15" i="120"/>
  <c r="K15" i="120"/>
  <c r="J15" i="120"/>
  <c r="I15" i="120"/>
  <c r="H15" i="120"/>
  <c r="G15" i="120"/>
  <c r="L14" i="120"/>
  <c r="K14" i="120"/>
  <c r="J14" i="120"/>
  <c r="I14" i="120"/>
  <c r="H14" i="120"/>
  <c r="G14" i="120"/>
  <c r="L13" i="120"/>
  <c r="K13" i="120"/>
  <c r="J13" i="120"/>
  <c r="I13" i="120"/>
  <c r="H13" i="120"/>
  <c r="G13" i="120"/>
  <c r="L12" i="120"/>
  <c r="K12" i="120"/>
  <c r="J12" i="120"/>
  <c r="I12" i="120"/>
  <c r="H12" i="120"/>
  <c r="G12" i="120"/>
  <c r="L11" i="120"/>
  <c r="K11" i="120"/>
  <c r="K33" i="120" s="1"/>
  <c r="J11" i="120"/>
  <c r="J33" i="120" s="1"/>
  <c r="I11" i="120"/>
  <c r="H11" i="120"/>
  <c r="G11" i="120"/>
  <c r="L24" i="156" l="1"/>
  <c r="J21" i="138"/>
  <c r="J14" i="138"/>
  <c r="J16" i="138"/>
  <c r="J13" i="138"/>
  <c r="J15" i="138"/>
  <c r="J17" i="138"/>
  <c r="L23" i="126"/>
  <c r="L13" i="126"/>
  <c r="Z13" i="130"/>
  <c r="Z24" i="130"/>
  <c r="Z20" i="130"/>
  <c r="Z22" i="130"/>
  <c r="Z12" i="130"/>
  <c r="Y18" i="130"/>
  <c r="Y17" i="130"/>
  <c r="Y23" i="130"/>
  <c r="X24" i="130"/>
  <c r="X13" i="130"/>
  <c r="X23" i="130"/>
  <c r="X17" i="130"/>
  <c r="X15" i="130"/>
  <c r="X19" i="130"/>
  <c r="X21" i="130"/>
  <c r="X11" i="130"/>
  <c r="S26" i="142"/>
  <c r="R26" i="142"/>
  <c r="U26" i="142"/>
  <c r="T26" i="142"/>
  <c r="V26" i="142"/>
  <c r="Q26" i="142"/>
  <c r="J23" i="138"/>
  <c r="L17" i="138"/>
  <c r="L21" i="138"/>
  <c r="K15" i="138"/>
  <c r="K21" i="138"/>
  <c r="K18" i="138"/>
  <c r="K23" i="138"/>
  <c r="K20" i="138"/>
  <c r="K11" i="138"/>
  <c r="K14" i="138"/>
  <c r="J19" i="138"/>
  <c r="L11" i="138"/>
  <c r="L15" i="138"/>
  <c r="L19" i="138"/>
  <c r="J22" i="138"/>
  <c r="L23" i="138"/>
  <c r="K22" i="138"/>
  <c r="L14" i="138"/>
  <c r="L18" i="138"/>
  <c r="L22" i="138"/>
  <c r="K11" i="137"/>
  <c r="K15" i="137"/>
  <c r="J21" i="137"/>
  <c r="L23" i="137"/>
  <c r="J14" i="137"/>
  <c r="J12" i="137"/>
  <c r="J16" i="137"/>
  <c r="K12" i="137"/>
  <c r="J19" i="137"/>
  <c r="J18" i="137"/>
  <c r="L29" i="136"/>
  <c r="L17" i="136"/>
  <c r="L31" i="136" s="1"/>
  <c r="L19" i="136"/>
  <c r="L21" i="136"/>
  <c r="L23" i="136"/>
  <c r="L25" i="136"/>
  <c r="L27" i="136"/>
  <c r="J21" i="136"/>
  <c r="J25" i="136"/>
  <c r="J17" i="136"/>
  <c r="J14" i="136"/>
  <c r="J18" i="136"/>
  <c r="J22" i="136"/>
  <c r="J26" i="136"/>
  <c r="J29" i="136"/>
  <c r="K14" i="136"/>
  <c r="K18" i="136"/>
  <c r="K22" i="136"/>
  <c r="K26" i="136"/>
  <c r="K13" i="136"/>
  <c r="K21" i="136"/>
  <c r="J12" i="136"/>
  <c r="J16" i="136"/>
  <c r="J20" i="136"/>
  <c r="J24" i="136"/>
  <c r="J28" i="136"/>
  <c r="K17" i="136"/>
  <c r="K12" i="136"/>
  <c r="K16" i="136"/>
  <c r="K20" i="136"/>
  <c r="K24" i="136"/>
  <c r="K28" i="136"/>
  <c r="J11" i="136"/>
  <c r="J15" i="136"/>
  <c r="J19" i="136"/>
  <c r="J23" i="136"/>
  <c r="J27" i="136"/>
  <c r="K25" i="136"/>
  <c r="K29" i="136"/>
  <c r="K11" i="136"/>
  <c r="K15" i="136"/>
  <c r="K19" i="136"/>
  <c r="K23" i="136"/>
  <c r="K27" i="136"/>
  <c r="L15" i="135"/>
  <c r="L23" i="135"/>
  <c r="L14" i="135"/>
  <c r="L22" i="135"/>
  <c r="L11" i="135"/>
  <c r="L19" i="135"/>
  <c r="L27" i="135"/>
  <c r="L16" i="135"/>
  <c r="L24" i="135"/>
  <c r="L29" i="135"/>
  <c r="K11" i="135"/>
  <c r="K15" i="135"/>
  <c r="K19" i="135"/>
  <c r="K23" i="135"/>
  <c r="K27" i="135"/>
  <c r="K14" i="135"/>
  <c r="K18" i="135"/>
  <c r="K22" i="135"/>
  <c r="K26" i="135"/>
  <c r="K29" i="135"/>
  <c r="K13" i="135"/>
  <c r="K17" i="135"/>
  <c r="K21" i="135"/>
  <c r="K25" i="135"/>
  <c r="K12" i="135"/>
  <c r="K16" i="135"/>
  <c r="K20" i="135"/>
  <c r="K24" i="135"/>
  <c r="K28" i="135"/>
  <c r="J29" i="135"/>
  <c r="J33" i="135" s="1"/>
  <c r="J30" i="135"/>
  <c r="L31" i="135"/>
  <c r="K30" i="135"/>
  <c r="L13" i="134"/>
  <c r="I20" i="134"/>
  <c r="I12" i="134"/>
  <c r="L16" i="134"/>
  <c r="L17" i="134"/>
  <c r="I21" i="134"/>
  <c r="L25" i="134"/>
  <c r="H11" i="134"/>
  <c r="K26" i="134"/>
  <c r="K13" i="134"/>
  <c r="K31" i="134" s="1"/>
  <c r="H19" i="134"/>
  <c r="H23" i="134"/>
  <c r="K22" i="134"/>
  <c r="K15" i="134"/>
  <c r="H12" i="134"/>
  <c r="K17" i="134"/>
  <c r="K21" i="134"/>
  <c r="K25" i="134"/>
  <c r="K16" i="134"/>
  <c r="K27" i="134"/>
  <c r="K29" i="134"/>
  <c r="K14" i="134"/>
  <c r="K20" i="134"/>
  <c r="J27" i="134"/>
  <c r="J26" i="134"/>
  <c r="J29" i="134"/>
  <c r="J22" i="134"/>
  <c r="J17" i="134"/>
  <c r="J14" i="134"/>
  <c r="J11" i="134"/>
  <c r="J23" i="134"/>
  <c r="J20" i="134"/>
  <c r="J12" i="134"/>
  <c r="G12" i="134"/>
  <c r="J13" i="134"/>
  <c r="J16" i="134"/>
  <c r="L29" i="134"/>
  <c r="J19" i="134"/>
  <c r="J25" i="134"/>
  <c r="J28" i="134"/>
  <c r="J15" i="134"/>
  <c r="J18" i="134"/>
  <c r="J21" i="134"/>
  <c r="J24" i="134"/>
  <c r="L11" i="134"/>
  <c r="L15" i="134"/>
  <c r="L19" i="134"/>
  <c r="L23" i="134"/>
  <c r="L27" i="134"/>
  <c r="L14" i="134"/>
  <c r="L18" i="134"/>
  <c r="L22" i="134"/>
  <c r="L26" i="134"/>
  <c r="L24" i="134"/>
  <c r="K21" i="133"/>
  <c r="L14" i="133"/>
  <c r="K17" i="133"/>
  <c r="L17" i="133"/>
  <c r="L13" i="133"/>
  <c r="L22" i="133"/>
  <c r="J13" i="133"/>
  <c r="J17" i="133"/>
  <c r="L11" i="133"/>
  <c r="J14" i="133"/>
  <c r="L15" i="133"/>
  <c r="J18" i="133"/>
  <c r="L19" i="133"/>
  <c r="J22" i="133"/>
  <c r="K14" i="133"/>
  <c r="K18" i="133"/>
  <c r="K22" i="133"/>
  <c r="K12" i="133"/>
  <c r="K16" i="133"/>
  <c r="K20" i="133"/>
  <c r="J12" i="133"/>
  <c r="J16" i="133"/>
  <c r="J11" i="133"/>
  <c r="L12" i="133"/>
  <c r="J15" i="133"/>
  <c r="L16" i="133"/>
  <c r="J19" i="133"/>
  <c r="L20" i="133"/>
  <c r="J20" i="133"/>
  <c r="L21" i="133"/>
  <c r="K11" i="133"/>
  <c r="K15" i="133"/>
  <c r="K19" i="133"/>
  <c r="E24" i="132"/>
  <c r="K13" i="132" s="1"/>
  <c r="F24" i="132"/>
  <c r="L14" i="132" s="1"/>
  <c r="G24" i="132"/>
  <c r="M16" i="132" s="1"/>
  <c r="K22" i="132"/>
  <c r="M13" i="132"/>
  <c r="L18" i="131"/>
  <c r="L22" i="131"/>
  <c r="L14" i="131"/>
  <c r="L11" i="131"/>
  <c r="L16" i="131"/>
  <c r="K14" i="131"/>
  <c r="K18" i="131"/>
  <c r="K22" i="131"/>
  <c r="J12" i="131"/>
  <c r="J16" i="131"/>
  <c r="J20" i="131"/>
  <c r="K12" i="131"/>
  <c r="K16" i="131"/>
  <c r="K20" i="131"/>
  <c r="K11" i="131"/>
  <c r="K15" i="131"/>
  <c r="K19" i="131"/>
  <c r="AF21" i="130"/>
  <c r="AF24" i="130"/>
  <c r="AF11" i="130"/>
  <c r="AF15" i="130"/>
  <c r="AF18" i="130"/>
  <c r="AF23" i="130"/>
  <c r="AF16" i="130"/>
  <c r="AF22" i="130"/>
  <c r="AF20" i="130"/>
  <c r="AF14" i="130"/>
  <c r="AF17" i="130"/>
  <c r="AE16" i="130"/>
  <c r="AE22" i="130"/>
  <c r="AD23" i="130"/>
  <c r="AD24" i="130"/>
  <c r="AD19" i="130"/>
  <c r="AD14" i="130"/>
  <c r="AD12" i="130"/>
  <c r="AD13" i="130"/>
  <c r="AD18" i="130"/>
  <c r="AD16" i="130"/>
  <c r="AD17" i="130"/>
  <c r="AD22" i="130"/>
  <c r="AD21" i="130"/>
  <c r="AD15" i="130"/>
  <c r="AC23" i="130"/>
  <c r="AC22" i="130"/>
  <c r="AC24" i="130"/>
  <c r="AC25" i="130"/>
  <c r="AC20" i="130"/>
  <c r="AC21" i="130"/>
  <c r="AC11" i="130"/>
  <c r="AC12" i="130"/>
  <c r="AC17" i="130"/>
  <c r="AC18" i="130"/>
  <c r="AC19" i="130"/>
  <c r="AC13" i="130"/>
  <c r="AC14" i="130"/>
  <c r="AC15" i="130"/>
  <c r="AC27" i="130"/>
  <c r="AB21" i="130"/>
  <c r="AB22" i="130"/>
  <c r="AB23" i="130"/>
  <c r="AB11" i="130"/>
  <c r="AB12" i="130"/>
  <c r="AB16" i="130"/>
  <c r="AA23" i="130"/>
  <c r="AA27" i="130" s="1"/>
  <c r="Z15" i="130"/>
  <c r="Z16" i="130"/>
  <c r="Z17" i="130"/>
  <c r="Z18" i="130"/>
  <c r="Z19" i="130"/>
  <c r="Y13" i="130"/>
  <c r="Y24" i="130"/>
  <c r="Y14" i="130"/>
  <c r="Y19" i="130"/>
  <c r="Y20" i="130"/>
  <c r="Y25" i="130"/>
  <c r="Y15" i="130"/>
  <c r="Y16" i="130"/>
  <c r="Y21" i="130"/>
  <c r="Y11" i="130"/>
  <c r="X12" i="130"/>
  <c r="X16" i="130"/>
  <c r="X20" i="130"/>
  <c r="X25" i="130"/>
  <c r="X14" i="130"/>
  <c r="X18" i="130"/>
  <c r="X13" i="129"/>
  <c r="AA14" i="129"/>
  <c r="X16" i="129"/>
  <c r="AB17" i="129"/>
  <c r="AE18" i="129"/>
  <c r="AB16" i="129"/>
  <c r="X12" i="129"/>
  <c r="AB14" i="129"/>
  <c r="AB11" i="129"/>
  <c r="AB20" i="129" s="1"/>
  <c r="AB18" i="129"/>
  <c r="AF14" i="129"/>
  <c r="Y11" i="129"/>
  <c r="Y20" i="129" s="1"/>
  <c r="AE12" i="129"/>
  <c r="AF13" i="129"/>
  <c r="AB15" i="129"/>
  <c r="Y18" i="129"/>
  <c r="AA11" i="129"/>
  <c r="AA20" i="129" s="1"/>
  <c r="AF12" i="129"/>
  <c r="X17" i="129"/>
  <c r="AA18" i="129"/>
  <c r="AF18" i="129"/>
  <c r="AF16" i="129"/>
  <c r="AF11" i="129"/>
  <c r="AF20" i="129" s="1"/>
  <c r="AD15" i="129"/>
  <c r="AD16" i="129"/>
  <c r="AD14" i="129"/>
  <c r="AD11" i="129"/>
  <c r="AD20" i="129" s="1"/>
  <c r="AD12" i="129"/>
  <c r="AD13" i="129"/>
  <c r="AE20" i="129"/>
  <c r="AC12" i="129"/>
  <c r="AC15" i="129"/>
  <c r="AC13" i="129"/>
  <c r="AC14" i="129"/>
  <c r="AC16" i="129"/>
  <c r="AC11" i="129"/>
  <c r="AC17" i="129"/>
  <c r="Z11" i="129"/>
  <c r="Z16" i="129"/>
  <c r="Z17" i="129"/>
  <c r="Z12" i="129"/>
  <c r="Z18" i="129"/>
  <c r="Z13" i="129"/>
  <c r="Z14" i="129"/>
  <c r="X14" i="129"/>
  <c r="X18" i="129"/>
  <c r="X11" i="129"/>
  <c r="X20" i="129" s="1"/>
  <c r="K11" i="127"/>
  <c r="K15" i="127"/>
  <c r="L29" i="127"/>
  <c r="K22" i="127"/>
  <c r="K14" i="127"/>
  <c r="K18" i="127"/>
  <c r="L17" i="127"/>
  <c r="K12" i="127"/>
  <c r="L14" i="127"/>
  <c r="L18" i="127"/>
  <c r="M20" i="127"/>
  <c r="M12" i="127"/>
  <c r="M11" i="127"/>
  <c r="L23" i="127"/>
  <c r="M15" i="127"/>
  <c r="M17" i="127"/>
  <c r="M23" i="127"/>
  <c r="L13" i="127"/>
  <c r="K16" i="127"/>
  <c r="L19" i="127"/>
  <c r="L22" i="127"/>
  <c r="M25" i="127"/>
  <c r="M28" i="127"/>
  <c r="K30" i="127"/>
  <c r="M13" i="127"/>
  <c r="L16" i="127"/>
  <c r="M19" i="127"/>
  <c r="K24" i="127"/>
  <c r="K27" i="127"/>
  <c r="L30" i="127"/>
  <c r="L28" i="127"/>
  <c r="M16" i="127"/>
  <c r="L21" i="127"/>
  <c r="L24" i="127"/>
  <c r="L27" i="127"/>
  <c r="L25" i="127"/>
  <c r="L12" i="127"/>
  <c r="L15" i="127"/>
  <c r="M21" i="127"/>
  <c r="M24" i="127"/>
  <c r="M27" i="127"/>
  <c r="L11" i="127"/>
  <c r="L20" i="127"/>
  <c r="K20" i="127"/>
  <c r="K23" i="127"/>
  <c r="K19" i="127"/>
  <c r="K28" i="127"/>
  <c r="K13" i="127"/>
  <c r="M14" i="127"/>
  <c r="K17" i="127"/>
  <c r="M18" i="127"/>
  <c r="K21" i="127"/>
  <c r="M22" i="127"/>
  <c r="K25" i="127"/>
  <c r="M26" i="127"/>
  <c r="M30" i="127"/>
  <c r="L11" i="126"/>
  <c r="L21" i="126"/>
  <c r="L19" i="126"/>
  <c r="L17" i="126"/>
  <c r="K21" i="126"/>
  <c r="K13" i="126"/>
  <c r="J21" i="126"/>
  <c r="J11" i="126"/>
  <c r="J14" i="126"/>
  <c r="J16" i="126"/>
  <c r="G12" i="126"/>
  <c r="H12" i="126"/>
  <c r="G22" i="126"/>
  <c r="I12" i="126"/>
  <c r="H22" i="126"/>
  <c r="J12" i="126"/>
  <c r="J22" i="126"/>
  <c r="J17" i="126"/>
  <c r="J19" i="126"/>
  <c r="J24" i="126"/>
  <c r="J13" i="126"/>
  <c r="J23" i="126"/>
  <c r="J18" i="126"/>
  <c r="J15" i="126"/>
  <c r="K14" i="126"/>
  <c r="K18" i="126"/>
  <c r="K22" i="126"/>
  <c r="L14" i="126"/>
  <c r="L18" i="126"/>
  <c r="L22" i="126"/>
  <c r="K12" i="126"/>
  <c r="L12" i="126"/>
  <c r="L16" i="126"/>
  <c r="L20" i="126"/>
  <c r="L24" i="126"/>
  <c r="K16" i="126"/>
  <c r="K20" i="126"/>
  <c r="K24" i="126"/>
  <c r="K11" i="126"/>
  <c r="K15" i="126"/>
  <c r="K19" i="126"/>
  <c r="K23" i="126"/>
  <c r="L17" i="125"/>
  <c r="L20" i="125"/>
  <c r="J19" i="125"/>
  <c r="L23" i="125"/>
  <c r="L26" i="125"/>
  <c r="L29" i="125"/>
  <c r="L13" i="125"/>
  <c r="L33" i="125" s="1"/>
  <c r="L16" i="125"/>
  <c r="J15" i="125"/>
  <c r="L19" i="125"/>
  <c r="L22" i="125"/>
  <c r="L28" i="125"/>
  <c r="L15" i="125"/>
  <c r="L18" i="125"/>
  <c r="J17" i="125"/>
  <c r="L21" i="125"/>
  <c r="L24" i="125"/>
  <c r="L30" i="125"/>
  <c r="J14" i="125"/>
  <c r="J33" i="125" s="1"/>
  <c r="J18" i="125"/>
  <c r="J22" i="125"/>
  <c r="J26" i="125"/>
  <c r="J30" i="125"/>
  <c r="J12" i="125"/>
  <c r="J16" i="125"/>
  <c r="J20" i="125"/>
  <c r="J24" i="125"/>
  <c r="J28" i="125"/>
  <c r="L13" i="124"/>
  <c r="L16" i="124"/>
  <c r="L29" i="124" s="1"/>
  <c r="K19" i="124"/>
  <c r="K25" i="124"/>
  <c r="K18" i="124"/>
  <c r="K21" i="124"/>
  <c r="K24" i="124"/>
  <c r="K11" i="124"/>
  <c r="L18" i="124"/>
  <c r="L21" i="124"/>
  <c r="K14" i="124"/>
  <c r="K17" i="124"/>
  <c r="K20" i="124"/>
  <c r="K13" i="124"/>
  <c r="K16" i="124"/>
  <c r="J25" i="124"/>
  <c r="J12" i="124"/>
  <c r="J16" i="124"/>
  <c r="J20" i="124"/>
  <c r="J24" i="124"/>
  <c r="J11" i="124"/>
  <c r="J15" i="124"/>
  <c r="J19" i="124"/>
  <c r="J23" i="124"/>
  <c r="J27" i="124"/>
  <c r="L14" i="123"/>
  <c r="L18" i="123"/>
  <c r="L22" i="123"/>
  <c r="L26" i="123"/>
  <c r="J31" i="123"/>
  <c r="L27" i="123"/>
  <c r="L13" i="123"/>
  <c r="L17" i="123"/>
  <c r="L33" i="123" s="1"/>
  <c r="L21" i="123"/>
  <c r="L25" i="123"/>
  <c r="L29" i="123"/>
  <c r="L12" i="123"/>
  <c r="L24" i="123"/>
  <c r="J33" i="123"/>
  <c r="L16" i="123"/>
  <c r="L20" i="123"/>
  <c r="L28" i="123"/>
  <c r="L31" i="123"/>
  <c r="L33" i="122"/>
  <c r="K14" i="122"/>
  <c r="K18" i="122"/>
  <c r="K22" i="122"/>
  <c r="K26" i="122"/>
  <c r="K30" i="122"/>
  <c r="J24" i="122"/>
  <c r="J33" i="122" s="1"/>
  <c r="K28" i="122"/>
  <c r="K11" i="122"/>
  <c r="K33" i="122" s="1"/>
  <c r="K15" i="122"/>
  <c r="K19" i="122"/>
  <c r="K23" i="122"/>
  <c r="K27" i="122"/>
  <c r="K26" i="121"/>
  <c r="K29" i="121"/>
  <c r="K13" i="121"/>
  <c r="K17" i="121"/>
  <c r="K21" i="121"/>
  <c r="K25" i="121"/>
  <c r="K28" i="121"/>
  <c r="K31" i="121"/>
  <c r="K14" i="121"/>
  <c r="L21" i="121"/>
  <c r="L33" i="121" s="1"/>
  <c r="L28" i="121"/>
  <c r="K18" i="121"/>
  <c r="K22" i="121"/>
  <c r="L25" i="121"/>
  <c r="K12" i="121"/>
  <c r="K16" i="121"/>
  <c r="K20" i="121"/>
  <c r="K24" i="121"/>
  <c r="K11" i="121"/>
  <c r="K15" i="121"/>
  <c r="K19" i="121"/>
  <c r="K23" i="121"/>
  <c r="L27" i="121"/>
  <c r="L31" i="121"/>
  <c r="L26" i="121"/>
  <c r="L31" i="120"/>
  <c r="L33" i="120" s="1"/>
  <c r="F33" i="119"/>
  <c r="L29" i="119" s="1"/>
  <c r="E33" i="119"/>
  <c r="K28" i="119" s="1"/>
  <c r="D33" i="119"/>
  <c r="J28" i="119" s="1"/>
  <c r="C33" i="119"/>
  <c r="K31" i="119"/>
  <c r="I31" i="119"/>
  <c r="H31" i="119"/>
  <c r="G31" i="119"/>
  <c r="L30" i="119"/>
  <c r="I30" i="119"/>
  <c r="H30" i="119"/>
  <c r="G30" i="119"/>
  <c r="K29" i="119"/>
  <c r="J29" i="119"/>
  <c r="I29" i="119"/>
  <c r="H29" i="119"/>
  <c r="G29" i="119"/>
  <c r="L28" i="119"/>
  <c r="I28" i="119"/>
  <c r="H28" i="119"/>
  <c r="G28" i="119"/>
  <c r="L27" i="119"/>
  <c r="K27" i="119"/>
  <c r="J27" i="119"/>
  <c r="I27" i="119"/>
  <c r="H27" i="119"/>
  <c r="G27" i="119"/>
  <c r="L26" i="119"/>
  <c r="I26" i="119"/>
  <c r="H26" i="119"/>
  <c r="G26" i="119"/>
  <c r="L25" i="119"/>
  <c r="K25" i="119"/>
  <c r="J25" i="119"/>
  <c r="I25" i="119"/>
  <c r="H25" i="119"/>
  <c r="G25" i="119"/>
  <c r="L24" i="119"/>
  <c r="I24" i="119"/>
  <c r="H24" i="119"/>
  <c r="G24" i="119"/>
  <c r="L23" i="119"/>
  <c r="K23" i="119"/>
  <c r="J23" i="119"/>
  <c r="I23" i="119"/>
  <c r="H23" i="119"/>
  <c r="G23" i="119"/>
  <c r="L22" i="119"/>
  <c r="I22" i="119"/>
  <c r="H22" i="119"/>
  <c r="G22" i="119"/>
  <c r="L21" i="119"/>
  <c r="K21" i="119"/>
  <c r="J21" i="119"/>
  <c r="I21" i="119"/>
  <c r="H21" i="119"/>
  <c r="G21" i="119"/>
  <c r="L20" i="119"/>
  <c r="I20" i="119"/>
  <c r="H20" i="119"/>
  <c r="G20" i="119"/>
  <c r="L19" i="119"/>
  <c r="K19" i="119"/>
  <c r="J19" i="119"/>
  <c r="I19" i="119"/>
  <c r="H19" i="119"/>
  <c r="G19" i="119"/>
  <c r="L18" i="119"/>
  <c r="I18" i="119"/>
  <c r="H18" i="119"/>
  <c r="G18" i="119"/>
  <c r="L17" i="119"/>
  <c r="K17" i="119"/>
  <c r="J17" i="119"/>
  <c r="I17" i="119"/>
  <c r="H17" i="119"/>
  <c r="G17" i="119"/>
  <c r="L16" i="119"/>
  <c r="I16" i="119"/>
  <c r="H16" i="119"/>
  <c r="G16" i="119"/>
  <c r="L15" i="119"/>
  <c r="K15" i="119"/>
  <c r="J15" i="119"/>
  <c r="I15" i="119"/>
  <c r="H15" i="119"/>
  <c r="G15" i="119"/>
  <c r="L14" i="119"/>
  <c r="I14" i="119"/>
  <c r="H14" i="119"/>
  <c r="G14" i="119"/>
  <c r="L13" i="119"/>
  <c r="K13" i="119"/>
  <c r="J13" i="119"/>
  <c r="I13" i="119"/>
  <c r="H13" i="119"/>
  <c r="G13" i="119"/>
  <c r="L12" i="119"/>
  <c r="I12" i="119"/>
  <c r="H12" i="119"/>
  <c r="G12" i="119"/>
  <c r="L11" i="119"/>
  <c r="K11" i="119"/>
  <c r="J11" i="119"/>
  <c r="I11" i="119"/>
  <c r="H11" i="119"/>
  <c r="G11" i="119"/>
  <c r="F33" i="118"/>
  <c r="L29" i="118" s="1"/>
  <c r="E33" i="118"/>
  <c r="K31" i="118" s="1"/>
  <c r="D33" i="118"/>
  <c r="C33" i="118"/>
  <c r="J31" i="118"/>
  <c r="I31" i="118"/>
  <c r="H31" i="118"/>
  <c r="G31" i="118"/>
  <c r="K30" i="118"/>
  <c r="J30" i="118"/>
  <c r="I30" i="118"/>
  <c r="H30" i="118"/>
  <c r="G30" i="118"/>
  <c r="K29" i="118"/>
  <c r="J29" i="118"/>
  <c r="I29" i="118"/>
  <c r="H29" i="118"/>
  <c r="G29" i="118"/>
  <c r="K28" i="118"/>
  <c r="J28" i="118"/>
  <c r="I28" i="118"/>
  <c r="H28" i="118"/>
  <c r="G28" i="118"/>
  <c r="K27" i="118"/>
  <c r="J27" i="118"/>
  <c r="I27" i="118"/>
  <c r="H27" i="118"/>
  <c r="G27" i="118"/>
  <c r="K26" i="118"/>
  <c r="J26" i="118"/>
  <c r="I26" i="118"/>
  <c r="H26" i="118"/>
  <c r="G26" i="118"/>
  <c r="L25" i="118"/>
  <c r="K25" i="118"/>
  <c r="J25" i="118"/>
  <c r="I25" i="118"/>
  <c r="H25" i="118"/>
  <c r="G25" i="118"/>
  <c r="K24" i="118"/>
  <c r="J24" i="118"/>
  <c r="I24" i="118"/>
  <c r="H24" i="118"/>
  <c r="G24" i="118"/>
  <c r="K23" i="118"/>
  <c r="J23" i="118"/>
  <c r="I23" i="118"/>
  <c r="H23" i="118"/>
  <c r="G23" i="118"/>
  <c r="K22" i="118"/>
  <c r="J22" i="118"/>
  <c r="I22" i="118"/>
  <c r="H22" i="118"/>
  <c r="G22" i="118"/>
  <c r="L21" i="118"/>
  <c r="K21" i="118"/>
  <c r="J21" i="118"/>
  <c r="I21" i="118"/>
  <c r="H21" i="118"/>
  <c r="G21" i="118"/>
  <c r="K20" i="118"/>
  <c r="J20" i="118"/>
  <c r="I20" i="118"/>
  <c r="H20" i="118"/>
  <c r="G20" i="118"/>
  <c r="K19" i="118"/>
  <c r="J19" i="118"/>
  <c r="I19" i="118"/>
  <c r="H19" i="118"/>
  <c r="G19" i="118"/>
  <c r="K18" i="118"/>
  <c r="J18" i="118"/>
  <c r="I18" i="118"/>
  <c r="H18" i="118"/>
  <c r="G18" i="118"/>
  <c r="L17" i="118"/>
  <c r="K17" i="118"/>
  <c r="J17" i="118"/>
  <c r="I17" i="118"/>
  <c r="H17" i="118"/>
  <c r="G17" i="118"/>
  <c r="K16" i="118"/>
  <c r="J16" i="118"/>
  <c r="I16" i="118"/>
  <c r="H16" i="118"/>
  <c r="G16" i="118"/>
  <c r="K15" i="118"/>
  <c r="J15" i="118"/>
  <c r="I15" i="118"/>
  <c r="H15" i="118"/>
  <c r="G15" i="118"/>
  <c r="K14" i="118"/>
  <c r="J14" i="118"/>
  <c r="I14" i="118"/>
  <c r="H14" i="118"/>
  <c r="G14" i="118"/>
  <c r="L13" i="118"/>
  <c r="K13" i="118"/>
  <c r="J13" i="118"/>
  <c r="I13" i="118"/>
  <c r="H13" i="118"/>
  <c r="G13" i="118"/>
  <c r="K12" i="118"/>
  <c r="J12" i="118"/>
  <c r="I12" i="118"/>
  <c r="H12" i="118"/>
  <c r="G12" i="118"/>
  <c r="K11" i="118"/>
  <c r="J11" i="118"/>
  <c r="I11" i="118"/>
  <c r="H11" i="118"/>
  <c r="G11" i="118"/>
  <c r="F33" i="117"/>
  <c r="L30" i="117" s="1"/>
  <c r="E33" i="117"/>
  <c r="D33" i="117"/>
  <c r="J31" i="117" s="1"/>
  <c r="C33" i="117"/>
  <c r="K31" i="117"/>
  <c r="I31" i="117"/>
  <c r="H31" i="117"/>
  <c r="G31" i="117"/>
  <c r="K30" i="117"/>
  <c r="J30" i="117"/>
  <c r="I30" i="117"/>
  <c r="H30" i="117"/>
  <c r="G30" i="117"/>
  <c r="L29" i="117"/>
  <c r="K29" i="117"/>
  <c r="J29" i="117"/>
  <c r="I29" i="117"/>
  <c r="H29" i="117"/>
  <c r="G29" i="117"/>
  <c r="K28" i="117"/>
  <c r="J28" i="117"/>
  <c r="I28" i="117"/>
  <c r="H28" i="117"/>
  <c r="G28" i="117"/>
  <c r="L27" i="117"/>
  <c r="K27" i="117"/>
  <c r="J27" i="117"/>
  <c r="I27" i="117"/>
  <c r="H27" i="117"/>
  <c r="G27" i="117"/>
  <c r="K26" i="117"/>
  <c r="J26" i="117"/>
  <c r="I26" i="117"/>
  <c r="H26" i="117"/>
  <c r="G26" i="117"/>
  <c r="L25" i="117"/>
  <c r="K25" i="117"/>
  <c r="J25" i="117"/>
  <c r="I25" i="117"/>
  <c r="H25" i="117"/>
  <c r="G25" i="117"/>
  <c r="K24" i="117"/>
  <c r="J24" i="117"/>
  <c r="I24" i="117"/>
  <c r="H24" i="117"/>
  <c r="G24" i="117"/>
  <c r="L23" i="117"/>
  <c r="K23" i="117"/>
  <c r="J23" i="117"/>
  <c r="I23" i="117"/>
  <c r="H23" i="117"/>
  <c r="G23" i="117"/>
  <c r="K22" i="117"/>
  <c r="J22" i="117"/>
  <c r="I22" i="117"/>
  <c r="H22" i="117"/>
  <c r="G22" i="117"/>
  <c r="L21" i="117"/>
  <c r="K21" i="117"/>
  <c r="J21" i="117"/>
  <c r="I21" i="117"/>
  <c r="H21" i="117"/>
  <c r="G21" i="117"/>
  <c r="K20" i="117"/>
  <c r="J20" i="117"/>
  <c r="I20" i="117"/>
  <c r="H20" i="117"/>
  <c r="G20" i="117"/>
  <c r="L19" i="117"/>
  <c r="K19" i="117"/>
  <c r="J19" i="117"/>
  <c r="I19" i="117"/>
  <c r="H19" i="117"/>
  <c r="G19" i="117"/>
  <c r="K18" i="117"/>
  <c r="J18" i="117"/>
  <c r="I18" i="117"/>
  <c r="H18" i="117"/>
  <c r="G18" i="117"/>
  <c r="L17" i="117"/>
  <c r="K17" i="117"/>
  <c r="J17" i="117"/>
  <c r="I17" i="117"/>
  <c r="H17" i="117"/>
  <c r="G17" i="117"/>
  <c r="K16" i="117"/>
  <c r="J16" i="117"/>
  <c r="I16" i="117"/>
  <c r="H16" i="117"/>
  <c r="G16" i="117"/>
  <c r="L15" i="117"/>
  <c r="K15" i="117"/>
  <c r="J15" i="117"/>
  <c r="I15" i="117"/>
  <c r="H15" i="117"/>
  <c r="G15" i="117"/>
  <c r="L14" i="117"/>
  <c r="K14" i="117"/>
  <c r="J14" i="117"/>
  <c r="I14" i="117"/>
  <c r="H14" i="117"/>
  <c r="G14" i="117"/>
  <c r="L13" i="117"/>
  <c r="K13" i="117"/>
  <c r="J13" i="117"/>
  <c r="I13" i="117"/>
  <c r="H13" i="117"/>
  <c r="G13" i="117"/>
  <c r="L12" i="117"/>
  <c r="K12" i="117"/>
  <c r="J12" i="117"/>
  <c r="I12" i="117"/>
  <c r="H12" i="117"/>
  <c r="G12" i="117"/>
  <c r="L11" i="117"/>
  <c r="K11" i="117"/>
  <c r="J11" i="117"/>
  <c r="I11" i="117"/>
  <c r="H11" i="117"/>
  <c r="G11" i="117"/>
  <c r="F33" i="116"/>
  <c r="L28" i="116" s="1"/>
  <c r="E33" i="116"/>
  <c r="K30" i="116" s="1"/>
  <c r="D33" i="116"/>
  <c r="J31" i="116" s="1"/>
  <c r="C33" i="116"/>
  <c r="L31" i="116"/>
  <c r="I31" i="116"/>
  <c r="H31" i="116"/>
  <c r="G31" i="116"/>
  <c r="L30" i="116"/>
  <c r="J30" i="116"/>
  <c r="I30" i="116"/>
  <c r="H30" i="116"/>
  <c r="G30" i="116"/>
  <c r="L29" i="116"/>
  <c r="K29" i="116"/>
  <c r="J29" i="116"/>
  <c r="I29" i="116"/>
  <c r="H29" i="116"/>
  <c r="G29" i="116"/>
  <c r="J28" i="116"/>
  <c r="I28" i="116"/>
  <c r="H28" i="116"/>
  <c r="G28" i="116"/>
  <c r="L27" i="116"/>
  <c r="K27" i="116"/>
  <c r="I27" i="116"/>
  <c r="H27" i="116"/>
  <c r="G27" i="116"/>
  <c r="L26" i="116"/>
  <c r="K26" i="116"/>
  <c r="J26" i="116"/>
  <c r="I26" i="116"/>
  <c r="H26" i="116"/>
  <c r="G26" i="116"/>
  <c r="L25" i="116"/>
  <c r="K25" i="116"/>
  <c r="J25" i="116"/>
  <c r="I25" i="116"/>
  <c r="H25" i="116"/>
  <c r="G25" i="116"/>
  <c r="K24" i="116"/>
  <c r="J24" i="116"/>
  <c r="I24" i="116"/>
  <c r="H24" i="116"/>
  <c r="G24" i="116"/>
  <c r="L23" i="116"/>
  <c r="K23" i="116"/>
  <c r="I23" i="116"/>
  <c r="H23" i="116"/>
  <c r="G23" i="116"/>
  <c r="L22" i="116"/>
  <c r="K22" i="116"/>
  <c r="J22" i="116"/>
  <c r="I22" i="116"/>
  <c r="H22" i="116"/>
  <c r="G22" i="116"/>
  <c r="L21" i="116"/>
  <c r="K21" i="116"/>
  <c r="J21" i="116"/>
  <c r="I21" i="116"/>
  <c r="H21" i="116"/>
  <c r="G21" i="116"/>
  <c r="L20" i="116"/>
  <c r="K20" i="116"/>
  <c r="J20" i="116"/>
  <c r="I20" i="116"/>
  <c r="H20" i="116"/>
  <c r="G20" i="116"/>
  <c r="L19" i="116"/>
  <c r="K19" i="116"/>
  <c r="J19" i="116"/>
  <c r="I19" i="116"/>
  <c r="H19" i="116"/>
  <c r="G19" i="116"/>
  <c r="L18" i="116"/>
  <c r="K18" i="116"/>
  <c r="J18" i="116"/>
  <c r="I18" i="116"/>
  <c r="H18" i="116"/>
  <c r="G18" i="116"/>
  <c r="L17" i="116"/>
  <c r="K17" i="116"/>
  <c r="J17" i="116"/>
  <c r="I17" i="116"/>
  <c r="H17" i="116"/>
  <c r="G17" i="116"/>
  <c r="L16" i="116"/>
  <c r="K16" i="116"/>
  <c r="J16" i="116"/>
  <c r="I16" i="116"/>
  <c r="H16" i="116"/>
  <c r="G16" i="116"/>
  <c r="L15" i="116"/>
  <c r="K15" i="116"/>
  <c r="J15" i="116"/>
  <c r="I15" i="116"/>
  <c r="H15" i="116"/>
  <c r="G15" i="116"/>
  <c r="L14" i="116"/>
  <c r="K14" i="116"/>
  <c r="J14" i="116"/>
  <c r="I14" i="116"/>
  <c r="H14" i="116"/>
  <c r="G14" i="116"/>
  <c r="L13" i="116"/>
  <c r="K13" i="116"/>
  <c r="J13" i="116"/>
  <c r="I13" i="116"/>
  <c r="H13" i="116"/>
  <c r="G13" i="116"/>
  <c r="L12" i="116"/>
  <c r="K12" i="116"/>
  <c r="J12" i="116"/>
  <c r="I12" i="116"/>
  <c r="H12" i="116"/>
  <c r="G12" i="116"/>
  <c r="L11" i="116"/>
  <c r="K11" i="116"/>
  <c r="J11" i="116"/>
  <c r="I11" i="116"/>
  <c r="H11" i="116"/>
  <c r="G11" i="116"/>
  <c r="F33" i="115"/>
  <c r="L27" i="115" s="1"/>
  <c r="E33" i="115"/>
  <c r="D33" i="115"/>
  <c r="J31" i="115" s="1"/>
  <c r="C33" i="115"/>
  <c r="K31" i="115"/>
  <c r="I31" i="115"/>
  <c r="H31" i="115"/>
  <c r="G31" i="115"/>
  <c r="K30" i="115"/>
  <c r="J30" i="115"/>
  <c r="I30" i="115"/>
  <c r="H30" i="115"/>
  <c r="G30" i="115"/>
  <c r="L29" i="115"/>
  <c r="K29" i="115"/>
  <c r="J29" i="115"/>
  <c r="I29" i="115"/>
  <c r="H29" i="115"/>
  <c r="G29" i="115"/>
  <c r="K28" i="115"/>
  <c r="J28" i="115"/>
  <c r="I28" i="115"/>
  <c r="H28" i="115"/>
  <c r="G28" i="115"/>
  <c r="K27" i="115"/>
  <c r="J27" i="115"/>
  <c r="I27" i="115"/>
  <c r="H27" i="115"/>
  <c r="G27" i="115"/>
  <c r="K26" i="115"/>
  <c r="J26" i="115"/>
  <c r="I26" i="115"/>
  <c r="H26" i="115"/>
  <c r="G26" i="115"/>
  <c r="L25" i="115"/>
  <c r="K25" i="115"/>
  <c r="J25" i="115"/>
  <c r="I25" i="115"/>
  <c r="H25" i="115"/>
  <c r="G25" i="115"/>
  <c r="K24" i="115"/>
  <c r="J24" i="115"/>
  <c r="I24" i="115"/>
  <c r="H24" i="115"/>
  <c r="G24" i="115"/>
  <c r="K23" i="115"/>
  <c r="J23" i="115"/>
  <c r="I23" i="115"/>
  <c r="H23" i="115"/>
  <c r="G23" i="115"/>
  <c r="K22" i="115"/>
  <c r="J22" i="115"/>
  <c r="I22" i="115"/>
  <c r="H22" i="115"/>
  <c r="G22" i="115"/>
  <c r="L21" i="115"/>
  <c r="K21" i="115"/>
  <c r="J21" i="115"/>
  <c r="I21" i="115"/>
  <c r="H21" i="115"/>
  <c r="G21" i="115"/>
  <c r="K20" i="115"/>
  <c r="J20" i="115"/>
  <c r="I20" i="115"/>
  <c r="H20" i="115"/>
  <c r="G20" i="115"/>
  <c r="K19" i="115"/>
  <c r="J19" i="115"/>
  <c r="I19" i="115"/>
  <c r="H19" i="115"/>
  <c r="G19" i="115"/>
  <c r="K18" i="115"/>
  <c r="J18" i="115"/>
  <c r="I18" i="115"/>
  <c r="H18" i="115"/>
  <c r="G18" i="115"/>
  <c r="L17" i="115"/>
  <c r="K17" i="115"/>
  <c r="J17" i="115"/>
  <c r="I17" i="115"/>
  <c r="H17" i="115"/>
  <c r="G17" i="115"/>
  <c r="K16" i="115"/>
  <c r="J16" i="115"/>
  <c r="I16" i="115"/>
  <c r="H16" i="115"/>
  <c r="G16" i="115"/>
  <c r="K15" i="115"/>
  <c r="J15" i="115"/>
  <c r="I15" i="115"/>
  <c r="H15" i="115"/>
  <c r="G15" i="115"/>
  <c r="K14" i="115"/>
  <c r="J14" i="115"/>
  <c r="I14" i="115"/>
  <c r="H14" i="115"/>
  <c r="G14" i="115"/>
  <c r="L13" i="115"/>
  <c r="K13" i="115"/>
  <c r="J13" i="115"/>
  <c r="I13" i="115"/>
  <c r="H13" i="115"/>
  <c r="G13" i="115"/>
  <c r="K12" i="115"/>
  <c r="J12" i="115"/>
  <c r="I12" i="115"/>
  <c r="H12" i="115"/>
  <c r="G12" i="115"/>
  <c r="K11" i="115"/>
  <c r="J11" i="115"/>
  <c r="I11" i="115"/>
  <c r="H11" i="115"/>
  <c r="G11" i="115"/>
  <c r="F33" i="114"/>
  <c r="L30" i="114" s="1"/>
  <c r="E33" i="114"/>
  <c r="K30" i="114" s="1"/>
  <c r="D33" i="114"/>
  <c r="C33" i="114"/>
  <c r="K31" i="114"/>
  <c r="J31" i="114"/>
  <c r="I31" i="114"/>
  <c r="H31" i="114"/>
  <c r="G31" i="114"/>
  <c r="J30" i="114"/>
  <c r="I30" i="114"/>
  <c r="H30" i="114"/>
  <c r="G30" i="114"/>
  <c r="L29" i="114"/>
  <c r="K29" i="114"/>
  <c r="J29" i="114"/>
  <c r="I29" i="114"/>
  <c r="H29" i="114"/>
  <c r="G29" i="114"/>
  <c r="L28" i="114"/>
  <c r="K28" i="114"/>
  <c r="J28" i="114"/>
  <c r="I28" i="114"/>
  <c r="H28" i="114"/>
  <c r="G28" i="114"/>
  <c r="K27" i="114"/>
  <c r="J27" i="114"/>
  <c r="I27" i="114"/>
  <c r="H27" i="114"/>
  <c r="G27" i="114"/>
  <c r="K26" i="114"/>
  <c r="J26" i="114"/>
  <c r="I26" i="114"/>
  <c r="H26" i="114"/>
  <c r="G26" i="114"/>
  <c r="L25" i="114"/>
  <c r="K25" i="114"/>
  <c r="J25" i="114"/>
  <c r="I25" i="114"/>
  <c r="H25" i="114"/>
  <c r="G25" i="114"/>
  <c r="L24" i="114"/>
  <c r="K24" i="114"/>
  <c r="J24" i="114"/>
  <c r="I24" i="114"/>
  <c r="H24" i="114"/>
  <c r="G24" i="114"/>
  <c r="L23" i="114"/>
  <c r="K23" i="114"/>
  <c r="J23" i="114"/>
  <c r="I23" i="114"/>
  <c r="H23" i="114"/>
  <c r="G23" i="114"/>
  <c r="L22" i="114"/>
  <c r="K22" i="114"/>
  <c r="J22" i="114"/>
  <c r="I22" i="114"/>
  <c r="H22" i="114"/>
  <c r="G22" i="114"/>
  <c r="L21" i="114"/>
  <c r="K21" i="114"/>
  <c r="J21" i="114"/>
  <c r="I21" i="114"/>
  <c r="H21" i="114"/>
  <c r="G21" i="114"/>
  <c r="L20" i="114"/>
  <c r="K20" i="114"/>
  <c r="J20" i="114"/>
  <c r="I20" i="114"/>
  <c r="H20" i="114"/>
  <c r="G20" i="114"/>
  <c r="L19" i="114"/>
  <c r="K19" i="114"/>
  <c r="J19" i="114"/>
  <c r="I19" i="114"/>
  <c r="H19" i="114"/>
  <c r="G19" i="114"/>
  <c r="L18" i="114"/>
  <c r="K18" i="114"/>
  <c r="J18" i="114"/>
  <c r="I18" i="114"/>
  <c r="H18" i="114"/>
  <c r="G18" i="114"/>
  <c r="L17" i="114"/>
  <c r="K17" i="114"/>
  <c r="J17" i="114"/>
  <c r="I17" i="114"/>
  <c r="H17" i="114"/>
  <c r="G17" i="114"/>
  <c r="L16" i="114"/>
  <c r="K16" i="114"/>
  <c r="J16" i="114"/>
  <c r="I16" i="114"/>
  <c r="H16" i="114"/>
  <c r="G16" i="114"/>
  <c r="L15" i="114"/>
  <c r="K15" i="114"/>
  <c r="J15" i="114"/>
  <c r="I15" i="114"/>
  <c r="H15" i="114"/>
  <c r="G15" i="114"/>
  <c r="L14" i="114"/>
  <c r="K14" i="114"/>
  <c r="J14" i="114"/>
  <c r="I14" i="114"/>
  <c r="H14" i="114"/>
  <c r="G14" i="114"/>
  <c r="L13" i="114"/>
  <c r="K13" i="114"/>
  <c r="J13" i="114"/>
  <c r="I13" i="114"/>
  <c r="H13" i="114"/>
  <c r="G13" i="114"/>
  <c r="L12" i="114"/>
  <c r="K12" i="114"/>
  <c r="J12" i="114"/>
  <c r="I12" i="114"/>
  <c r="H12" i="114"/>
  <c r="G12" i="114"/>
  <c r="L11" i="114"/>
  <c r="K11" i="114"/>
  <c r="J11" i="114"/>
  <c r="J33" i="114" s="1"/>
  <c r="I11" i="114"/>
  <c r="H11" i="114"/>
  <c r="G11" i="114"/>
  <c r="F33" i="113"/>
  <c r="L30" i="113" s="1"/>
  <c r="E33" i="113"/>
  <c r="D33" i="113"/>
  <c r="C33" i="113"/>
  <c r="K31" i="113"/>
  <c r="J31" i="113"/>
  <c r="I31" i="113"/>
  <c r="H31" i="113"/>
  <c r="G31" i="113"/>
  <c r="K30" i="113"/>
  <c r="J30" i="113"/>
  <c r="I30" i="113"/>
  <c r="H30" i="113"/>
  <c r="G30" i="113"/>
  <c r="L29" i="113"/>
  <c r="K29" i="113"/>
  <c r="J29" i="113"/>
  <c r="I29" i="113"/>
  <c r="H29" i="113"/>
  <c r="G29" i="113"/>
  <c r="L28" i="113"/>
  <c r="K28" i="113"/>
  <c r="J28" i="113"/>
  <c r="I28" i="113"/>
  <c r="H28" i="113"/>
  <c r="G28" i="113"/>
  <c r="L27" i="113"/>
  <c r="K27" i="113"/>
  <c r="J27" i="113"/>
  <c r="I27" i="113"/>
  <c r="H27" i="113"/>
  <c r="G27" i="113"/>
  <c r="L26" i="113"/>
  <c r="K26" i="113"/>
  <c r="J26" i="113"/>
  <c r="I26" i="113"/>
  <c r="H26" i="113"/>
  <c r="G26" i="113"/>
  <c r="L25" i="113"/>
  <c r="K25" i="113"/>
  <c r="J25" i="113"/>
  <c r="I25" i="113"/>
  <c r="H25" i="113"/>
  <c r="G25" i="113"/>
  <c r="L24" i="113"/>
  <c r="K24" i="113"/>
  <c r="J24" i="113"/>
  <c r="I24" i="113"/>
  <c r="H24" i="113"/>
  <c r="G24" i="113"/>
  <c r="L23" i="113"/>
  <c r="K23" i="113"/>
  <c r="J23" i="113"/>
  <c r="I23" i="113"/>
  <c r="H23" i="113"/>
  <c r="G23" i="113"/>
  <c r="L22" i="113"/>
  <c r="K22" i="113"/>
  <c r="J22" i="113"/>
  <c r="I22" i="113"/>
  <c r="H22" i="113"/>
  <c r="G22" i="113"/>
  <c r="L21" i="113"/>
  <c r="K21" i="113"/>
  <c r="J21" i="113"/>
  <c r="I21" i="113"/>
  <c r="H21" i="113"/>
  <c r="G21" i="113"/>
  <c r="L20" i="113"/>
  <c r="K20" i="113"/>
  <c r="J20" i="113"/>
  <c r="I20" i="113"/>
  <c r="H20" i="113"/>
  <c r="G20" i="113"/>
  <c r="L19" i="113"/>
  <c r="K19" i="113"/>
  <c r="J19" i="113"/>
  <c r="I19" i="113"/>
  <c r="H19" i="113"/>
  <c r="G19" i="113"/>
  <c r="L18" i="113"/>
  <c r="K18" i="113"/>
  <c r="J18" i="113"/>
  <c r="I18" i="113"/>
  <c r="H18" i="113"/>
  <c r="G18" i="113"/>
  <c r="L17" i="113"/>
  <c r="K17" i="113"/>
  <c r="J17" i="113"/>
  <c r="I17" i="113"/>
  <c r="H17" i="113"/>
  <c r="G17" i="113"/>
  <c r="L16" i="113"/>
  <c r="K16" i="113"/>
  <c r="J16" i="113"/>
  <c r="I16" i="113"/>
  <c r="H16" i="113"/>
  <c r="G16" i="113"/>
  <c r="L15" i="113"/>
  <c r="K15" i="113"/>
  <c r="J15" i="113"/>
  <c r="I15" i="113"/>
  <c r="H15" i="113"/>
  <c r="G15" i="113"/>
  <c r="L14" i="113"/>
  <c r="K14" i="113"/>
  <c r="J14" i="113"/>
  <c r="I14" i="113"/>
  <c r="H14" i="113"/>
  <c r="G14" i="113"/>
  <c r="L13" i="113"/>
  <c r="K13" i="113"/>
  <c r="J13" i="113"/>
  <c r="I13" i="113"/>
  <c r="H13" i="113"/>
  <c r="G13" i="113"/>
  <c r="L12" i="113"/>
  <c r="K12" i="113"/>
  <c r="J12" i="113"/>
  <c r="I12" i="113"/>
  <c r="H12" i="113"/>
  <c r="G12" i="113"/>
  <c r="L11" i="113"/>
  <c r="K11" i="113"/>
  <c r="K33" i="113" s="1"/>
  <c r="J11" i="113"/>
  <c r="J33" i="113" s="1"/>
  <c r="I11" i="113"/>
  <c r="H11" i="113"/>
  <c r="G11" i="113"/>
  <c r="F33" i="112"/>
  <c r="L30" i="112" s="1"/>
  <c r="E33" i="112"/>
  <c r="K27" i="112" s="1"/>
  <c r="D33" i="112"/>
  <c r="J29" i="112" s="1"/>
  <c r="C33" i="112"/>
  <c r="K31" i="112"/>
  <c r="I31" i="112"/>
  <c r="H31" i="112"/>
  <c r="G31" i="112"/>
  <c r="K30" i="112"/>
  <c r="J30" i="112"/>
  <c r="I30" i="112"/>
  <c r="H30" i="112"/>
  <c r="G30" i="112"/>
  <c r="L29" i="112"/>
  <c r="K29" i="112"/>
  <c r="I29" i="112"/>
  <c r="H29" i="112"/>
  <c r="G29" i="112"/>
  <c r="L28" i="112"/>
  <c r="J28" i="112"/>
  <c r="I28" i="112"/>
  <c r="H28" i="112"/>
  <c r="G28" i="112"/>
  <c r="L27" i="112"/>
  <c r="J27" i="112"/>
  <c r="I27" i="112"/>
  <c r="H27" i="112"/>
  <c r="G27" i="112"/>
  <c r="K26" i="112"/>
  <c r="J26" i="112"/>
  <c r="I26" i="112"/>
  <c r="H26" i="112"/>
  <c r="G26" i="112"/>
  <c r="L25" i="112"/>
  <c r="K25" i="112"/>
  <c r="I25" i="112"/>
  <c r="H25" i="112"/>
  <c r="G25" i="112"/>
  <c r="L24" i="112"/>
  <c r="K24" i="112"/>
  <c r="J24" i="112"/>
  <c r="I24" i="112"/>
  <c r="H24" i="112"/>
  <c r="G24" i="112"/>
  <c r="L23" i="112"/>
  <c r="K23" i="112"/>
  <c r="J23" i="112"/>
  <c r="I23" i="112"/>
  <c r="H23" i="112"/>
  <c r="G23" i="112"/>
  <c r="K22" i="112"/>
  <c r="J22" i="112"/>
  <c r="I22" i="112"/>
  <c r="H22" i="112"/>
  <c r="G22" i="112"/>
  <c r="L21" i="112"/>
  <c r="K21" i="112"/>
  <c r="I21" i="112"/>
  <c r="H21" i="112"/>
  <c r="G21" i="112"/>
  <c r="L20" i="112"/>
  <c r="K20" i="112"/>
  <c r="J20" i="112"/>
  <c r="I20" i="112"/>
  <c r="H20" i="112"/>
  <c r="G20" i="112"/>
  <c r="L19" i="112"/>
  <c r="K19" i="112"/>
  <c r="J19" i="112"/>
  <c r="I19" i="112"/>
  <c r="H19" i="112"/>
  <c r="G19" i="112"/>
  <c r="K18" i="112"/>
  <c r="J18" i="112"/>
  <c r="I18" i="112"/>
  <c r="H18" i="112"/>
  <c r="G18" i="112"/>
  <c r="L17" i="112"/>
  <c r="K17" i="112"/>
  <c r="I17" i="112"/>
  <c r="H17" i="112"/>
  <c r="G17" i="112"/>
  <c r="L16" i="112"/>
  <c r="K16" i="112"/>
  <c r="J16" i="112"/>
  <c r="I16" i="112"/>
  <c r="H16" i="112"/>
  <c r="G16" i="112"/>
  <c r="L15" i="112"/>
  <c r="K15" i="112"/>
  <c r="J15" i="112"/>
  <c r="I15" i="112"/>
  <c r="H15" i="112"/>
  <c r="G15" i="112"/>
  <c r="K14" i="112"/>
  <c r="J14" i="112"/>
  <c r="I14" i="112"/>
  <c r="H14" i="112"/>
  <c r="G14" i="112"/>
  <c r="L13" i="112"/>
  <c r="K13" i="112"/>
  <c r="I13" i="112"/>
  <c r="H13" i="112"/>
  <c r="G13" i="112"/>
  <c r="L12" i="112"/>
  <c r="K12" i="112"/>
  <c r="J12" i="112"/>
  <c r="I12" i="112"/>
  <c r="H12" i="112"/>
  <c r="G12" i="112"/>
  <c r="L11" i="112"/>
  <c r="K11" i="112"/>
  <c r="J11" i="112"/>
  <c r="I11" i="112"/>
  <c r="H11" i="112"/>
  <c r="G11" i="112"/>
  <c r="F33" i="111"/>
  <c r="L30" i="111" s="1"/>
  <c r="E33" i="111"/>
  <c r="K31" i="111" s="1"/>
  <c r="D33" i="111"/>
  <c r="J30" i="111" s="1"/>
  <c r="C33" i="111"/>
  <c r="I31" i="111"/>
  <c r="H31" i="111"/>
  <c r="G31" i="111"/>
  <c r="I30" i="111"/>
  <c r="H30" i="111"/>
  <c r="G30" i="111"/>
  <c r="K29" i="111"/>
  <c r="I29" i="111"/>
  <c r="H29" i="111"/>
  <c r="G29" i="111"/>
  <c r="L28" i="111"/>
  <c r="I28" i="111"/>
  <c r="H28" i="111"/>
  <c r="G28" i="111"/>
  <c r="I27" i="111"/>
  <c r="H27" i="111"/>
  <c r="G27" i="111"/>
  <c r="I26" i="111"/>
  <c r="H26" i="111"/>
  <c r="G26" i="111"/>
  <c r="I25" i="111"/>
  <c r="H25" i="111"/>
  <c r="G25" i="111"/>
  <c r="I24" i="111"/>
  <c r="H24" i="111"/>
  <c r="G24" i="111"/>
  <c r="I23" i="111"/>
  <c r="H23" i="111"/>
  <c r="G23" i="111"/>
  <c r="L22" i="111"/>
  <c r="I22" i="111"/>
  <c r="H22" i="111"/>
  <c r="G22" i="111"/>
  <c r="L21" i="111"/>
  <c r="K21" i="111"/>
  <c r="J21" i="111"/>
  <c r="I21" i="111"/>
  <c r="H21" i="111"/>
  <c r="G21" i="111"/>
  <c r="L20" i="111"/>
  <c r="I20" i="111"/>
  <c r="H20" i="111"/>
  <c r="G20" i="111"/>
  <c r="I19" i="111"/>
  <c r="H19" i="111"/>
  <c r="G19" i="111"/>
  <c r="I18" i="111"/>
  <c r="H18" i="111"/>
  <c r="G18" i="111"/>
  <c r="L17" i="111"/>
  <c r="I17" i="111"/>
  <c r="H17" i="111"/>
  <c r="G17" i="111"/>
  <c r="L16" i="111"/>
  <c r="I16" i="111"/>
  <c r="H16" i="111"/>
  <c r="G16" i="111"/>
  <c r="I15" i="111"/>
  <c r="H15" i="111"/>
  <c r="G15" i="111"/>
  <c r="K14" i="111"/>
  <c r="I14" i="111"/>
  <c r="H14" i="111"/>
  <c r="G14" i="111"/>
  <c r="L13" i="111"/>
  <c r="K13" i="111"/>
  <c r="J13" i="111"/>
  <c r="I13" i="111"/>
  <c r="H13" i="111"/>
  <c r="G13" i="111"/>
  <c r="L12" i="111"/>
  <c r="I12" i="111"/>
  <c r="H12" i="111"/>
  <c r="G12" i="111"/>
  <c r="I11" i="111"/>
  <c r="H11" i="111"/>
  <c r="G11" i="111"/>
  <c r="J30" i="108"/>
  <c r="J31" i="108"/>
  <c r="J31" i="107"/>
  <c r="J31" i="106"/>
  <c r="J31" i="104"/>
  <c r="J31" i="103"/>
  <c r="J31" i="102"/>
  <c r="J31" i="101"/>
  <c r="J31" i="50"/>
  <c r="F33" i="108"/>
  <c r="L30" i="108" s="1"/>
  <c r="E33" i="108"/>
  <c r="K30" i="108" s="1"/>
  <c r="D33" i="108"/>
  <c r="J28" i="108" s="1"/>
  <c r="C33" i="108"/>
  <c r="I31" i="108"/>
  <c r="H31" i="108"/>
  <c r="G31" i="108"/>
  <c r="I30" i="108"/>
  <c r="H30" i="108"/>
  <c r="G30" i="108"/>
  <c r="I29" i="108"/>
  <c r="H29" i="108"/>
  <c r="G29" i="108"/>
  <c r="L28" i="108"/>
  <c r="I28" i="108"/>
  <c r="H28" i="108"/>
  <c r="G28" i="108"/>
  <c r="I27" i="108"/>
  <c r="H27" i="108"/>
  <c r="G27" i="108"/>
  <c r="I26" i="108"/>
  <c r="H26" i="108"/>
  <c r="G26" i="108"/>
  <c r="I25" i="108"/>
  <c r="H25" i="108"/>
  <c r="G25" i="108"/>
  <c r="I24" i="108"/>
  <c r="H24" i="108"/>
  <c r="G24" i="108"/>
  <c r="I23" i="108"/>
  <c r="H23" i="108"/>
  <c r="G23" i="108"/>
  <c r="I22" i="108"/>
  <c r="H22" i="108"/>
  <c r="G22" i="108"/>
  <c r="I21" i="108"/>
  <c r="H21" i="108"/>
  <c r="G21" i="108"/>
  <c r="L20" i="108"/>
  <c r="I20" i="108"/>
  <c r="H20" i="108"/>
  <c r="G20" i="108"/>
  <c r="I19" i="108"/>
  <c r="H19" i="108"/>
  <c r="G19" i="108"/>
  <c r="I18" i="108"/>
  <c r="H18" i="108"/>
  <c r="G18" i="108"/>
  <c r="I17" i="108"/>
  <c r="H17" i="108"/>
  <c r="G17" i="108"/>
  <c r="L16" i="108"/>
  <c r="K16" i="108"/>
  <c r="I16" i="108"/>
  <c r="H16" i="108"/>
  <c r="G16" i="108"/>
  <c r="I15" i="108"/>
  <c r="H15" i="108"/>
  <c r="G15" i="108"/>
  <c r="I14" i="108"/>
  <c r="H14" i="108"/>
  <c r="G14" i="108"/>
  <c r="L13" i="108"/>
  <c r="I13" i="108"/>
  <c r="H13" i="108"/>
  <c r="G13" i="108"/>
  <c r="K12" i="108"/>
  <c r="I12" i="108"/>
  <c r="H12" i="108"/>
  <c r="G12" i="108"/>
  <c r="I11" i="108"/>
  <c r="H11" i="108"/>
  <c r="G11" i="108"/>
  <c r="L33" i="107"/>
  <c r="F33" i="107"/>
  <c r="L30" i="107" s="1"/>
  <c r="E33" i="107"/>
  <c r="D33" i="107"/>
  <c r="C33" i="107"/>
  <c r="L31" i="107"/>
  <c r="K31" i="107"/>
  <c r="I31" i="107"/>
  <c r="H31" i="107"/>
  <c r="G31" i="107"/>
  <c r="K30" i="107"/>
  <c r="J30" i="107"/>
  <c r="I30" i="107"/>
  <c r="H30" i="107"/>
  <c r="G30" i="107"/>
  <c r="L29" i="107"/>
  <c r="K29" i="107"/>
  <c r="J29" i="107"/>
  <c r="I29" i="107"/>
  <c r="H29" i="107"/>
  <c r="G29" i="107"/>
  <c r="L28" i="107"/>
  <c r="K28" i="107"/>
  <c r="J28" i="107"/>
  <c r="I28" i="107"/>
  <c r="H28" i="107"/>
  <c r="G28" i="107"/>
  <c r="L27" i="107"/>
  <c r="K27" i="107"/>
  <c r="J27" i="107"/>
  <c r="I27" i="107"/>
  <c r="H27" i="107"/>
  <c r="G27" i="107"/>
  <c r="L26" i="107"/>
  <c r="K26" i="107"/>
  <c r="J26" i="107"/>
  <c r="I26" i="107"/>
  <c r="H26" i="107"/>
  <c r="G26" i="107"/>
  <c r="L25" i="107"/>
  <c r="K25" i="107"/>
  <c r="J25" i="107"/>
  <c r="I25" i="107"/>
  <c r="H25" i="107"/>
  <c r="G25" i="107"/>
  <c r="L24" i="107"/>
  <c r="K24" i="107"/>
  <c r="J24" i="107"/>
  <c r="I24" i="107"/>
  <c r="H24" i="107"/>
  <c r="G24" i="107"/>
  <c r="L23" i="107"/>
  <c r="K23" i="107"/>
  <c r="J23" i="107"/>
  <c r="I23" i="107"/>
  <c r="H23" i="107"/>
  <c r="G23" i="107"/>
  <c r="L22" i="107"/>
  <c r="K22" i="107"/>
  <c r="J22" i="107"/>
  <c r="I22" i="107"/>
  <c r="H22" i="107"/>
  <c r="G22" i="107"/>
  <c r="L21" i="107"/>
  <c r="K21" i="107"/>
  <c r="J21" i="107"/>
  <c r="I21" i="107"/>
  <c r="H21" i="107"/>
  <c r="G21" i="107"/>
  <c r="L20" i="107"/>
  <c r="K20" i="107"/>
  <c r="J20" i="107"/>
  <c r="I20" i="107"/>
  <c r="H20" i="107"/>
  <c r="G20" i="107"/>
  <c r="L19" i="107"/>
  <c r="K19" i="107"/>
  <c r="J19" i="107"/>
  <c r="I19" i="107"/>
  <c r="H19" i="107"/>
  <c r="G19" i="107"/>
  <c r="L18" i="107"/>
  <c r="K18" i="107"/>
  <c r="J18" i="107"/>
  <c r="I18" i="107"/>
  <c r="H18" i="107"/>
  <c r="G18" i="107"/>
  <c r="L17" i="107"/>
  <c r="K17" i="107"/>
  <c r="J17" i="107"/>
  <c r="I17" i="107"/>
  <c r="H17" i="107"/>
  <c r="G17" i="107"/>
  <c r="L16" i="107"/>
  <c r="K16" i="107"/>
  <c r="J16" i="107"/>
  <c r="I16" i="107"/>
  <c r="H16" i="107"/>
  <c r="G16" i="107"/>
  <c r="L15" i="107"/>
  <c r="K15" i="107"/>
  <c r="J15" i="107"/>
  <c r="I15" i="107"/>
  <c r="H15" i="107"/>
  <c r="G15" i="107"/>
  <c r="L14" i="107"/>
  <c r="K14" i="107"/>
  <c r="J14" i="107"/>
  <c r="I14" i="107"/>
  <c r="H14" i="107"/>
  <c r="G14" i="107"/>
  <c r="L13" i="107"/>
  <c r="K13" i="107"/>
  <c r="J13" i="107"/>
  <c r="I13" i="107"/>
  <c r="H13" i="107"/>
  <c r="G13" i="107"/>
  <c r="L12" i="107"/>
  <c r="K12" i="107"/>
  <c r="J12" i="107"/>
  <c r="I12" i="107"/>
  <c r="H12" i="107"/>
  <c r="G12" i="107"/>
  <c r="L11" i="107"/>
  <c r="K11" i="107"/>
  <c r="J11" i="107"/>
  <c r="I11" i="107"/>
  <c r="H11" i="107"/>
  <c r="G11" i="107"/>
  <c r="L31" i="119" l="1"/>
  <c r="L33" i="119"/>
  <c r="J31" i="119"/>
  <c r="J24" i="131"/>
  <c r="J26" i="126"/>
  <c r="L26" i="126"/>
  <c r="K26" i="126"/>
  <c r="X27" i="130"/>
  <c r="J25" i="138"/>
  <c r="L25" i="138"/>
  <c r="K25" i="138"/>
  <c r="J23" i="137"/>
  <c r="K23" i="137"/>
  <c r="K31" i="136"/>
  <c r="J31" i="136"/>
  <c r="L33" i="135"/>
  <c r="K33" i="135"/>
  <c r="L31" i="134"/>
  <c r="J31" i="134"/>
  <c r="L24" i="133"/>
  <c r="K24" i="133"/>
  <c r="J24" i="133"/>
  <c r="M11" i="132"/>
  <c r="M20" i="132"/>
  <c r="L19" i="132"/>
  <c r="M19" i="132"/>
  <c r="K19" i="132"/>
  <c r="K12" i="132"/>
  <c r="K20" i="132"/>
  <c r="K14" i="132"/>
  <c r="K18" i="132"/>
  <c r="K17" i="132"/>
  <c r="K11" i="132"/>
  <c r="K16" i="132"/>
  <c r="K15" i="132"/>
  <c r="K21" i="132"/>
  <c r="L16" i="132"/>
  <c r="M18" i="132"/>
  <c r="L20" i="132"/>
  <c r="L18" i="132"/>
  <c r="L22" i="132"/>
  <c r="M22" i="132"/>
  <c r="L12" i="132"/>
  <c r="M21" i="132"/>
  <c r="M17" i="132"/>
  <c r="L21" i="132"/>
  <c r="M15" i="132"/>
  <c r="L11" i="132"/>
  <c r="L17" i="132"/>
  <c r="L13" i="132"/>
  <c r="M12" i="132"/>
  <c r="L15" i="132"/>
  <c r="M14" i="132"/>
  <c r="L24" i="131"/>
  <c r="K24" i="131"/>
  <c r="AF27" i="130"/>
  <c r="AE27" i="130"/>
  <c r="AD27" i="130"/>
  <c r="AB27" i="130"/>
  <c r="Z27" i="130"/>
  <c r="Y27" i="130"/>
  <c r="Z20" i="129"/>
  <c r="AC20" i="129"/>
  <c r="K32" i="127"/>
  <c r="L32" i="127"/>
  <c r="M32" i="127"/>
  <c r="K29" i="124"/>
  <c r="J29" i="124"/>
  <c r="K33" i="121"/>
  <c r="J14" i="119"/>
  <c r="J18" i="119"/>
  <c r="J22" i="119"/>
  <c r="J26" i="119"/>
  <c r="J30" i="119"/>
  <c r="K14" i="119"/>
  <c r="K18" i="119"/>
  <c r="K22" i="119"/>
  <c r="K26" i="119"/>
  <c r="K30" i="119"/>
  <c r="J12" i="119"/>
  <c r="J16" i="119"/>
  <c r="J20" i="119"/>
  <c r="J24" i="119"/>
  <c r="K12" i="119"/>
  <c r="K16" i="119"/>
  <c r="K20" i="119"/>
  <c r="K24" i="119"/>
  <c r="J33" i="118"/>
  <c r="L12" i="118"/>
  <c r="L16" i="118"/>
  <c r="L20" i="118"/>
  <c r="L24" i="118"/>
  <c r="L28" i="118"/>
  <c r="K33" i="118"/>
  <c r="L11" i="118"/>
  <c r="L33" i="118" s="1"/>
  <c r="L15" i="118"/>
  <c r="L19" i="118"/>
  <c r="L23" i="118"/>
  <c r="L27" i="118"/>
  <c r="L31" i="118"/>
  <c r="L14" i="118"/>
  <c r="L18" i="118"/>
  <c r="L22" i="118"/>
  <c r="L26" i="118"/>
  <c r="L30" i="118"/>
  <c r="J33" i="117"/>
  <c r="L16" i="117"/>
  <c r="L33" i="117" s="1"/>
  <c r="L20" i="117"/>
  <c r="L24" i="117"/>
  <c r="L28" i="117"/>
  <c r="K33" i="117"/>
  <c r="L31" i="117"/>
  <c r="L18" i="117"/>
  <c r="L22" i="117"/>
  <c r="L26" i="117"/>
  <c r="J33" i="116"/>
  <c r="K28" i="116"/>
  <c r="K33" i="116" s="1"/>
  <c r="K31" i="116"/>
  <c r="J23" i="116"/>
  <c r="L24" i="116"/>
  <c r="L33" i="116" s="1"/>
  <c r="J27" i="116"/>
  <c r="J33" i="115"/>
  <c r="L12" i="115"/>
  <c r="L16" i="115"/>
  <c r="L20" i="115"/>
  <c r="L24" i="115"/>
  <c r="L28" i="115"/>
  <c r="K33" i="115"/>
  <c r="L15" i="115"/>
  <c r="L23" i="115"/>
  <c r="L31" i="115"/>
  <c r="L14" i="115"/>
  <c r="L18" i="115"/>
  <c r="L22" i="115"/>
  <c r="L26" i="115"/>
  <c r="L30" i="115"/>
  <c r="L11" i="115"/>
  <c r="L19" i="115"/>
  <c r="L33" i="114"/>
  <c r="K33" i="114"/>
  <c r="L27" i="114"/>
  <c r="L31" i="114"/>
  <c r="L26" i="114"/>
  <c r="L31" i="113"/>
  <c r="L33" i="113" s="1"/>
  <c r="K28" i="112"/>
  <c r="K33" i="112" s="1"/>
  <c r="J31" i="112"/>
  <c r="L31" i="112"/>
  <c r="J13" i="112"/>
  <c r="J33" i="112" s="1"/>
  <c r="L14" i="112"/>
  <c r="L33" i="112" s="1"/>
  <c r="J17" i="112"/>
  <c r="L18" i="112"/>
  <c r="J21" i="112"/>
  <c r="L22" i="112"/>
  <c r="J25" i="112"/>
  <c r="L26" i="112"/>
  <c r="K18" i="111"/>
  <c r="J23" i="111"/>
  <c r="J12" i="111"/>
  <c r="J15" i="111"/>
  <c r="L18" i="111"/>
  <c r="J20" i="111"/>
  <c r="J25" i="111"/>
  <c r="J28" i="111"/>
  <c r="J17" i="111"/>
  <c r="K25" i="111"/>
  <c r="J27" i="111"/>
  <c r="K17" i="111"/>
  <c r="L25" i="111"/>
  <c r="J29" i="111"/>
  <c r="J24" i="111"/>
  <c r="J31" i="111"/>
  <c r="J11" i="111"/>
  <c r="J33" i="111" s="1"/>
  <c r="L14" i="111"/>
  <c r="J16" i="111"/>
  <c r="J19" i="111"/>
  <c r="L24" i="111"/>
  <c r="L29" i="111"/>
  <c r="K23" i="111"/>
  <c r="L11" i="111"/>
  <c r="J14" i="111"/>
  <c r="L15" i="111"/>
  <c r="J18" i="111"/>
  <c r="L19" i="111"/>
  <c r="J22" i="111"/>
  <c r="L23" i="111"/>
  <c r="J26" i="111"/>
  <c r="L27" i="111"/>
  <c r="L31" i="111"/>
  <c r="K22" i="111"/>
  <c r="K26" i="111"/>
  <c r="K30" i="111"/>
  <c r="L26" i="111"/>
  <c r="K12" i="111"/>
  <c r="K16" i="111"/>
  <c r="K20" i="111"/>
  <c r="K24" i="111"/>
  <c r="K28" i="111"/>
  <c r="K11" i="111"/>
  <c r="K15" i="111"/>
  <c r="K19" i="111"/>
  <c r="K27" i="111"/>
  <c r="J33" i="107"/>
  <c r="J23" i="108"/>
  <c r="J19" i="108"/>
  <c r="J25" i="108"/>
  <c r="L12" i="108"/>
  <c r="L19" i="108"/>
  <c r="J22" i="108"/>
  <c r="L25" i="108"/>
  <c r="J27" i="108"/>
  <c r="J11" i="108"/>
  <c r="J18" i="108"/>
  <c r="K22" i="108"/>
  <c r="L11" i="108"/>
  <c r="J14" i="108"/>
  <c r="K18" i="108"/>
  <c r="J21" i="108"/>
  <c r="L22" i="108"/>
  <c r="J24" i="108"/>
  <c r="J29" i="108"/>
  <c r="J12" i="108"/>
  <c r="L15" i="108"/>
  <c r="K27" i="108"/>
  <c r="K14" i="108"/>
  <c r="J17" i="108"/>
  <c r="L18" i="108"/>
  <c r="K21" i="108"/>
  <c r="L24" i="108"/>
  <c r="L29" i="108"/>
  <c r="K31" i="108"/>
  <c r="J15" i="108"/>
  <c r="J13" i="108"/>
  <c r="L14" i="108"/>
  <c r="K17" i="108"/>
  <c r="J20" i="108"/>
  <c r="L21" i="108"/>
  <c r="J26" i="108"/>
  <c r="L31" i="108"/>
  <c r="K13" i="108"/>
  <c r="J16" i="108"/>
  <c r="L17" i="108"/>
  <c r="K20" i="108"/>
  <c r="K25" i="108"/>
  <c r="K28" i="108"/>
  <c r="K24" i="108"/>
  <c r="K11" i="108"/>
  <c r="K15" i="108"/>
  <c r="K19" i="108"/>
  <c r="K23" i="108"/>
  <c r="K26" i="108"/>
  <c r="K29" i="108"/>
  <c r="L23" i="108"/>
  <c r="L27" i="108"/>
  <c r="L26" i="108"/>
  <c r="K33" i="107"/>
  <c r="F33" i="106"/>
  <c r="L30" i="106" s="1"/>
  <c r="E33" i="106"/>
  <c r="D33" i="106"/>
  <c r="J29" i="106" s="1"/>
  <c r="C33" i="106"/>
  <c r="L31" i="106"/>
  <c r="K31" i="106"/>
  <c r="I31" i="106"/>
  <c r="H31" i="106"/>
  <c r="G31" i="106"/>
  <c r="K30" i="106"/>
  <c r="I30" i="106"/>
  <c r="H30" i="106"/>
  <c r="G30" i="106"/>
  <c r="L29" i="106"/>
  <c r="K29" i="106"/>
  <c r="I29" i="106"/>
  <c r="H29" i="106"/>
  <c r="G29" i="106"/>
  <c r="L28" i="106"/>
  <c r="K28" i="106"/>
  <c r="I28" i="106"/>
  <c r="H28" i="106"/>
  <c r="G28" i="106"/>
  <c r="L27" i="106"/>
  <c r="K27" i="106"/>
  <c r="I27" i="106"/>
  <c r="H27" i="106"/>
  <c r="G27" i="106"/>
  <c r="K26" i="106"/>
  <c r="I26" i="106"/>
  <c r="H26" i="106"/>
  <c r="G26" i="106"/>
  <c r="L25" i="106"/>
  <c r="K25" i="106"/>
  <c r="I25" i="106"/>
  <c r="H25" i="106"/>
  <c r="G25" i="106"/>
  <c r="L24" i="106"/>
  <c r="K24" i="106"/>
  <c r="I24" i="106"/>
  <c r="H24" i="106"/>
  <c r="G24" i="106"/>
  <c r="L23" i="106"/>
  <c r="K23" i="106"/>
  <c r="I23" i="106"/>
  <c r="H23" i="106"/>
  <c r="G23" i="106"/>
  <c r="K22" i="106"/>
  <c r="I22" i="106"/>
  <c r="H22" i="106"/>
  <c r="G22" i="106"/>
  <c r="L21" i="106"/>
  <c r="K21" i="106"/>
  <c r="I21" i="106"/>
  <c r="H21" i="106"/>
  <c r="G21" i="106"/>
  <c r="L20" i="106"/>
  <c r="K20" i="106"/>
  <c r="I20" i="106"/>
  <c r="H20" i="106"/>
  <c r="G20" i="106"/>
  <c r="L19" i="106"/>
  <c r="K19" i="106"/>
  <c r="I19" i="106"/>
  <c r="H19" i="106"/>
  <c r="G19" i="106"/>
  <c r="K18" i="106"/>
  <c r="I18" i="106"/>
  <c r="H18" i="106"/>
  <c r="G18" i="106"/>
  <c r="L17" i="106"/>
  <c r="K17" i="106"/>
  <c r="I17" i="106"/>
  <c r="H17" i="106"/>
  <c r="G17" i="106"/>
  <c r="L16" i="106"/>
  <c r="K16" i="106"/>
  <c r="I16" i="106"/>
  <c r="H16" i="106"/>
  <c r="G16" i="106"/>
  <c r="L15" i="106"/>
  <c r="K15" i="106"/>
  <c r="J15" i="106"/>
  <c r="I15" i="106"/>
  <c r="H15" i="106"/>
  <c r="G15" i="106"/>
  <c r="L14" i="106"/>
  <c r="K14" i="106"/>
  <c r="I14" i="106"/>
  <c r="H14" i="106"/>
  <c r="G14" i="106"/>
  <c r="L13" i="106"/>
  <c r="K13" i="106"/>
  <c r="I13" i="106"/>
  <c r="H13" i="106"/>
  <c r="G13" i="106"/>
  <c r="L12" i="106"/>
  <c r="K12" i="106"/>
  <c r="I12" i="106"/>
  <c r="H12" i="106"/>
  <c r="G12" i="106"/>
  <c r="L11" i="106"/>
  <c r="K11" i="106"/>
  <c r="K33" i="106" s="1"/>
  <c r="J11" i="106"/>
  <c r="I11" i="106"/>
  <c r="H11" i="106"/>
  <c r="G11" i="106"/>
  <c r="F33" i="104"/>
  <c r="L31" i="104" s="1"/>
  <c r="E33" i="104"/>
  <c r="K31" i="104" s="1"/>
  <c r="D33" i="104"/>
  <c r="C33" i="104"/>
  <c r="I31" i="104"/>
  <c r="H31" i="104"/>
  <c r="G31" i="104"/>
  <c r="K30" i="104"/>
  <c r="J30" i="104"/>
  <c r="I30" i="104"/>
  <c r="H30" i="104"/>
  <c r="G30" i="104"/>
  <c r="K29" i="104"/>
  <c r="J29" i="104"/>
  <c r="I29" i="104"/>
  <c r="H29" i="104"/>
  <c r="G29" i="104"/>
  <c r="K28" i="104"/>
  <c r="J28" i="104"/>
  <c r="I28" i="104"/>
  <c r="H28" i="104"/>
  <c r="G28" i="104"/>
  <c r="K27" i="104"/>
  <c r="J27" i="104"/>
  <c r="I27" i="104"/>
  <c r="H27" i="104"/>
  <c r="G27" i="104"/>
  <c r="K26" i="104"/>
  <c r="J26" i="104"/>
  <c r="I26" i="104"/>
  <c r="H26" i="104"/>
  <c r="G26" i="104"/>
  <c r="K25" i="104"/>
  <c r="J25" i="104"/>
  <c r="I25" i="104"/>
  <c r="H25" i="104"/>
  <c r="G25" i="104"/>
  <c r="K24" i="104"/>
  <c r="J24" i="104"/>
  <c r="I24" i="104"/>
  <c r="H24" i="104"/>
  <c r="G24" i="104"/>
  <c r="K23" i="104"/>
  <c r="J23" i="104"/>
  <c r="I23" i="104"/>
  <c r="H23" i="104"/>
  <c r="G23" i="104"/>
  <c r="L22" i="104"/>
  <c r="K22" i="104"/>
  <c r="J22" i="104"/>
  <c r="I22" i="104"/>
  <c r="H22" i="104"/>
  <c r="G22" i="104"/>
  <c r="K21" i="104"/>
  <c r="J21" i="104"/>
  <c r="I21" i="104"/>
  <c r="H21" i="104"/>
  <c r="G21" i="104"/>
  <c r="K20" i="104"/>
  <c r="J20" i="104"/>
  <c r="I20" i="104"/>
  <c r="H20" i="104"/>
  <c r="G20" i="104"/>
  <c r="K19" i="104"/>
  <c r="J19" i="104"/>
  <c r="I19" i="104"/>
  <c r="H19" i="104"/>
  <c r="G19" i="104"/>
  <c r="L18" i="104"/>
  <c r="K18" i="104"/>
  <c r="J18" i="104"/>
  <c r="I18" i="104"/>
  <c r="H18" i="104"/>
  <c r="G18" i="104"/>
  <c r="K17" i="104"/>
  <c r="J17" i="104"/>
  <c r="I17" i="104"/>
  <c r="H17" i="104"/>
  <c r="G17" i="104"/>
  <c r="K16" i="104"/>
  <c r="J16" i="104"/>
  <c r="I16" i="104"/>
  <c r="H16" i="104"/>
  <c r="G16" i="104"/>
  <c r="K15" i="104"/>
  <c r="J15" i="104"/>
  <c r="I15" i="104"/>
  <c r="H15" i="104"/>
  <c r="G15" i="104"/>
  <c r="L14" i="104"/>
  <c r="K14" i="104"/>
  <c r="J14" i="104"/>
  <c r="I14" i="104"/>
  <c r="H14" i="104"/>
  <c r="G14" i="104"/>
  <c r="K13" i="104"/>
  <c r="K33" i="104" s="1"/>
  <c r="J13" i="104"/>
  <c r="I13" i="104"/>
  <c r="H13" i="104"/>
  <c r="G13" i="104"/>
  <c r="K12" i="104"/>
  <c r="J12" i="104"/>
  <c r="I12" i="104"/>
  <c r="H12" i="104"/>
  <c r="G12" i="104"/>
  <c r="K11" i="104"/>
  <c r="J11" i="104"/>
  <c r="I11" i="104"/>
  <c r="H11" i="104"/>
  <c r="G11" i="104"/>
  <c r="F33" i="103"/>
  <c r="E33" i="103"/>
  <c r="K31" i="103" s="1"/>
  <c r="D33" i="103"/>
  <c r="J27" i="103" s="1"/>
  <c r="C33" i="103"/>
  <c r="L31" i="103"/>
  <c r="I31" i="103"/>
  <c r="H31" i="103"/>
  <c r="G31" i="103"/>
  <c r="L30" i="103"/>
  <c r="K30" i="103"/>
  <c r="I30" i="103"/>
  <c r="H30" i="103"/>
  <c r="G30" i="103"/>
  <c r="L29" i="103"/>
  <c r="I29" i="103"/>
  <c r="H29" i="103"/>
  <c r="G29" i="103"/>
  <c r="L28" i="103"/>
  <c r="I28" i="103"/>
  <c r="H28" i="103"/>
  <c r="G28" i="103"/>
  <c r="L27" i="103"/>
  <c r="K27" i="103"/>
  <c r="I27" i="103"/>
  <c r="H27" i="103"/>
  <c r="G27" i="103"/>
  <c r="L26" i="103"/>
  <c r="K26" i="103"/>
  <c r="I26" i="103"/>
  <c r="H26" i="103"/>
  <c r="G26" i="103"/>
  <c r="L25" i="103"/>
  <c r="I25" i="103"/>
  <c r="H25" i="103"/>
  <c r="G25" i="103"/>
  <c r="L24" i="103"/>
  <c r="I24" i="103"/>
  <c r="H24" i="103"/>
  <c r="G24" i="103"/>
  <c r="L23" i="103"/>
  <c r="K23" i="103"/>
  <c r="I23" i="103"/>
  <c r="H23" i="103"/>
  <c r="G23" i="103"/>
  <c r="L22" i="103"/>
  <c r="K22" i="103"/>
  <c r="I22" i="103"/>
  <c r="H22" i="103"/>
  <c r="G22" i="103"/>
  <c r="L21" i="103"/>
  <c r="I21" i="103"/>
  <c r="H21" i="103"/>
  <c r="G21" i="103"/>
  <c r="L20" i="103"/>
  <c r="I20" i="103"/>
  <c r="H20" i="103"/>
  <c r="G20" i="103"/>
  <c r="L19" i="103"/>
  <c r="K19" i="103"/>
  <c r="I19" i="103"/>
  <c r="H19" i="103"/>
  <c r="G19" i="103"/>
  <c r="L18" i="103"/>
  <c r="K18" i="103"/>
  <c r="I18" i="103"/>
  <c r="H18" i="103"/>
  <c r="G18" i="103"/>
  <c r="L17" i="103"/>
  <c r="I17" i="103"/>
  <c r="H17" i="103"/>
  <c r="G17" i="103"/>
  <c r="L16" i="103"/>
  <c r="I16" i="103"/>
  <c r="H16" i="103"/>
  <c r="G16" i="103"/>
  <c r="L15" i="103"/>
  <c r="K15" i="103"/>
  <c r="I15" i="103"/>
  <c r="H15" i="103"/>
  <c r="G15" i="103"/>
  <c r="L14" i="103"/>
  <c r="K14" i="103"/>
  <c r="I14" i="103"/>
  <c r="H14" i="103"/>
  <c r="G14" i="103"/>
  <c r="L13" i="103"/>
  <c r="I13" i="103"/>
  <c r="H13" i="103"/>
  <c r="G13" i="103"/>
  <c r="L12" i="103"/>
  <c r="I12" i="103"/>
  <c r="H12" i="103"/>
  <c r="G12" i="103"/>
  <c r="L11" i="103"/>
  <c r="K11" i="103"/>
  <c r="I11" i="103"/>
  <c r="H11" i="103"/>
  <c r="G11" i="103"/>
  <c r="F33" i="102"/>
  <c r="L27" i="102" s="1"/>
  <c r="E33" i="102"/>
  <c r="K24" i="102" s="1"/>
  <c r="D33" i="102"/>
  <c r="J30" i="102" s="1"/>
  <c r="C33" i="102"/>
  <c r="I31" i="102"/>
  <c r="H31" i="102"/>
  <c r="G31" i="102"/>
  <c r="I30" i="102"/>
  <c r="H30" i="102"/>
  <c r="G30" i="102"/>
  <c r="I29" i="102"/>
  <c r="H29" i="102"/>
  <c r="G29" i="102"/>
  <c r="I28" i="102"/>
  <c r="H28" i="102"/>
  <c r="G28" i="102"/>
  <c r="I27" i="102"/>
  <c r="H27" i="102"/>
  <c r="G27" i="102"/>
  <c r="L26" i="102"/>
  <c r="K26" i="102"/>
  <c r="I26" i="102"/>
  <c r="H26" i="102"/>
  <c r="G26" i="102"/>
  <c r="I25" i="102"/>
  <c r="H25" i="102"/>
  <c r="G25" i="102"/>
  <c r="I24" i="102"/>
  <c r="H24" i="102"/>
  <c r="G24" i="102"/>
  <c r="I23" i="102"/>
  <c r="H23" i="102"/>
  <c r="G23" i="102"/>
  <c r="I22" i="102"/>
  <c r="H22" i="102"/>
  <c r="G22" i="102"/>
  <c r="I21" i="102"/>
  <c r="H21" i="102"/>
  <c r="G21" i="102"/>
  <c r="I20" i="102"/>
  <c r="H20" i="102"/>
  <c r="G20" i="102"/>
  <c r="I19" i="102"/>
  <c r="H19" i="102"/>
  <c r="G19" i="102"/>
  <c r="L18" i="102"/>
  <c r="K18" i="102"/>
  <c r="I18" i="102"/>
  <c r="H18" i="102"/>
  <c r="G18" i="102"/>
  <c r="I17" i="102"/>
  <c r="H17" i="102"/>
  <c r="G17" i="102"/>
  <c r="I16" i="102"/>
  <c r="H16" i="102"/>
  <c r="G16" i="102"/>
  <c r="I15" i="102"/>
  <c r="H15" i="102"/>
  <c r="G15" i="102"/>
  <c r="I14" i="102"/>
  <c r="H14" i="102"/>
  <c r="G14" i="102"/>
  <c r="I13" i="102"/>
  <c r="H13" i="102"/>
  <c r="G13" i="102"/>
  <c r="I12" i="102"/>
  <c r="H12" i="102"/>
  <c r="G12" i="102"/>
  <c r="I11" i="102"/>
  <c r="H11" i="102"/>
  <c r="G11" i="102"/>
  <c r="F33" i="101"/>
  <c r="L30" i="101" s="1"/>
  <c r="E33" i="101"/>
  <c r="D33" i="101"/>
  <c r="J28" i="101" s="1"/>
  <c r="C33" i="101"/>
  <c r="K31" i="101"/>
  <c r="I31" i="101"/>
  <c r="H31" i="101"/>
  <c r="G31" i="101"/>
  <c r="K30" i="101"/>
  <c r="I30" i="101"/>
  <c r="H30" i="101"/>
  <c r="G30" i="101"/>
  <c r="L29" i="101"/>
  <c r="K29" i="101"/>
  <c r="I29" i="101"/>
  <c r="H29" i="101"/>
  <c r="G29" i="101"/>
  <c r="L28" i="101"/>
  <c r="K28" i="101"/>
  <c r="I28" i="101"/>
  <c r="H28" i="101"/>
  <c r="G28" i="101"/>
  <c r="L27" i="101"/>
  <c r="K27" i="101"/>
  <c r="J27" i="101"/>
  <c r="I27" i="101"/>
  <c r="H27" i="101"/>
  <c r="G27" i="101"/>
  <c r="L26" i="101"/>
  <c r="K26" i="101"/>
  <c r="I26" i="101"/>
  <c r="H26" i="101"/>
  <c r="G26" i="101"/>
  <c r="L25" i="101"/>
  <c r="K25" i="101"/>
  <c r="I25" i="101"/>
  <c r="H25" i="101"/>
  <c r="G25" i="101"/>
  <c r="L24" i="101"/>
  <c r="K24" i="101"/>
  <c r="I24" i="101"/>
  <c r="H24" i="101"/>
  <c r="G24" i="101"/>
  <c r="L23" i="101"/>
  <c r="K23" i="101"/>
  <c r="J23" i="101"/>
  <c r="I23" i="101"/>
  <c r="H23" i="101"/>
  <c r="G23" i="101"/>
  <c r="L22" i="101"/>
  <c r="K22" i="101"/>
  <c r="I22" i="101"/>
  <c r="H22" i="101"/>
  <c r="G22" i="101"/>
  <c r="L21" i="101"/>
  <c r="K21" i="101"/>
  <c r="I21" i="101"/>
  <c r="H21" i="101"/>
  <c r="G21" i="101"/>
  <c r="L20" i="101"/>
  <c r="K20" i="101"/>
  <c r="I20" i="101"/>
  <c r="H20" i="101"/>
  <c r="G20" i="101"/>
  <c r="L19" i="101"/>
  <c r="K19" i="101"/>
  <c r="J19" i="101"/>
  <c r="I19" i="101"/>
  <c r="H19" i="101"/>
  <c r="G19" i="101"/>
  <c r="L18" i="101"/>
  <c r="K18" i="101"/>
  <c r="I18" i="101"/>
  <c r="H18" i="101"/>
  <c r="G18" i="101"/>
  <c r="L17" i="101"/>
  <c r="K17" i="101"/>
  <c r="I17" i="101"/>
  <c r="H17" i="101"/>
  <c r="G17" i="101"/>
  <c r="L16" i="101"/>
  <c r="K16" i="101"/>
  <c r="I16" i="101"/>
  <c r="H16" i="101"/>
  <c r="G16" i="101"/>
  <c r="L15" i="101"/>
  <c r="K15" i="101"/>
  <c r="J15" i="101"/>
  <c r="I15" i="101"/>
  <c r="H15" i="101"/>
  <c r="G15" i="101"/>
  <c r="L14" i="101"/>
  <c r="K14" i="101"/>
  <c r="I14" i="101"/>
  <c r="H14" i="101"/>
  <c r="G14" i="101"/>
  <c r="L13" i="101"/>
  <c r="K13" i="101"/>
  <c r="I13" i="101"/>
  <c r="H13" i="101"/>
  <c r="G13" i="101"/>
  <c r="L12" i="101"/>
  <c r="K12" i="101"/>
  <c r="K33" i="101" s="1"/>
  <c r="I12" i="101"/>
  <c r="H12" i="101"/>
  <c r="G12" i="101"/>
  <c r="L11" i="101"/>
  <c r="K11" i="101"/>
  <c r="J11" i="101"/>
  <c r="I11" i="101"/>
  <c r="H11" i="101"/>
  <c r="G11" i="101"/>
  <c r="E24" i="100"/>
  <c r="K21" i="100" s="1"/>
  <c r="F24" i="100"/>
  <c r="L18" i="100" s="1"/>
  <c r="I20" i="100"/>
  <c r="G17" i="100"/>
  <c r="G11" i="100"/>
  <c r="D24" i="100"/>
  <c r="J11" i="100" s="1"/>
  <c r="C24" i="100"/>
  <c r="I22" i="100"/>
  <c r="H22" i="100"/>
  <c r="G22" i="100"/>
  <c r="I21" i="100"/>
  <c r="H21" i="100"/>
  <c r="G21" i="100"/>
  <c r="H20" i="100"/>
  <c r="G20" i="100"/>
  <c r="I19" i="100"/>
  <c r="H19" i="100"/>
  <c r="G19" i="100"/>
  <c r="I18" i="100"/>
  <c r="H18" i="100"/>
  <c r="G18" i="100"/>
  <c r="I17" i="100"/>
  <c r="H17" i="100"/>
  <c r="I16" i="100"/>
  <c r="H16" i="100"/>
  <c r="G16" i="100"/>
  <c r="I15" i="100"/>
  <c r="H15" i="100"/>
  <c r="G15" i="100"/>
  <c r="I14" i="100"/>
  <c r="H14" i="100"/>
  <c r="G14" i="100"/>
  <c r="I13" i="100"/>
  <c r="H13" i="100"/>
  <c r="G13" i="100"/>
  <c r="I12" i="100"/>
  <c r="H12" i="100"/>
  <c r="G12" i="100"/>
  <c r="I11" i="100"/>
  <c r="H11" i="100"/>
  <c r="AC20" i="96"/>
  <c r="AC12" i="96"/>
  <c r="Z12" i="96"/>
  <c r="Y11" i="96"/>
  <c r="W26" i="96"/>
  <c r="Q26" i="96"/>
  <c r="O11" i="96"/>
  <c r="T26" i="96"/>
  <c r="W25" i="96"/>
  <c r="V25" i="96"/>
  <c r="U25" i="96"/>
  <c r="T25" i="96"/>
  <c r="S25" i="96"/>
  <c r="R25" i="96"/>
  <c r="Q25" i="96"/>
  <c r="P25" i="96"/>
  <c r="O25" i="96"/>
  <c r="W24" i="96"/>
  <c r="V24" i="96"/>
  <c r="U24" i="96"/>
  <c r="T24" i="96"/>
  <c r="S24" i="96"/>
  <c r="R24" i="96"/>
  <c r="Q24" i="96"/>
  <c r="P24" i="96"/>
  <c r="O24" i="96"/>
  <c r="W23" i="96"/>
  <c r="V23" i="96"/>
  <c r="U23" i="96"/>
  <c r="T23" i="96"/>
  <c r="S23" i="96"/>
  <c r="R23" i="96"/>
  <c r="Q23" i="96"/>
  <c r="P23" i="96"/>
  <c r="O23" i="96"/>
  <c r="W22" i="96"/>
  <c r="V22" i="96"/>
  <c r="U22" i="96"/>
  <c r="T22" i="96"/>
  <c r="S22" i="96"/>
  <c r="R22" i="96"/>
  <c r="Q22" i="96"/>
  <c r="P22" i="96"/>
  <c r="O22" i="96"/>
  <c r="W21" i="96"/>
  <c r="V21" i="96"/>
  <c r="U21" i="96"/>
  <c r="T21" i="96"/>
  <c r="S21" i="96"/>
  <c r="R21" i="96"/>
  <c r="Q21" i="96"/>
  <c r="P21" i="96"/>
  <c r="O21" i="96"/>
  <c r="W20" i="96"/>
  <c r="V20" i="96"/>
  <c r="U20" i="96"/>
  <c r="T20" i="96"/>
  <c r="S20" i="96"/>
  <c r="R20" i="96"/>
  <c r="Q20" i="96"/>
  <c r="P20" i="96"/>
  <c r="O20" i="96"/>
  <c r="W19" i="96"/>
  <c r="V19" i="96"/>
  <c r="U19" i="96"/>
  <c r="T19" i="96"/>
  <c r="S19" i="96"/>
  <c r="R19" i="96"/>
  <c r="Q19" i="96"/>
  <c r="P19" i="96"/>
  <c r="O19" i="96"/>
  <c r="W18" i="96"/>
  <c r="V18" i="96"/>
  <c r="U18" i="96"/>
  <c r="T18" i="96"/>
  <c r="S18" i="96"/>
  <c r="R18" i="96"/>
  <c r="Q18" i="96"/>
  <c r="P18" i="96"/>
  <c r="O18" i="96"/>
  <c r="W17" i="96"/>
  <c r="V17" i="96"/>
  <c r="U17" i="96"/>
  <c r="T17" i="96"/>
  <c r="S17" i="96"/>
  <c r="R17" i="96"/>
  <c r="Q17" i="96"/>
  <c r="P17" i="96"/>
  <c r="O17" i="96"/>
  <c r="W16" i="96"/>
  <c r="V16" i="96"/>
  <c r="U16" i="96"/>
  <c r="T16" i="96"/>
  <c r="S16" i="96"/>
  <c r="R16" i="96"/>
  <c r="Q16" i="96"/>
  <c r="P16" i="96"/>
  <c r="O16" i="96"/>
  <c r="W15" i="96"/>
  <c r="V15" i="96"/>
  <c r="U15" i="96"/>
  <c r="T15" i="96"/>
  <c r="S15" i="96"/>
  <c r="R15" i="96"/>
  <c r="Q15" i="96"/>
  <c r="P15" i="96"/>
  <c r="O15" i="96"/>
  <c r="W14" i="96"/>
  <c r="V14" i="96"/>
  <c r="U14" i="96"/>
  <c r="T14" i="96"/>
  <c r="S14" i="96"/>
  <c r="R14" i="96"/>
  <c r="Q14" i="96"/>
  <c r="P14" i="96"/>
  <c r="O14" i="96"/>
  <c r="W13" i="96"/>
  <c r="V13" i="96"/>
  <c r="U13" i="96"/>
  <c r="T13" i="96"/>
  <c r="S13" i="96"/>
  <c r="R13" i="96"/>
  <c r="Q13" i="96"/>
  <c r="P13" i="96"/>
  <c r="O13" i="96"/>
  <c r="W12" i="96"/>
  <c r="V12" i="96"/>
  <c r="U12" i="96"/>
  <c r="T12" i="96"/>
  <c r="S12" i="96"/>
  <c r="R12" i="96"/>
  <c r="Q12" i="96"/>
  <c r="P12" i="96"/>
  <c r="O12" i="96"/>
  <c r="W11" i="96"/>
  <c r="V11" i="96"/>
  <c r="U11" i="96"/>
  <c r="T11" i="96"/>
  <c r="S11" i="96"/>
  <c r="R11" i="96"/>
  <c r="Q11" i="96"/>
  <c r="P11" i="96"/>
  <c r="N28" i="96"/>
  <c r="AF26" i="96" s="1"/>
  <c r="M28" i="96"/>
  <c r="AE26" i="96" s="1"/>
  <c r="L28" i="96"/>
  <c r="AD25" i="96" s="1"/>
  <c r="K28" i="96"/>
  <c r="AC25" i="96" s="1"/>
  <c r="J28" i="96"/>
  <c r="AB24" i="96" s="1"/>
  <c r="I28" i="96"/>
  <c r="AA24" i="96" s="1"/>
  <c r="H28" i="96"/>
  <c r="Z26" i="96" s="1"/>
  <c r="G28" i="96"/>
  <c r="Y26" i="96" s="1"/>
  <c r="F28" i="96"/>
  <c r="X26" i="96" s="1"/>
  <c r="E28" i="96"/>
  <c r="D28" i="96"/>
  <c r="C28" i="96"/>
  <c r="L22" i="100" l="1"/>
  <c r="J33" i="119"/>
  <c r="K33" i="119"/>
  <c r="Y15" i="96"/>
  <c r="AE13" i="96"/>
  <c r="AE21" i="96"/>
  <c r="AF20" i="96"/>
  <c r="Z16" i="96"/>
  <c r="AB14" i="96"/>
  <c r="AB22" i="96"/>
  <c r="AF12" i="96"/>
  <c r="X11" i="96"/>
  <c r="Y19" i="96"/>
  <c r="AC16" i="96"/>
  <c r="AC24" i="96"/>
  <c r="X14" i="96"/>
  <c r="Z20" i="96"/>
  <c r="AF16" i="96"/>
  <c r="AF24" i="96"/>
  <c r="X19" i="96"/>
  <c r="Y23" i="96"/>
  <c r="AE17" i="96"/>
  <c r="AE25" i="96"/>
  <c r="X22" i="96"/>
  <c r="Z24" i="96"/>
  <c r="AB18" i="96"/>
  <c r="AB26" i="96"/>
  <c r="X12" i="96"/>
  <c r="X20" i="96"/>
  <c r="Z11" i="96"/>
  <c r="Z15" i="96"/>
  <c r="Z19" i="96"/>
  <c r="Z23" i="96"/>
  <c r="AB11" i="96"/>
  <c r="AD12" i="96"/>
  <c r="AF13" i="96"/>
  <c r="AB15" i="96"/>
  <c r="AD16" i="96"/>
  <c r="AF17" i="96"/>
  <c r="AB19" i="96"/>
  <c r="AD20" i="96"/>
  <c r="AF21" i="96"/>
  <c r="AB23" i="96"/>
  <c r="AD24" i="96"/>
  <c r="AF25" i="96"/>
  <c r="X13" i="96"/>
  <c r="X21" i="96"/>
  <c r="Y12" i="96"/>
  <c r="Y16" i="96"/>
  <c r="Y20" i="96"/>
  <c r="Y24" i="96"/>
  <c r="AC11" i="96"/>
  <c r="AE12" i="96"/>
  <c r="AE28" i="96" s="1"/>
  <c r="AA14" i="96"/>
  <c r="AC15" i="96"/>
  <c r="AE16" i="96"/>
  <c r="AA18" i="96"/>
  <c r="AC19" i="96"/>
  <c r="AE20" i="96"/>
  <c r="AA22" i="96"/>
  <c r="AC23" i="96"/>
  <c r="AE24" i="96"/>
  <c r="AA26" i="96"/>
  <c r="AA15" i="96"/>
  <c r="AA23" i="96"/>
  <c r="X15" i="96"/>
  <c r="X23" i="96"/>
  <c r="Y13" i="96"/>
  <c r="Y17" i="96"/>
  <c r="Y21" i="96"/>
  <c r="Y25" i="96"/>
  <c r="AE11" i="96"/>
  <c r="AA13" i="96"/>
  <c r="AC14" i="96"/>
  <c r="AE15" i="96"/>
  <c r="AA17" i="96"/>
  <c r="AC18" i="96"/>
  <c r="AE19" i="96"/>
  <c r="AA21" i="96"/>
  <c r="AC22" i="96"/>
  <c r="AE23" i="96"/>
  <c r="AA25" i="96"/>
  <c r="AC26" i="96"/>
  <c r="AA19" i="96"/>
  <c r="AD19" i="96"/>
  <c r="X16" i="96"/>
  <c r="X24" i="96"/>
  <c r="Z13" i="96"/>
  <c r="Z17" i="96"/>
  <c r="Z21" i="96"/>
  <c r="Z25" i="96"/>
  <c r="AF11" i="96"/>
  <c r="AB13" i="96"/>
  <c r="AD14" i="96"/>
  <c r="AF15" i="96"/>
  <c r="AB17" i="96"/>
  <c r="AD18" i="96"/>
  <c r="AF19" i="96"/>
  <c r="AB21" i="96"/>
  <c r="AD22" i="96"/>
  <c r="AF23" i="96"/>
  <c r="AB25" i="96"/>
  <c r="AD26" i="96"/>
  <c r="AA11" i="96"/>
  <c r="X17" i="96"/>
  <c r="X25" i="96"/>
  <c r="Y14" i="96"/>
  <c r="Y18" i="96"/>
  <c r="Y22" i="96"/>
  <c r="AA12" i="96"/>
  <c r="AC13" i="96"/>
  <c r="AE14" i="96"/>
  <c r="AA16" i="96"/>
  <c r="AC17" i="96"/>
  <c r="AE18" i="96"/>
  <c r="AA20" i="96"/>
  <c r="AC21" i="96"/>
  <c r="AE22" i="96"/>
  <c r="AD11" i="96"/>
  <c r="AD15" i="96"/>
  <c r="AD23" i="96"/>
  <c r="X18" i="96"/>
  <c r="Z14" i="96"/>
  <c r="Z18" i="96"/>
  <c r="Z22" i="96"/>
  <c r="AB12" i="96"/>
  <c r="AD13" i="96"/>
  <c r="AF14" i="96"/>
  <c r="AB16" i="96"/>
  <c r="AD17" i="96"/>
  <c r="AF18" i="96"/>
  <c r="AB20" i="96"/>
  <c r="AD21" i="96"/>
  <c r="AF22" i="96"/>
  <c r="K24" i="132"/>
  <c r="M24" i="132"/>
  <c r="L24" i="132"/>
  <c r="L33" i="115"/>
  <c r="L33" i="111"/>
  <c r="K33" i="111"/>
  <c r="L33" i="108"/>
  <c r="J33" i="108"/>
  <c r="K33" i="108"/>
  <c r="J28" i="106"/>
  <c r="J18" i="106"/>
  <c r="J14" i="106"/>
  <c r="J24" i="106"/>
  <c r="J27" i="106"/>
  <c r="J13" i="106"/>
  <c r="J20" i="106"/>
  <c r="J23" i="106"/>
  <c r="J30" i="106"/>
  <c r="J26" i="106"/>
  <c r="J12" i="106"/>
  <c r="J33" i="106" s="1"/>
  <c r="J16" i="106"/>
  <c r="J19" i="106"/>
  <c r="J22" i="106"/>
  <c r="J17" i="106"/>
  <c r="L18" i="106"/>
  <c r="J21" i="106"/>
  <c r="L22" i="106"/>
  <c r="L33" i="106" s="1"/>
  <c r="J25" i="106"/>
  <c r="L26" i="106"/>
  <c r="L13" i="104"/>
  <c r="L17" i="104"/>
  <c r="J33" i="104"/>
  <c r="L12" i="104"/>
  <c r="L16" i="104"/>
  <c r="L20" i="104"/>
  <c r="L24" i="104"/>
  <c r="L28" i="104"/>
  <c r="L21" i="104"/>
  <c r="L25" i="104"/>
  <c r="L11" i="104"/>
  <c r="L15" i="104"/>
  <c r="L19" i="104"/>
  <c r="L23" i="104"/>
  <c r="L27" i="104"/>
  <c r="L26" i="104"/>
  <c r="L30" i="104"/>
  <c r="L29" i="104"/>
  <c r="L33" i="103"/>
  <c r="J14" i="103"/>
  <c r="J18" i="103"/>
  <c r="J22" i="103"/>
  <c r="J26" i="103"/>
  <c r="J30" i="103"/>
  <c r="K13" i="103"/>
  <c r="K17" i="103"/>
  <c r="K21" i="103"/>
  <c r="K25" i="103"/>
  <c r="K29" i="103"/>
  <c r="J17" i="103"/>
  <c r="J21" i="103"/>
  <c r="J25" i="103"/>
  <c r="J12" i="103"/>
  <c r="J16" i="103"/>
  <c r="J20" i="103"/>
  <c r="J24" i="103"/>
  <c r="J28" i="103"/>
  <c r="J29" i="103"/>
  <c r="K12" i="103"/>
  <c r="K33" i="103" s="1"/>
  <c r="K16" i="103"/>
  <c r="K20" i="103"/>
  <c r="K24" i="103"/>
  <c r="K28" i="103"/>
  <c r="J13" i="103"/>
  <c r="J11" i="103"/>
  <c r="J15" i="103"/>
  <c r="J19" i="103"/>
  <c r="J23" i="103"/>
  <c r="L14" i="102"/>
  <c r="L30" i="102"/>
  <c r="K22" i="102"/>
  <c r="L22" i="102"/>
  <c r="K14" i="102"/>
  <c r="K30" i="102"/>
  <c r="J17" i="102"/>
  <c r="J21" i="102"/>
  <c r="J25" i="102"/>
  <c r="K13" i="102"/>
  <c r="K17" i="102"/>
  <c r="K21" i="102"/>
  <c r="K29" i="102"/>
  <c r="J16" i="102"/>
  <c r="L17" i="102"/>
  <c r="J20" i="102"/>
  <c r="J24" i="102"/>
  <c r="L25" i="102"/>
  <c r="J28" i="102"/>
  <c r="K20" i="102"/>
  <c r="K28" i="102"/>
  <c r="J11" i="102"/>
  <c r="L12" i="102"/>
  <c r="J15" i="102"/>
  <c r="L16" i="102"/>
  <c r="J19" i="102"/>
  <c r="L20" i="102"/>
  <c r="J23" i="102"/>
  <c r="L24" i="102"/>
  <c r="J27" i="102"/>
  <c r="L28" i="102"/>
  <c r="K31" i="102"/>
  <c r="K11" i="102"/>
  <c r="K15" i="102"/>
  <c r="K19" i="102"/>
  <c r="K23" i="102"/>
  <c r="K27" i="102"/>
  <c r="L31" i="102"/>
  <c r="J13" i="102"/>
  <c r="J29" i="102"/>
  <c r="K25" i="102"/>
  <c r="J12" i="102"/>
  <c r="L13" i="102"/>
  <c r="L21" i="102"/>
  <c r="L29" i="102"/>
  <c r="K12" i="102"/>
  <c r="K16" i="102"/>
  <c r="L11" i="102"/>
  <c r="J14" i="102"/>
  <c r="L15" i="102"/>
  <c r="J18" i="102"/>
  <c r="L19" i="102"/>
  <c r="J22" i="102"/>
  <c r="L23" i="102"/>
  <c r="J26" i="102"/>
  <c r="L31" i="101"/>
  <c r="L33" i="101" s="1"/>
  <c r="J14" i="101"/>
  <c r="J18" i="101"/>
  <c r="J22" i="101"/>
  <c r="J26" i="101"/>
  <c r="J30" i="101"/>
  <c r="J13" i="101"/>
  <c r="J17" i="101"/>
  <c r="J21" i="101"/>
  <c r="J25" i="101"/>
  <c r="J29" i="101"/>
  <c r="J12" i="101"/>
  <c r="J33" i="101" s="1"/>
  <c r="J16" i="101"/>
  <c r="J20" i="101"/>
  <c r="J24" i="101"/>
  <c r="J13" i="100"/>
  <c r="J15" i="100"/>
  <c r="J19" i="100"/>
  <c r="J14" i="100"/>
  <c r="K14" i="100"/>
  <c r="J18" i="100"/>
  <c r="J20" i="100"/>
  <c r="J22" i="100"/>
  <c r="J17" i="100"/>
  <c r="J21" i="100"/>
  <c r="J12" i="100"/>
  <c r="L14" i="100"/>
  <c r="J16" i="100"/>
  <c r="K22" i="100"/>
  <c r="K18" i="100"/>
  <c r="K13" i="100"/>
  <c r="K17" i="100"/>
  <c r="L13" i="100"/>
  <c r="L17" i="100"/>
  <c r="L21" i="100"/>
  <c r="K12" i="100"/>
  <c r="K16" i="100"/>
  <c r="L12" i="100"/>
  <c r="L16" i="100"/>
  <c r="L20" i="100"/>
  <c r="K11" i="100"/>
  <c r="K15" i="100"/>
  <c r="K19" i="100"/>
  <c r="K20" i="100"/>
  <c r="L11" i="100"/>
  <c r="L15" i="100"/>
  <c r="L19" i="100"/>
  <c r="X28" i="96" l="1"/>
  <c r="AB28" i="96"/>
  <c r="AC28" i="96"/>
  <c r="AD28" i="96"/>
  <c r="AA28" i="96"/>
  <c r="AF28" i="96"/>
  <c r="L33" i="104"/>
  <c r="J33" i="103"/>
  <c r="L33" i="102"/>
  <c r="J33" i="102"/>
  <c r="K33" i="102"/>
  <c r="K24" i="100"/>
  <c r="J24" i="100"/>
  <c r="L24" i="100"/>
  <c r="Z28" i="96"/>
  <c r="Y28" i="96"/>
  <c r="I31" i="50" l="1"/>
  <c r="H31" i="50"/>
  <c r="G31" i="50"/>
  <c r="I30" i="50"/>
  <c r="H30" i="50"/>
  <c r="G30" i="50"/>
  <c r="I29" i="50"/>
  <c r="H29" i="50"/>
  <c r="G29" i="50"/>
  <c r="I28" i="50"/>
  <c r="H28" i="50"/>
  <c r="G28" i="50"/>
  <c r="I27" i="50"/>
  <c r="H27" i="50"/>
  <c r="G27" i="50"/>
  <c r="I26" i="50"/>
  <c r="H26" i="50"/>
  <c r="G26" i="50"/>
  <c r="I25" i="50"/>
  <c r="H25" i="50"/>
  <c r="G25" i="50"/>
  <c r="I24" i="50"/>
  <c r="H24" i="50"/>
  <c r="G24" i="50"/>
  <c r="I23" i="50"/>
  <c r="H23" i="50"/>
  <c r="G23" i="50"/>
  <c r="I22" i="50"/>
  <c r="H22" i="50"/>
  <c r="G22" i="50"/>
  <c r="I21" i="50"/>
  <c r="H21" i="50"/>
  <c r="G21" i="50"/>
  <c r="I20" i="50"/>
  <c r="H20" i="50"/>
  <c r="G20" i="50"/>
  <c r="I19" i="50"/>
  <c r="H19" i="50"/>
  <c r="G19" i="50"/>
  <c r="I18" i="50"/>
  <c r="H18" i="50"/>
  <c r="G18" i="50"/>
  <c r="I17" i="50"/>
  <c r="H17" i="50"/>
  <c r="G17" i="50"/>
  <c r="I16" i="50"/>
  <c r="H16" i="50"/>
  <c r="G16" i="50"/>
  <c r="I15" i="50"/>
  <c r="H15" i="50"/>
  <c r="G15" i="50"/>
  <c r="I14" i="50"/>
  <c r="H14" i="50"/>
  <c r="G14" i="50"/>
  <c r="I13" i="50"/>
  <c r="H13" i="50"/>
  <c r="G13" i="50"/>
  <c r="I12" i="50"/>
  <c r="H12" i="50"/>
  <c r="G12" i="50"/>
  <c r="I11" i="50"/>
  <c r="H11" i="50"/>
  <c r="G11" i="50"/>
  <c r="I21" i="72"/>
  <c r="G21" i="72"/>
  <c r="H21" i="72"/>
  <c r="I20" i="72"/>
  <c r="H20" i="72"/>
  <c r="G20" i="72"/>
  <c r="I19" i="72"/>
  <c r="H19" i="72"/>
  <c r="G19" i="72"/>
  <c r="I18" i="72"/>
  <c r="H18" i="72"/>
  <c r="G18" i="72"/>
  <c r="I17" i="72"/>
  <c r="H17" i="72"/>
  <c r="G17" i="72"/>
  <c r="I16" i="72"/>
  <c r="H16" i="72"/>
  <c r="G16" i="72"/>
  <c r="I15" i="72"/>
  <c r="H15" i="72"/>
  <c r="G15" i="72"/>
  <c r="I14" i="72"/>
  <c r="H14" i="72"/>
  <c r="G14" i="72"/>
  <c r="I13" i="72"/>
  <c r="H13" i="72"/>
  <c r="G13" i="72"/>
  <c r="I12" i="72"/>
  <c r="H12" i="72"/>
  <c r="G12" i="72"/>
  <c r="I11" i="72"/>
  <c r="H11" i="72"/>
  <c r="G11" i="72"/>
  <c r="I25" i="13"/>
  <c r="I24" i="13"/>
  <c r="I23" i="13"/>
  <c r="I22" i="13"/>
  <c r="I21" i="13"/>
  <c r="I20" i="13"/>
  <c r="I19" i="13"/>
  <c r="I18" i="13"/>
  <c r="I17" i="13"/>
  <c r="I16" i="13"/>
  <c r="I15" i="13"/>
  <c r="I14" i="13"/>
  <c r="I13" i="13"/>
  <c r="I12" i="13"/>
  <c r="I11" i="13"/>
  <c r="H25" i="13"/>
  <c r="H24" i="13"/>
  <c r="H23" i="13"/>
  <c r="H22" i="13"/>
  <c r="H21" i="13"/>
  <c r="H20" i="13"/>
  <c r="H19" i="13"/>
  <c r="H18" i="13"/>
  <c r="H17" i="13"/>
  <c r="H16" i="13"/>
  <c r="H15" i="13"/>
  <c r="H14" i="13"/>
  <c r="H13" i="13"/>
  <c r="H12" i="13"/>
  <c r="H11" i="13"/>
  <c r="G25" i="13"/>
  <c r="G24" i="13"/>
  <c r="G23" i="13"/>
  <c r="G22" i="13"/>
  <c r="G21" i="13"/>
  <c r="G20" i="13"/>
  <c r="G19" i="13"/>
  <c r="G18" i="13"/>
  <c r="G17" i="13"/>
  <c r="G16" i="13"/>
  <c r="G15" i="13"/>
  <c r="G14" i="13"/>
  <c r="G13" i="13"/>
  <c r="G12" i="13"/>
  <c r="G11" i="13"/>
  <c r="F23" i="72" l="1"/>
  <c r="L20" i="72" s="1"/>
  <c r="E23" i="72"/>
  <c r="K17" i="72" s="1"/>
  <c r="D23" i="72"/>
  <c r="J16" i="72" s="1"/>
  <c r="C23" i="72"/>
  <c r="J20" i="72" l="1"/>
  <c r="J15" i="72"/>
  <c r="J11" i="72"/>
  <c r="J13" i="72"/>
  <c r="K11" i="72"/>
  <c r="J18" i="72"/>
  <c r="K19" i="72"/>
  <c r="J21" i="72"/>
  <c r="K15" i="72"/>
  <c r="J17" i="72"/>
  <c r="J19" i="72"/>
  <c r="J12" i="72"/>
  <c r="J14" i="72"/>
  <c r="L11" i="72"/>
  <c r="L15" i="72"/>
  <c r="L17" i="72"/>
  <c r="L19" i="72"/>
  <c r="K14" i="72"/>
  <c r="K16" i="72"/>
  <c r="K21" i="72"/>
  <c r="L14" i="72"/>
  <c r="L16" i="72"/>
  <c r="L21" i="72"/>
  <c r="K13" i="72"/>
  <c r="K18" i="72"/>
  <c r="L13" i="72"/>
  <c r="L18" i="72"/>
  <c r="K12" i="72"/>
  <c r="K20" i="72"/>
  <c r="L12" i="72"/>
  <c r="L23" i="72" l="1"/>
  <c r="J23" i="72"/>
  <c r="K23" i="72"/>
  <c r="D33" i="50" l="1"/>
  <c r="J24" i="50" s="1"/>
  <c r="F33" i="50"/>
  <c r="L28" i="50" s="1"/>
  <c r="E33" i="50"/>
  <c r="K25" i="50" s="1"/>
  <c r="C33" i="50"/>
  <c r="K15" i="50" l="1"/>
  <c r="J16" i="50"/>
  <c r="K23" i="50"/>
  <c r="K27" i="50"/>
  <c r="J29" i="50"/>
  <c r="J23" i="50"/>
  <c r="J15" i="50"/>
  <c r="J27" i="50"/>
  <c r="J21" i="50"/>
  <c r="J13" i="50"/>
  <c r="J11" i="50"/>
  <c r="J20" i="50"/>
  <c r="J22" i="50"/>
  <c r="J30" i="50"/>
  <c r="J12" i="50"/>
  <c r="J14" i="50"/>
  <c r="J18" i="50"/>
  <c r="L19" i="50"/>
  <c r="L11" i="50"/>
  <c r="L14" i="50"/>
  <c r="L26" i="50"/>
  <c r="K11" i="50"/>
  <c r="K19" i="50"/>
  <c r="J26" i="50"/>
  <c r="J17" i="50"/>
  <c r="J19" i="50"/>
  <c r="J25" i="50"/>
  <c r="J28" i="50"/>
  <c r="L13" i="50"/>
  <c r="L18" i="50"/>
  <c r="L23" i="50"/>
  <c r="L30" i="50"/>
  <c r="L15" i="50"/>
  <c r="L22" i="50"/>
  <c r="L27" i="50"/>
  <c r="K21" i="50"/>
  <c r="L17" i="50"/>
  <c r="L31" i="50"/>
  <c r="K12" i="50"/>
  <c r="K16" i="50"/>
  <c r="K20" i="50"/>
  <c r="K24" i="50"/>
  <c r="K28" i="50"/>
  <c r="K13" i="50"/>
  <c r="K17" i="50"/>
  <c r="K29" i="50"/>
  <c r="K31" i="50"/>
  <c r="L21" i="50"/>
  <c r="L25" i="50"/>
  <c r="L29" i="50"/>
  <c r="L12" i="50"/>
  <c r="L16" i="50"/>
  <c r="L20" i="50"/>
  <c r="L24" i="50"/>
  <c r="K14" i="50"/>
  <c r="K18" i="50"/>
  <c r="K22" i="50"/>
  <c r="K26" i="50"/>
  <c r="K30" i="50"/>
  <c r="L33" i="50" l="1"/>
  <c r="K33" i="50"/>
  <c r="J33" i="50"/>
  <c r="C27" i="13" l="1"/>
  <c r="F27" i="13" l="1"/>
  <c r="L24" i="13" s="1"/>
  <c r="E27" i="13"/>
  <c r="K24" i="13" s="1"/>
  <c r="D27" i="13"/>
  <c r="J23" i="13" s="1"/>
  <c r="J13" i="13" l="1"/>
  <c r="J11" i="13"/>
  <c r="J21" i="13"/>
  <c r="J19" i="13"/>
  <c r="J17" i="13"/>
  <c r="J15" i="13"/>
  <c r="L12" i="13"/>
  <c r="L23" i="13"/>
  <c r="L15" i="13"/>
  <c r="L17" i="13"/>
  <c r="J14" i="13"/>
  <c r="L25" i="13"/>
  <c r="J20" i="13"/>
  <c r="K20" i="13"/>
  <c r="J25" i="13"/>
  <c r="L14" i="13"/>
  <c r="K19" i="13"/>
  <c r="L22" i="13"/>
  <c r="K11" i="13"/>
  <c r="L16" i="13"/>
  <c r="L19" i="13"/>
  <c r="L13" i="13"/>
  <c r="L18" i="13"/>
  <c r="K21" i="13"/>
  <c r="L11" i="13"/>
  <c r="K18" i="13"/>
  <c r="L21" i="13"/>
  <c r="K23" i="13"/>
  <c r="J18" i="13"/>
  <c r="J22" i="13"/>
  <c r="J12" i="13"/>
  <c r="J16" i="13"/>
  <c r="J24" i="13"/>
  <c r="K12" i="13"/>
  <c r="K13" i="13"/>
  <c r="K22" i="13"/>
  <c r="K14" i="13"/>
  <c r="K15" i="13"/>
  <c r="K16" i="13"/>
  <c r="K17" i="13"/>
  <c r="K25" i="13"/>
  <c r="L20" i="13"/>
  <c r="K27" i="13" l="1"/>
  <c r="J27" i="13"/>
  <c r="L27"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Armelle GRUERE</author>
  </authors>
  <commentList>
    <comment ref="H19" authorId="0" shapeId="0" xr:uid="{2EBC37A9-74F4-4EED-86E6-C97680BD99FA}">
      <text>
        <r>
          <rPr>
            <b/>
            <sz val="9"/>
            <color indexed="81"/>
            <rFont val="Tahoma"/>
            <family val="2"/>
          </rPr>
          <t>Armelle GRUERE:</t>
        </r>
        <r>
          <rPr>
            <sz val="9"/>
            <color indexed="81"/>
            <rFont val="Tahoma"/>
            <family val="2"/>
          </rPr>
          <t xml:space="preserve">
Weifeng Zhang:
(6190 samples), 2010-2014</t>
        </r>
      </text>
    </comment>
    <comment ref="I19" authorId="0" shapeId="0" xr:uid="{B5556058-693B-43A5-A5D5-3B5E669B73DC}">
      <text>
        <r>
          <rPr>
            <b/>
            <sz val="9"/>
            <color indexed="81"/>
            <rFont val="Tahoma"/>
            <family val="2"/>
          </rPr>
          <t>Armelle GRUERE:</t>
        </r>
        <r>
          <rPr>
            <sz val="9"/>
            <color indexed="81"/>
            <rFont val="Tahoma"/>
            <family val="2"/>
          </rPr>
          <t xml:space="preserve">
Weifeng Zhang:
(6190 samples), 2010-2014</t>
        </r>
      </text>
    </comment>
    <comment ref="J19" authorId="0" shapeId="0" xr:uid="{6D6EF7A6-95DD-4339-9D81-CEF2D19BA518}">
      <text>
        <r>
          <rPr>
            <b/>
            <sz val="9"/>
            <color indexed="81"/>
            <rFont val="Tahoma"/>
            <family val="2"/>
          </rPr>
          <t>Armelle GRUERE:</t>
        </r>
        <r>
          <rPr>
            <sz val="9"/>
            <color indexed="81"/>
            <rFont val="Tahoma"/>
            <family val="2"/>
          </rPr>
          <t xml:space="preserve">
Weifeng Zhang:
(6190 samples), 2010-2014</t>
        </r>
      </text>
    </comment>
    <comment ref="H20" authorId="0" shapeId="0" xr:uid="{455B60C7-73A8-4C1B-A86D-5AC39B98DA10}">
      <text>
        <r>
          <rPr>
            <b/>
            <sz val="9"/>
            <color indexed="81"/>
            <rFont val="Tahoma"/>
            <family val="2"/>
          </rPr>
          <t>Armelle GRUERE:</t>
        </r>
        <r>
          <rPr>
            <sz val="9"/>
            <color indexed="81"/>
            <rFont val="Tahoma"/>
            <family val="2"/>
          </rPr>
          <t xml:space="preserve">
Weifeng Zhang: 
(324 samples, mainly potato, few samples are sweet potato ), 2018,</t>
        </r>
      </text>
    </comment>
    <comment ref="I20" authorId="0" shapeId="0" xr:uid="{C64DFC27-DFB6-426E-A9C9-FD8C7622283A}">
      <text>
        <r>
          <rPr>
            <b/>
            <sz val="9"/>
            <color indexed="81"/>
            <rFont val="Tahoma"/>
            <family val="2"/>
          </rPr>
          <t>Armelle GRUERE:</t>
        </r>
        <r>
          <rPr>
            <sz val="9"/>
            <color indexed="81"/>
            <rFont val="Tahoma"/>
            <family val="2"/>
          </rPr>
          <t xml:space="preserve">
Weifeng Zhang: 
(324 samples, mainly potato, few samples are sweet potato ), 2018,</t>
        </r>
      </text>
    </comment>
    <comment ref="J20" authorId="0" shapeId="0" xr:uid="{BFC4F0F6-79C8-4748-B4CE-484C40BE2872}">
      <text>
        <r>
          <rPr>
            <b/>
            <sz val="9"/>
            <color indexed="81"/>
            <rFont val="Tahoma"/>
            <family val="2"/>
          </rPr>
          <t>Armelle GRUERE:</t>
        </r>
        <r>
          <rPr>
            <sz val="9"/>
            <color indexed="81"/>
            <rFont val="Tahoma"/>
            <family val="2"/>
          </rPr>
          <t xml:space="preserve">
Weifeng Zhang: 
(324 samples, mainly potato, few samples are sweet potato ), 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Armelle GRUERE</author>
  </authors>
  <commentList>
    <comment ref="D26" authorId="0" shapeId="0" xr:uid="{CBD99E8C-607C-4945-9D32-9A260652DDBD}">
      <text>
        <r>
          <rPr>
            <sz val="9"/>
            <color indexed="81"/>
            <rFont val="Tahoma"/>
            <family val="2"/>
          </rPr>
          <t>To the total area of plantations.</t>
        </r>
      </text>
    </comment>
  </commentList>
</comments>
</file>

<file path=xl/sharedStrings.xml><?xml version="1.0" encoding="utf-8"?>
<sst xmlns="http://schemas.openxmlformats.org/spreadsheetml/2006/main" count="3513" uniqueCount="447">
  <si>
    <t>%</t>
  </si>
  <si>
    <t>2017/18</t>
  </si>
  <si>
    <t>2018/19</t>
  </si>
  <si>
    <t>Wheat</t>
  </si>
  <si>
    <t xml:space="preserve">Rice </t>
  </si>
  <si>
    <t>Other Cereals</t>
  </si>
  <si>
    <t>Soybeans</t>
  </si>
  <si>
    <t>Tea</t>
  </si>
  <si>
    <t>Roots &amp; Tubers</t>
  </si>
  <si>
    <t>Vegetables</t>
  </si>
  <si>
    <t>Grassland</t>
  </si>
  <si>
    <t>Flowers</t>
  </si>
  <si>
    <t>Residual</t>
  </si>
  <si>
    <t>Total</t>
  </si>
  <si>
    <t>Metric tonnes of nutrients</t>
  </si>
  <si>
    <t>2016/17</t>
  </si>
  <si>
    <t>Rice</t>
  </si>
  <si>
    <t>-</t>
  </si>
  <si>
    <t>Rapeseed/Canola</t>
  </si>
  <si>
    <t>Other Oil Crops</t>
  </si>
  <si>
    <t>Fruits &amp; Treenuts</t>
  </si>
  <si>
    <t>Pulses</t>
  </si>
  <si>
    <t>Tame Hay</t>
  </si>
  <si>
    <t>2014/15</t>
  </si>
  <si>
    <t>2010/11</t>
  </si>
  <si>
    <t>Cotton</t>
  </si>
  <si>
    <t>Potato</t>
  </si>
  <si>
    <t>Barley</t>
  </si>
  <si>
    <t>Rye, triticale, oats, rice</t>
  </si>
  <si>
    <t>Grain maize, including corn cob maize</t>
  </si>
  <si>
    <t>Other cereal</t>
  </si>
  <si>
    <t xml:space="preserve">Oilseed rape </t>
  </si>
  <si>
    <t>Sunflower, soya, linseed</t>
  </si>
  <si>
    <t>Pulses (peas, beans)</t>
  </si>
  <si>
    <t>Sugar beet</t>
  </si>
  <si>
    <t>Other (including tobacco, poppy...)</t>
  </si>
  <si>
    <t>Fodder (legumes)</t>
  </si>
  <si>
    <t>Fodder (other)</t>
  </si>
  <si>
    <t>Silage maize</t>
  </si>
  <si>
    <t>Short rotation coppice</t>
  </si>
  <si>
    <t>Perenial herbaceous crops (Miscanthus, etc.)</t>
  </si>
  <si>
    <t>Maïze for biogas</t>
  </si>
  <si>
    <t>Permanent crops (fruit, vineyard)</t>
  </si>
  <si>
    <t>Fertilized forests</t>
  </si>
  <si>
    <t>Sugar Beet</t>
  </si>
  <si>
    <t>Fruits</t>
  </si>
  <si>
    <t>Amenity Horticulture</t>
  </si>
  <si>
    <t>Forestry</t>
  </si>
  <si>
    <t>Maize, Grain</t>
  </si>
  <si>
    <t>Maize, Green</t>
  </si>
  <si>
    <t>Other oil crops</t>
  </si>
  <si>
    <t>Maize Grain</t>
  </si>
  <si>
    <t>Maize Green</t>
  </si>
  <si>
    <t>Sugar, Beet</t>
  </si>
  <si>
    <t>Sugar, Cane</t>
  </si>
  <si>
    <t>Sugar Cane</t>
  </si>
  <si>
    <t>Rapeseed / Canola</t>
  </si>
  <si>
    <t>Coffee</t>
  </si>
  <si>
    <t>Orange</t>
  </si>
  <si>
    <t>Tobacco</t>
  </si>
  <si>
    <t>Commercial Forests</t>
  </si>
  <si>
    <t>Maize, Green (silage, bioenergy)</t>
  </si>
  <si>
    <t>Grassland (intensive)</t>
  </si>
  <si>
    <t>Grassland (extensive)</t>
  </si>
  <si>
    <t>Residuals</t>
  </si>
  <si>
    <t>Vineyards</t>
  </si>
  <si>
    <t>Lucerne</t>
  </si>
  <si>
    <t>Maize</t>
  </si>
  <si>
    <t>Maize, Total</t>
  </si>
  <si>
    <t xml:space="preserve">   Maize Grain</t>
  </si>
  <si>
    <t xml:space="preserve">   Maize, Green (silage, bioenergy)</t>
  </si>
  <si>
    <t>Sugar, Total</t>
  </si>
  <si>
    <t xml:space="preserve">   Sugar Beet</t>
  </si>
  <si>
    <t xml:space="preserve">   Sugar Cane</t>
  </si>
  <si>
    <t>* Natural perennial and annual grasses.</t>
  </si>
  <si>
    <t>** Forage crops being planted either annually or perennial.</t>
  </si>
  <si>
    <t>Rangeland*</t>
  </si>
  <si>
    <t>Cultivated Pastures**</t>
  </si>
  <si>
    <t>Grain Maize</t>
  </si>
  <si>
    <t>Green Maize</t>
  </si>
  <si>
    <t>Grassland (Dairy)</t>
  </si>
  <si>
    <t>Grassland (Sheep &amp; Beef )</t>
  </si>
  <si>
    <t>Grassland (Deer)</t>
  </si>
  <si>
    <t xml:space="preserve">Grain and other crops </t>
  </si>
  <si>
    <t>Grain mixed sheep &amp; Beef</t>
  </si>
  <si>
    <t>Vegetables (including root &amp; tuber veg)</t>
  </si>
  <si>
    <t>Oil Palm</t>
  </si>
  <si>
    <t>Jute</t>
  </si>
  <si>
    <t>Cocoa</t>
  </si>
  <si>
    <t>JAPAN</t>
  </si>
  <si>
    <t>The consumption estimates relate to mineral fertilizers only. 2017/18 refers to the period from July 2017 to June 2018 and 2018/19 refers to the period from July 2018 to June 2019.</t>
  </si>
  <si>
    <t xml:space="preserve"> Japan Fertilizer &amp; Ammonia Producers Association (JAFA)</t>
  </si>
  <si>
    <t>GERMANY</t>
  </si>
  <si>
    <t>Grassland area is the combination of fertilized grassland area and non-fertilized grassland area. In 2017/18, 85% of total grassland area was fertilized in Germany.</t>
  </si>
  <si>
    <t>Industrieverband Agrar (https://www.iva.de/)</t>
  </si>
  <si>
    <t>France</t>
  </si>
  <si>
    <t>Grassland area is the combination of fertilized grassland area and non-fertilized grassland area. In 2017/18, 80% of total grassland area was fertilized in France.</t>
  </si>
  <si>
    <t>UNIFA (https://www.unifa.fr/)</t>
  </si>
  <si>
    <t>Canada</t>
  </si>
  <si>
    <t>Fertilizer Canada (https://fertilizercanada.ca/)</t>
  </si>
  <si>
    <t>The consumption estimates relate to mineral fertilizers only. 2016/17 refers to the period from July 2016 to June 2017, 2017/18 refers to the period from July 2017 to June 2018, and 2018/19 refers to the period from July 2018 to June 2019.</t>
  </si>
  <si>
    <t>Argentina</t>
  </si>
  <si>
    <t>Fertilizar AC (https://fertilizar.org.ar/)</t>
  </si>
  <si>
    <t>The consumption estimates relate to mineral fertilizers only. 2018 refers to the period from January 2018 to December 2018.</t>
  </si>
  <si>
    <t>NEW ZEALAND</t>
  </si>
  <si>
    <t>The consumption estimates relate to mineral fertilizers only. 2016/17 refers to the period from June 2016 to May 2017.</t>
  </si>
  <si>
    <t>For the category ‘Grain and other crops', Statistics NZ estimated New Zealand’s total arable area as 490,000 ha for 2017, however this estimate included large areas for fodder crop for livestock. The area of Grain and other crops was aligned to estimates of the six main cereal crops (including oats) made by the Arable Industry Market Initiative.</t>
  </si>
  <si>
    <t>Fertilizer Association of New Zealand (https://www.fertiliser.org.nz/)</t>
  </si>
  <si>
    <t>PAKISTAN</t>
  </si>
  <si>
    <t>ENGRO (https://www.engro.com/)</t>
  </si>
  <si>
    <t>POLAND</t>
  </si>
  <si>
    <t>Grassland area is the combination of fertilized grassland area and non-fertilized grassland area. In 2017/18, 75% of total grassland area was fertilized in Poland.</t>
  </si>
  <si>
    <t>Statistics from Fertilizers Europe (https://www.fertilizerseurope.com), based on data provided by Professor Mariusz Matyka ad PhD Jerzy Kopiński, Institute of Soil Science and Plant Cultivation - State Research Institute in Puławy.</t>
  </si>
  <si>
    <t>Australia</t>
  </si>
  <si>
    <t>Austria</t>
  </si>
  <si>
    <t>Bangladesh</t>
  </si>
  <si>
    <t>Belarus</t>
  </si>
  <si>
    <t>Belgium</t>
  </si>
  <si>
    <t>Bolivia</t>
  </si>
  <si>
    <t>Brazil</t>
  </si>
  <si>
    <t>Bulgaria</t>
  </si>
  <si>
    <t>Burkina Faso</t>
  </si>
  <si>
    <t>Chile</t>
  </si>
  <si>
    <t>Cyprus</t>
  </si>
  <si>
    <t>Denmark</t>
  </si>
  <si>
    <t>Egypt</t>
  </si>
  <si>
    <t>Estonia</t>
  </si>
  <si>
    <t>Finland</t>
  </si>
  <si>
    <t>Germany</t>
  </si>
  <si>
    <t>Greece</t>
  </si>
  <si>
    <t>Hungary</t>
  </si>
  <si>
    <t>India</t>
  </si>
  <si>
    <t>Indonesia</t>
  </si>
  <si>
    <t>Iran</t>
  </si>
  <si>
    <t>Israel</t>
  </si>
  <si>
    <t>Italy</t>
  </si>
  <si>
    <t>Japan</t>
  </si>
  <si>
    <t>Latvia</t>
  </si>
  <si>
    <t>Lithuania</t>
  </si>
  <si>
    <t>Malaysia</t>
  </si>
  <si>
    <t>Mali</t>
  </si>
  <si>
    <t>Mexico</t>
  </si>
  <si>
    <t>Morocco</t>
  </si>
  <si>
    <t>Myanmar</t>
  </si>
  <si>
    <t>Netherlands</t>
  </si>
  <si>
    <t>New Zealand</t>
  </si>
  <si>
    <t>Nigeria</t>
  </si>
  <si>
    <t>Norway</t>
  </si>
  <si>
    <t>Pakistan</t>
  </si>
  <si>
    <t>Paraguay</t>
  </si>
  <si>
    <t>Philippines</t>
  </si>
  <si>
    <t>Poland</t>
  </si>
  <si>
    <t>Portugal</t>
  </si>
  <si>
    <t>Romania</t>
  </si>
  <si>
    <t>Russia</t>
  </si>
  <si>
    <t>Senegal</t>
  </si>
  <si>
    <t>Slovakia</t>
  </si>
  <si>
    <t>Slovenia</t>
  </si>
  <si>
    <t>South Africa</t>
  </si>
  <si>
    <t>Spain</t>
  </si>
  <si>
    <t>Sweden</t>
  </si>
  <si>
    <t>Tanzania</t>
  </si>
  <si>
    <t>Thailand</t>
  </si>
  <si>
    <t>Turkey</t>
  </si>
  <si>
    <t>Ukraine</t>
  </si>
  <si>
    <t>United Kingdom</t>
  </si>
  <si>
    <t>United States</t>
  </si>
  <si>
    <t>Uruguay</t>
  </si>
  <si>
    <t>Vietnam</t>
  </si>
  <si>
    <t>SPAIN</t>
  </si>
  <si>
    <t>Grassland area is the combination of fertilized grassland area and non-fertilized grassland area. In 2017/18, 4% of total grassland area was fertilized in Spain.</t>
  </si>
  <si>
    <t>UNITED KINGDOM</t>
  </si>
  <si>
    <t>Grassland area is the combination of fertilized grassland area and non-fertilized grassland area. In 2017/18, 53% of total grassland area was fertilized in the UK.</t>
  </si>
  <si>
    <t>Chris Dawson, for the Agricultural Industries Confederation (AIC).</t>
  </si>
  <si>
    <t>BRAZIL</t>
  </si>
  <si>
    <t>Agroconsult (https://agroconsult.com.br/)</t>
  </si>
  <si>
    <t>The consumption estimates presented here relate to mineral fertilizers only. 2018 refers to the period from January 2018 to December 2018.</t>
  </si>
  <si>
    <t>The consumption estimates presented here relate to mineral fertilizers only. 2017/18 refers to the period from July 2017 to June 2018 and 2018/19 refers to the period from July 2018 to June 2019.</t>
  </si>
  <si>
    <t>The consumption estimates presented here relate to mineral fertilizers only. 2017/18 refers to the period which goes from July 2017 to June 2018.</t>
  </si>
  <si>
    <t>The consumption estimates presented here relate to mineral fertilizers only. 2017/18 refers to the period from July 2017 to June 2018.</t>
  </si>
  <si>
    <t>CHILE</t>
  </si>
  <si>
    <t>SQM (https://www.sqm.com/)</t>
  </si>
  <si>
    <t>The consumption estimates presented here relate to mineral fertilizers only. 2018 refers to the period which goes from January 2018 to December 2018.</t>
  </si>
  <si>
    <t>PARAGUAY</t>
  </si>
  <si>
    <t>Sustentap, 2020. Paraguay. Dres. Enrique Hahn and Ramiro Samaniego.</t>
  </si>
  <si>
    <t>SOUTH AFRICA</t>
  </si>
  <si>
    <t>FERTASA (http://www.fertasa.co.za/)</t>
  </si>
  <si>
    <t>TURKEY</t>
  </si>
  <si>
    <t>Fertilizer rates reported here were estimated by Dr Ismail Cakmak (Sabanci University) and his colleagues by considering common application rates under diverse soil and climatic conditions.</t>
  </si>
  <si>
    <t>The consumption estimates presented here relate to mineral fertilizers only.</t>
  </si>
  <si>
    <t>2018 refers to the period from January 2018 to December 2018.</t>
  </si>
  <si>
    <t>UNITED STATES</t>
  </si>
  <si>
    <t>The Fertilizer Institute (https://www.tfi.org/)</t>
  </si>
  <si>
    <t>The consumption estimates presented here relate to mineral fertilizers only. 2018/19 refers to the period which goes from July 2018 to June 2019.</t>
  </si>
  <si>
    <t>INDIA</t>
  </si>
  <si>
    <t>Fertiliser Association of India (https://www.faidelhi.org/)</t>
  </si>
  <si>
    <t>Roots &amp; Tubers (potato)</t>
  </si>
  <si>
    <t>Grassland (grasses and meadows and pastures)</t>
  </si>
  <si>
    <t>BELARUS</t>
  </si>
  <si>
    <t xml:space="preserve">Fruits &amp; Treenuts </t>
  </si>
  <si>
    <t>Flax (fiber)</t>
  </si>
  <si>
    <t>Belarusian Potash Company (www.belpc.by)</t>
  </si>
  <si>
    <t>Forages</t>
  </si>
  <si>
    <t>NA</t>
  </si>
  <si>
    <t>INIAF-ANAPO-CIAB. 2019. Plan Nacional de Fertilización y Nutrición Vegetal. J.L. Llanos Rocha (coord.). </t>
  </si>
  <si>
    <t>BOLIVIA</t>
  </si>
  <si>
    <t>Available at https://www.anapobolivia.org/images/publicacion_documentos/INIAFlibro.pdf</t>
  </si>
  <si>
    <t>irrigated field crops</t>
  </si>
  <si>
    <t>orchards</t>
  </si>
  <si>
    <t>citrus</t>
  </si>
  <si>
    <t>non irrigated olives</t>
  </si>
  <si>
    <t>irrigated olives</t>
  </si>
  <si>
    <t>flowers</t>
  </si>
  <si>
    <t>fresh herbs</t>
  </si>
  <si>
    <t>ISRAEL</t>
  </si>
  <si>
    <t>Non irrigated winter crops (mainly wheat)</t>
  </si>
  <si>
    <t>Open field vegetables</t>
  </si>
  <si>
    <t>Covered vegetables</t>
  </si>
  <si>
    <t>Roots &amp; Tubers (Potato)</t>
  </si>
  <si>
    <t>MYANMAR</t>
  </si>
  <si>
    <t>Garlic</t>
  </si>
  <si>
    <t>Onion</t>
  </si>
  <si>
    <t xml:space="preserve">Department of Planning of Ministry of Agriculture, Livestock and Irrigation. 2018. "Myanmar Agriculture at a Glance." </t>
  </si>
  <si>
    <t>PERU</t>
  </si>
  <si>
    <t>Coconut</t>
  </si>
  <si>
    <t xml:space="preserve">  Bananas</t>
  </si>
  <si>
    <t xml:space="preserve">  Pineapple</t>
  </si>
  <si>
    <t>PHILIPPINES</t>
  </si>
  <si>
    <t>ATLAS (IFA estimates for rice).</t>
  </si>
  <si>
    <t>Cassava</t>
  </si>
  <si>
    <t>Sweet corn</t>
  </si>
  <si>
    <t>Rubber</t>
  </si>
  <si>
    <t>THAILAND</t>
  </si>
  <si>
    <t xml:space="preserve">  Аgricultural crops</t>
  </si>
  <si>
    <t xml:space="preserve">     Wheat</t>
  </si>
  <si>
    <t xml:space="preserve">     Maize for grain</t>
  </si>
  <si>
    <t xml:space="preserve">     Other cereal and leguminous crops</t>
  </si>
  <si>
    <t xml:space="preserve">     Soya beans</t>
  </si>
  <si>
    <t xml:space="preserve">     Sunflower seeds</t>
  </si>
  <si>
    <t xml:space="preserve">     Sugar beet </t>
  </si>
  <si>
    <t xml:space="preserve">     Other industrial crops</t>
  </si>
  <si>
    <t xml:space="preserve">     Edible roots and tubers with high starch and inulin content</t>
  </si>
  <si>
    <t xml:space="preserve">     Vegetables grown in open-field, including for seed</t>
  </si>
  <si>
    <t xml:space="preserve">     Food melons, including for seed</t>
  </si>
  <si>
    <t xml:space="preserve">  Hayfields </t>
  </si>
  <si>
    <t xml:space="preserve">  Cultivated pastures</t>
  </si>
  <si>
    <t xml:space="preserve">  Perennial crops </t>
  </si>
  <si>
    <t>http://www.ukrstat.gov.ua/operativ/operativ2018/sg/vmod/arch_vmodsg_e.htm</t>
  </si>
  <si>
    <t>UKRAINE</t>
  </si>
  <si>
    <t>URUGUAY</t>
  </si>
  <si>
    <t>Instituto Nacional de Investigación Agropecuaria Uruguay (INIA) for nutrient quantities applied to wheat, rice, rapeseed, grassland, and soybeans (P2O5 and K2O only for soybeans)</t>
  </si>
  <si>
    <t>AUSTRIA</t>
  </si>
  <si>
    <t>Fertilizers Europe (https://www.fertilizerseurope.com/).</t>
  </si>
  <si>
    <t>Grassland area is the combination of fertilized grassland area and non-fertilized grassland area. In 2017/18, 25% of total grassland area was fertilized in Austria.</t>
  </si>
  <si>
    <t>DENMARK</t>
  </si>
  <si>
    <t>Grassland area is the combination of fertilized grassland area and non-fertilized grassland area. In 2017/18, 39% of total grassland area was fertilized in Belgium.</t>
  </si>
  <si>
    <t>Grassland area is the combination of fertilized grassland area and non-fertilized grassland area. In 2017/18, 35% of total grassland area was fertilized in Denmark.</t>
  </si>
  <si>
    <t>Grassland area is the combination of fertilized grassland area and non-fertilized grassland area. In 2017/18, most grassland area was fertilized in Finland.</t>
  </si>
  <si>
    <t>Grassland area is the combination of fertilized grassland area and non-fertilized grassland area. In 2017/18, no grassland area was fertilized in Greece.</t>
  </si>
  <si>
    <t>GREECE</t>
  </si>
  <si>
    <t>FINLAND</t>
  </si>
  <si>
    <t>IRELAND</t>
  </si>
  <si>
    <t>Grassland area is the combination of fertilized grassland area and non-fertilized grassland area. In 2017/18, 87% of total grassland area was fertilized in Ireland.</t>
  </si>
  <si>
    <t>ITALY</t>
  </si>
  <si>
    <t>Grassland area is the combination of fertilized grassland area and non-fertilized grassland area. In 2017/18, 23% of total grassland area was fertilized in Italy.</t>
  </si>
  <si>
    <t>NETHERLANDS</t>
  </si>
  <si>
    <t>Grassland area is the combination of fertilized grassland area and non-fertilized grassland area. In 2017/18, 96% of total grassland area was fertilized in the Netherlands.</t>
  </si>
  <si>
    <t>Grassland area is the combination of fertilized grassland area and non-fertilized grassland area. In 2017/18, 12% of total grassland area was fertilized in Portugal.</t>
  </si>
  <si>
    <t>SWEDEN</t>
  </si>
  <si>
    <t>Grassland area is the combination of fertilized grassland area and non-fertilized grassland area. In 2017/18, 42% of total grassland area was fertilized in Sweden.</t>
  </si>
  <si>
    <t>Grassland area is the combination of fertilized grassland area and non-fertilized grassland area. In 2017/18, 1% of total grassland area was fertilized in Bulgaria.</t>
  </si>
  <si>
    <t>BULGARIA</t>
  </si>
  <si>
    <t>CYPRUS</t>
  </si>
  <si>
    <t>Grassland area is the combination of fertilized grassland area and non-fertilized grassland area. In 2017/18, all grassland area was fertilized in Cyprus.</t>
  </si>
  <si>
    <t>Grassland area is the combination of fertilized grassland area and non-fertilized grassland area. In 2017/18, 16% of total grassland area was fertilized in the Czech Republic.</t>
  </si>
  <si>
    <t>ESTONIA</t>
  </si>
  <si>
    <t>Grassland area is the combination of fertilized grassland area and non-fertilized grassland area. In 2017/18, 16% of total grassland area was fertilized in Estonia.</t>
  </si>
  <si>
    <t>CROATIA</t>
  </si>
  <si>
    <t>Grassland area is the combination of fertilized grassland area and non-fertilized grassland area. In 2017/18, all grassland area was fertilized in Croatia.</t>
  </si>
  <si>
    <t>HUNGARY</t>
  </si>
  <si>
    <t>Grassland area is the combination of fertilized grassland area and non-fertilized grassland area. In 2017/18, 10% of total grassland area was fertilized in Hungary.</t>
  </si>
  <si>
    <t>LITHUANIA</t>
  </si>
  <si>
    <t>Grassland area is the combination of fertilized grassland area and non-fertilized grassland area. In 2017/18, 73% of total grassland area was fertilized in Lithuania.</t>
  </si>
  <si>
    <t>LATVIA</t>
  </si>
  <si>
    <t>Grassland area is the combination of fertilized grassland area and non-fertilized grassland area. In 2017/18, 15% of total grassland area was fertilized in Latvia.</t>
  </si>
  <si>
    <t>ROMANIA</t>
  </si>
  <si>
    <t>Grassland area is the combination of fertilized grassland area and non-fertilized grassland area. In 2017/18, 1% of total grassland area was fertilized in Romania.</t>
  </si>
  <si>
    <t>SLOVENIA</t>
  </si>
  <si>
    <t>SLOVAKIA</t>
  </si>
  <si>
    <t>Grassland area is the combination of fertilized grassland area and non-fertilized grassland area. In 2017/18, 34% of total grassland area was fertilized in Slovenia.</t>
  </si>
  <si>
    <t>Grassland area is the combination of fertilized grassland area and non-fertilized grassland area. In 2017/18, 20% of total grassland area was fertilized in Slovakia.</t>
  </si>
  <si>
    <t>NORWAY</t>
  </si>
  <si>
    <t>Croatia</t>
  </si>
  <si>
    <t>ICL (https://www.icl-group.com/).</t>
  </si>
  <si>
    <t xml:space="preserve">     Fodder crops, including for seed</t>
  </si>
  <si>
    <t xml:space="preserve">     Rapeseed</t>
  </si>
  <si>
    <t>Area: the 2017/18 breakdown of area by crop was applied to total 2018/19 cropped area</t>
  </si>
  <si>
    <t>AUSTRALIA</t>
  </si>
  <si>
    <t>The consumption estimates presented in this factsheet relate to mineral fertilizers only.</t>
  </si>
  <si>
    <t>The 2016/17 breakdown of nutrient use by crop was applied to total 2018/19 use</t>
  </si>
  <si>
    <t>Other Oil Crops (including rapeseed)</t>
  </si>
  <si>
    <t>IRAN</t>
  </si>
  <si>
    <t>Cotton: nutrient quantities refer to fiber crops.</t>
  </si>
  <si>
    <t>Sugar Beet and Sugar Cane</t>
  </si>
  <si>
    <t>Roots and Tubers</t>
  </si>
  <si>
    <t>The Residual area includes Citrus Fruit, Pulses, Tea, Treenuts.</t>
  </si>
  <si>
    <t>The Residual area includes Citrus Fruit, Maize green, Pulses, Treenuts, Roots and Tubers, Vegetables.</t>
  </si>
  <si>
    <t>MEXICO</t>
  </si>
  <si>
    <t>The Residual area includes Citrus Fruit, Cocoa, Coffee, Maize green, Pulses and Treenuts.</t>
  </si>
  <si>
    <t>Sugar cane</t>
  </si>
  <si>
    <t>The Residual area includes Citrus Fruit, Coffee, Other cereals, Pulses, Tea, Treenuts and Grassland.</t>
  </si>
  <si>
    <t>RUSSIA</t>
  </si>
  <si>
    <t>Grassland is not included in this table.</t>
  </si>
  <si>
    <t>The Residual area includes Citrus Fruit, Pulses, Tea and Treenuts.</t>
  </si>
  <si>
    <t>MALAYSIA</t>
  </si>
  <si>
    <t>The Residual area includes Citrus Fruit, Cocoa, Coffee, Other Oil Crops, Tea and Treenuts.</t>
  </si>
  <si>
    <t>INDONESIA</t>
  </si>
  <si>
    <t>The Residual area includes Citrus Fruit, Cocoa, Coffee, Maize Green, Pulses, Tea and Treenuts.</t>
  </si>
  <si>
    <t>BANGLADESH</t>
  </si>
  <si>
    <t>The Residual area includes Citrus Fruit, Pulses, Soybeans and Tea.</t>
  </si>
  <si>
    <t>MOROCCO</t>
  </si>
  <si>
    <t>Sugar beet and Sugar cane</t>
  </si>
  <si>
    <t>The Residual area includes Citrus Fruit, Cotton, Soybeans, Pulses and Treenuts.</t>
  </si>
  <si>
    <t>EGYPT</t>
  </si>
  <si>
    <t>Rice area is FAO's 2017 estimate.</t>
  </si>
  <si>
    <t>The Residual area includes Citrus Fruit, Pulses and Treenuts.</t>
  </si>
  <si>
    <t>BURKINA FASO</t>
  </si>
  <si>
    <t xml:space="preserve">Cotton </t>
  </si>
  <si>
    <t>Sorghum</t>
  </si>
  <si>
    <t>Millet</t>
  </si>
  <si>
    <t>Cow pea</t>
  </si>
  <si>
    <t>Fruits and vegetables</t>
  </si>
  <si>
    <t>The consumption estimates presented here relate to mineral fertilizers only. 2017 refers to the period from January 2017 to December 2017.</t>
  </si>
  <si>
    <t>MALI</t>
  </si>
  <si>
    <t>2015/16</t>
  </si>
  <si>
    <t>The consumption estimates presented here relate to mineral fertilizers only. 2017/18 refers to the period from June 2017 to May 2018.</t>
  </si>
  <si>
    <t>Mil - Sorghum</t>
  </si>
  <si>
    <t>TANZANIA</t>
  </si>
  <si>
    <t>Irish potatos</t>
  </si>
  <si>
    <t>Beans</t>
  </si>
  <si>
    <t>Tobacco - flue-cured</t>
  </si>
  <si>
    <t>Tobacco - fire-cured</t>
  </si>
  <si>
    <t>Other cereals &amp; oil seeds</t>
  </si>
  <si>
    <t>Horticulture</t>
  </si>
  <si>
    <t>Horticulture includes cabbages, spinach, carrots, tomatoes, melon, bulb onions and pineapple.</t>
  </si>
  <si>
    <t>NIGERIA</t>
  </si>
  <si>
    <t>RIce</t>
  </si>
  <si>
    <t>Soybean</t>
  </si>
  <si>
    <t>Yam</t>
  </si>
  <si>
    <t>Cocoyam / Taro</t>
  </si>
  <si>
    <t>Ginger</t>
  </si>
  <si>
    <t>Ground nut</t>
  </si>
  <si>
    <t>The consumption estimates presented here relate to mineral fertilizers only. 2016/17 refers to the period from November 2016 to October 2017.</t>
  </si>
  <si>
    <t>SENEGAL</t>
  </si>
  <si>
    <t>Peanut</t>
  </si>
  <si>
    <t>Niebe</t>
  </si>
  <si>
    <t>Sesame</t>
  </si>
  <si>
    <t>Fonio</t>
  </si>
  <si>
    <t>Tomato - Industrial</t>
  </si>
  <si>
    <t>Rice (total)</t>
  </si>
  <si>
    <t>Rice - rainfed</t>
  </si>
  <si>
    <t>Rice - irrigated</t>
  </si>
  <si>
    <t>The consumption estimates presented here relate to mineral fertilizers only. 2016/17 refers to the period from June 2016 to May 2017.</t>
  </si>
  <si>
    <t>CHINA</t>
  </si>
  <si>
    <t>The consumption estimates presented in this factsheet relate to mineral fertilizers only. 2018/19 refers to the period from April 2018 to March 2019.</t>
  </si>
  <si>
    <t>Fruits (apples, citrus, oranges)</t>
  </si>
  <si>
    <t>Nutrient quantities applied to irrigated rice were estimated based on average application rates provided by CGIAR (Africa Rice).</t>
  </si>
  <si>
    <t>Ireland</t>
  </si>
  <si>
    <t>UKRSTAT and IFA calculations (IFA assumed that compound fertilizers are made of 1/3 N, 1/3 P2O5 and 1/3 K2O).</t>
  </si>
  <si>
    <t>Thai Central Chemical Public Company Ltd (TCCC) and IFA estimates (rice, maize, soybeans, oil palm, sugar, fruits, vegetables) based on 2014 fertilizer application rates and 2017 &amp; 2018 area</t>
  </si>
  <si>
    <t>Rice, Maize grain, Sugar Cane: N quantity is based on 2014 N application rates and 2017 &amp; 2018 area provided by TCCC.</t>
  </si>
  <si>
    <t>Oil Palm: N and K2O quantities are based on 2014 application rates and 2017 &amp; 2018 area provided by TCCC.</t>
  </si>
  <si>
    <t>Soybeans, Fruits and Vegetables: N, P2O5 and K2O quantities are based on 2014 application rates and 2017 &amp; 2018 area provided by TCCC.</t>
  </si>
  <si>
    <t>IFA estimations based on the 2014 fertilizer application rates published in IFA's "Assessment of Fertilizer Use by Crop at the Global Level, 2014 - 2014/15" and 2018 FAO harvested area.</t>
  </si>
  <si>
    <t>AfricaFertilizer.Org (AFO) initiative hosted by the International Fertilizer Development Center (IFDC).</t>
  </si>
  <si>
    <t>Area data come from the Ministry of Agriculture's permanent agricultural surveys (DGESS - Ministry of Agriculture, EPA, 2016-2017).</t>
  </si>
  <si>
    <t>IFA developed these estimates based on information provided by Federico Ramirez, Consultant, 2021.</t>
  </si>
  <si>
    <t>Not adopted</t>
  </si>
  <si>
    <t>Area estimates for other crops than wheat, rice and maize: FAOSTAT.</t>
  </si>
  <si>
    <t>Average application rates: Dr. Weifeng Zhang, China Agricutural University, and Dr. Ping He, China Academy of Agricultural Sciences, based on NDRC data.</t>
  </si>
  <si>
    <t>Average application rates for Tea and Roots &amp; Tubers: Dr. Weifeng Zhang based on farm sampling (Tea: 6190 samples, 2010-2014; Roots &amp; Tubers: 324 samples, mainly potato, 2018).</t>
  </si>
  <si>
    <t>Area estimates for wheat, rice and maize: Luo Y, Zhang Z, Ziyue L, Chen Y, Zhang L, Cao J, Tao F. 2020. Identifying the spatiotemporal changes of annual harvesting areas for three staple crops in China by integrating multi-data sources. Environmental Research Letters 15: 074003 (using GetData Graph Digitizer at http://www.getdata-graph-digitizer.com/index.php to retrieve data from the article).</t>
  </si>
  <si>
    <t>Please note that the total quantities of nutrients reported here may be different from the totals reported in the IFASTAT consumption database.</t>
  </si>
  <si>
    <t>Please note that in this table, the data for fruits relate only to apples, citrus and oranges.</t>
  </si>
  <si>
    <t>The estimates for Maize Grain were revised by IFA.</t>
  </si>
  <si>
    <t>ARGENTINA</t>
  </si>
  <si>
    <t>The Russian Statistical Yearbook 2020 (https://eng.rosstat.gov.ru/Publications/document/74811) provides annual estimates of mineral fertilizer use by crop category, for all nutrients combined. These data could not be used here because they are not broken down by nutrient.</t>
  </si>
  <si>
    <t>Mineral FertiIizer Use by Crop</t>
  </si>
  <si>
    <t>N</t>
  </si>
  <si>
    <t>NUTRIENT APPLIED</t>
  </si>
  <si>
    <t>PLANTED AREA</t>
  </si>
  <si>
    <t xml:space="preserve">N </t>
  </si>
  <si>
    <t>NUTRIENT APPLICATION RATE</t>
  </si>
  <si>
    <t>CROP</t>
  </si>
  <si>
    <r>
      <t>P</t>
    </r>
    <r>
      <rPr>
        <b/>
        <vertAlign val="subscript"/>
        <sz val="13"/>
        <color theme="0"/>
        <rFont val="Arial"/>
        <family val="2"/>
      </rPr>
      <t>2</t>
    </r>
    <r>
      <rPr>
        <b/>
        <sz val="13"/>
        <color theme="0"/>
        <rFont val="Arial"/>
        <family val="2"/>
      </rPr>
      <t>O</t>
    </r>
    <r>
      <rPr>
        <b/>
        <vertAlign val="subscript"/>
        <sz val="13"/>
        <color theme="0"/>
        <rFont val="Arial"/>
        <family val="2"/>
      </rPr>
      <t>5</t>
    </r>
  </si>
  <si>
    <r>
      <t>K</t>
    </r>
    <r>
      <rPr>
        <b/>
        <vertAlign val="subscript"/>
        <sz val="13"/>
        <color theme="0"/>
        <rFont val="Arial"/>
        <family val="2"/>
      </rPr>
      <t>2</t>
    </r>
    <r>
      <rPr>
        <b/>
        <sz val="13"/>
        <color theme="0"/>
        <rFont val="Arial"/>
        <family val="2"/>
      </rPr>
      <t>O</t>
    </r>
  </si>
  <si>
    <t>Source:</t>
  </si>
  <si>
    <t>Notes:</t>
  </si>
  <si>
    <t>Copyright © 2022 International Fertilizer Association – All Rights Reserved</t>
  </si>
  <si>
    <t>CROP SHARE OF TOTAL NUTRIENT USE</t>
  </si>
  <si>
    <t>FAO HARVESTED AREA</t>
  </si>
  <si>
    <r>
      <t>P</t>
    </r>
    <r>
      <rPr>
        <b/>
        <vertAlign val="subscript"/>
        <sz val="13"/>
        <color rgb="FFFFFFFF"/>
        <rFont val="Arial"/>
        <family val="2"/>
      </rPr>
      <t>2</t>
    </r>
    <r>
      <rPr>
        <b/>
        <sz val="13"/>
        <color rgb="FFFFFFFF"/>
        <rFont val="Arial"/>
        <family val="2"/>
      </rPr>
      <t>O</t>
    </r>
    <r>
      <rPr>
        <b/>
        <vertAlign val="subscript"/>
        <sz val="13"/>
        <color rgb="FFFFFFFF"/>
        <rFont val="Arial"/>
        <family val="2"/>
      </rPr>
      <t>5</t>
    </r>
  </si>
  <si>
    <r>
      <t>K</t>
    </r>
    <r>
      <rPr>
        <b/>
        <vertAlign val="subscript"/>
        <sz val="13"/>
        <color rgb="FFFFFFFF"/>
        <rFont val="Arial"/>
        <family val="2"/>
      </rPr>
      <t>2</t>
    </r>
    <r>
      <rPr>
        <b/>
        <sz val="13"/>
        <color rgb="FFFFFFFF"/>
        <rFont val="Arial"/>
        <family val="2"/>
      </rPr>
      <t>O</t>
    </r>
  </si>
  <si>
    <t>Please be aware that the total quantities of nutrients reported here may be different from the totals reported in the IFASTAT consumption database.</t>
  </si>
  <si>
    <r>
      <t xml:space="preserve"> K</t>
    </r>
    <r>
      <rPr>
        <b/>
        <vertAlign val="subscript"/>
        <sz val="13"/>
        <color theme="0"/>
        <rFont val="Arial"/>
        <family val="2"/>
      </rPr>
      <t>2</t>
    </r>
    <r>
      <rPr>
        <b/>
        <sz val="13"/>
        <color theme="0"/>
        <rFont val="Arial"/>
        <family val="2"/>
      </rPr>
      <t>O</t>
    </r>
  </si>
  <si>
    <t>ha</t>
  </si>
  <si>
    <t>SHARE OF PLANTED AREA</t>
  </si>
  <si>
    <t>CANADA</t>
  </si>
  <si>
    <t>LUO ET AL (2020) AREA</t>
  </si>
  <si>
    <t xml:space="preserve">CROP </t>
  </si>
  <si>
    <t>FAO HARVESTED  AREA</t>
  </si>
  <si>
    <t>FRANCE</t>
  </si>
  <si>
    <t>2017/2018</t>
  </si>
  <si>
    <t>2015/2016</t>
  </si>
  <si>
    <t xml:space="preserve">CROP SHARE OF TOTAL NUTRIENT USE </t>
  </si>
  <si>
    <t>Kg nutrient/ha</t>
  </si>
  <si>
    <t>Sources:</t>
  </si>
  <si>
    <r>
      <t>Other Oil Crops</t>
    </r>
    <r>
      <rPr>
        <vertAlign val="superscript"/>
        <sz val="11"/>
        <color theme="1"/>
        <rFont val="Arial"/>
        <family val="2"/>
      </rPr>
      <t xml:space="preserve"> (Coconut)</t>
    </r>
  </si>
  <si>
    <r>
      <t xml:space="preserve">Vegetables </t>
    </r>
    <r>
      <rPr>
        <i/>
        <sz val="10"/>
        <color theme="1"/>
        <rFont val="Arial"/>
        <family val="2"/>
      </rPr>
      <t>(Garlic+Shallot+Onion+Potato+Tomato+ Baby corn+Pepper)</t>
    </r>
  </si>
  <si>
    <r>
      <t>Fruits</t>
    </r>
    <r>
      <rPr>
        <i/>
        <sz val="11"/>
        <color theme="1"/>
        <rFont val="Arial"/>
        <family val="2"/>
      </rPr>
      <t xml:space="preserve"> </t>
    </r>
    <r>
      <rPr>
        <i/>
        <sz val="10"/>
        <color theme="1"/>
        <rFont val="Arial"/>
        <family val="2"/>
      </rPr>
      <t>(Pineapple+Mangoe+Longan+Rambutan+ Durian+Mangosteen+Lychee+Tangerine+Longkong+ Lime)</t>
    </r>
    <r>
      <rPr>
        <sz val="10"/>
        <color theme="1"/>
        <rFont val="Arial"/>
        <family val="2"/>
      </rPr>
      <t xml:space="preserve"> </t>
    </r>
    <r>
      <rPr>
        <sz val="11"/>
        <color theme="1"/>
        <rFont val="Arial"/>
        <family val="2"/>
      </rPr>
      <t>&amp; Treenuts</t>
    </r>
  </si>
  <si>
    <t>FERTILIZED AREA</t>
  </si>
  <si>
    <t>SHARE OF PLANTED AREA FERTILIZED</t>
  </si>
  <si>
    <t>CALCULATED PLANTED AREA</t>
  </si>
  <si>
    <t>metric tonnes of nutrients</t>
  </si>
  <si>
    <t>NUTRIENT APPLICATION RATE ON  FERTILIZED AREA</t>
  </si>
  <si>
    <t>NUTRIENT APPLICATION RATE ON PLANTED AREA</t>
  </si>
  <si>
    <r>
      <t>P</t>
    </r>
    <r>
      <rPr>
        <b/>
        <vertAlign val="subscript"/>
        <sz val="13"/>
        <color theme="0"/>
        <rFont val="Arial"/>
        <family val="2"/>
      </rPr>
      <t>2</t>
    </r>
    <r>
      <rPr>
        <b/>
        <sz val="13"/>
        <color theme="0"/>
        <rFont val="Arial"/>
        <family val="2"/>
      </rPr>
      <t>O</t>
    </r>
    <r>
      <rPr>
        <b/>
        <vertAlign val="subscript"/>
        <sz val="13"/>
        <color theme="0"/>
        <rFont val="Arial"/>
        <family val="2"/>
      </rPr>
      <t xml:space="preserve">5 </t>
    </r>
  </si>
  <si>
    <r>
      <t>K</t>
    </r>
    <r>
      <rPr>
        <b/>
        <vertAlign val="subscript"/>
        <sz val="13"/>
        <color theme="0"/>
        <rFont val="Arial"/>
        <family val="2"/>
      </rPr>
      <t>2</t>
    </r>
    <r>
      <rPr>
        <b/>
        <sz val="13"/>
        <color theme="0"/>
        <rFont val="Arial"/>
        <family val="2"/>
      </rPr>
      <t xml:space="preserve">O </t>
    </r>
  </si>
  <si>
    <t>Publication Date: March 2022</t>
  </si>
  <si>
    <r>
      <t xml:space="preserve">MINERAL FERTILIZER USE BY CROP </t>
    </r>
    <r>
      <rPr>
        <b/>
        <sz val="26"/>
        <color rgb="FF145996"/>
        <rFont val="Tw Cen MT"/>
        <family val="2"/>
      </rPr>
      <t>BY COUNTRY</t>
    </r>
  </si>
  <si>
    <t xml:space="preserve">Peru </t>
  </si>
  <si>
    <t>China</t>
  </si>
  <si>
    <t>Back to home page</t>
  </si>
  <si>
    <t>The consumption estimates presented here relate to mineral fertilizers only. 2018/19 refers to the period from July 2018 to June 2019.</t>
  </si>
  <si>
    <t>BELGIUM</t>
  </si>
  <si>
    <t>CZECHIA</t>
  </si>
  <si>
    <t>VIETNAM</t>
  </si>
  <si>
    <t>Czechia</t>
  </si>
  <si>
    <t>PORTUGAL</t>
  </si>
  <si>
    <t>Torres Duggan &amp; Fernando García, 2020 based on statistics of Uruguay's Ministry of Livestock, Agriculture and Fishing, and information of qualified informants from industry and agricultural organizations.</t>
  </si>
  <si>
    <t>Sunflowers</t>
  </si>
  <si>
    <t>Pastures</t>
  </si>
  <si>
    <t>Citrus fruits</t>
  </si>
  <si>
    <t>Vineyard and grapes</t>
  </si>
  <si>
    <t>Potatoes</t>
  </si>
  <si>
    <t>Sugarcane</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</si>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</sst>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_(* \(#,##0\);_(* &quot;-&quot;??_);_(@_)"/>
    <numFmt numFmtId="166" formatCode="_-* #,##0_-;\-* #,##0_-;_-* &quot;-&quot;??_-;_-@_-"/>
    <numFmt numFmtId="167" formatCode="0.0000%"/>
  </numFmts>
  <fonts count="6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9"/>
      <color indexed="81"/>
      <name val="Tahoma"/>
      <family val="2"/>
    </font>
    <font>
      <sz val="11"/>
      <name val="Calibri"/>
      <family val="2"/>
      <scheme val="minor"/>
    </font>
    <font>
      <b/>
      <sz val="11"/>
      <color rgb="FFFF0000"/>
      <name val="Calibri"/>
      <family val="2"/>
      <scheme val="minor"/>
    </font>
    <font>
      <sz val="10"/>
      <color rgb="FF000000"/>
      <name val="Arial"/>
      <family val="2"/>
    </font>
    <font>
      <i/>
      <sz val="11"/>
      <name val="Calibri"/>
      <family val="2"/>
      <scheme val="minor"/>
    </font>
    <font>
      <b/>
      <sz val="9"/>
      <color indexed="81"/>
      <name val="Tahoma"/>
      <family val="2"/>
    </font>
    <font>
      <sz val="11"/>
      <color theme="1"/>
      <name val="Arial"/>
      <family val="2"/>
    </font>
    <font>
      <sz val="11"/>
      <color rgb="FF000000"/>
      <name val="Arial"/>
      <family val="2"/>
    </font>
    <font>
      <b/>
      <sz val="11"/>
      <color theme="1"/>
      <name val="Arial"/>
      <family val="2"/>
    </font>
    <font>
      <b/>
      <sz val="16"/>
      <color rgb="FF145996"/>
      <name val="Arial"/>
      <family val="2"/>
    </font>
    <font>
      <sz val="13"/>
      <color theme="1"/>
      <name val="Arial"/>
      <family val="2"/>
    </font>
    <font>
      <b/>
      <sz val="13"/>
      <color theme="1"/>
      <name val="Arial"/>
      <family val="2"/>
    </font>
    <font>
      <b/>
      <sz val="13"/>
      <color theme="0"/>
      <name val="Arial"/>
      <family val="2"/>
    </font>
    <font>
      <b/>
      <i/>
      <sz val="13"/>
      <color theme="0"/>
      <name val="Arial"/>
      <family val="2"/>
    </font>
    <font>
      <b/>
      <vertAlign val="subscript"/>
      <sz val="13"/>
      <color theme="0"/>
      <name val="Arial"/>
      <family val="2"/>
    </font>
    <font>
      <b/>
      <sz val="13"/>
      <color rgb="FF145996"/>
      <name val="Arial"/>
      <family val="2"/>
    </font>
    <font>
      <b/>
      <sz val="10"/>
      <color theme="1"/>
      <name val="Arial"/>
      <family val="2"/>
    </font>
    <font>
      <sz val="10"/>
      <color theme="1"/>
      <name val="Arial"/>
      <family val="2"/>
    </font>
    <font>
      <sz val="10"/>
      <color theme="1"/>
      <name val="Calibri"/>
      <family val="2"/>
      <scheme val="minor"/>
    </font>
    <font>
      <b/>
      <sz val="13"/>
      <color rgb="FFFFFFFF"/>
      <name val="Arial"/>
      <family val="2"/>
    </font>
    <font>
      <b/>
      <i/>
      <sz val="13"/>
      <color rgb="FFFFFFFF"/>
      <name val="Arial"/>
      <family val="2"/>
    </font>
    <font>
      <b/>
      <vertAlign val="subscript"/>
      <sz val="13"/>
      <color rgb="FFFFFFFF"/>
      <name val="Arial"/>
      <family val="2"/>
    </font>
    <font>
      <b/>
      <sz val="12"/>
      <color rgb="FFFFFFFF"/>
      <name val="Arial"/>
      <family val="2"/>
    </font>
    <font>
      <b/>
      <sz val="12"/>
      <color theme="0"/>
      <name val="Arial"/>
      <family val="2"/>
    </font>
    <font>
      <sz val="11"/>
      <name val="Arial"/>
      <family val="2"/>
    </font>
    <font>
      <b/>
      <sz val="11"/>
      <color rgb="FF000000"/>
      <name val="Arial"/>
      <family val="2"/>
    </font>
    <font>
      <b/>
      <sz val="11"/>
      <color rgb="FF145996"/>
      <name val="Arial"/>
      <family val="2"/>
    </font>
    <font>
      <b/>
      <sz val="13"/>
      <color rgb="FF000000"/>
      <name val="Arial"/>
      <family val="2"/>
    </font>
    <font>
      <b/>
      <sz val="11"/>
      <name val="Arial"/>
      <family val="2"/>
    </font>
    <font>
      <b/>
      <sz val="13"/>
      <name val="Arial"/>
      <family val="2"/>
    </font>
    <font>
      <vertAlign val="superscript"/>
      <sz val="11"/>
      <color theme="1"/>
      <name val="Arial"/>
      <family val="2"/>
    </font>
    <font>
      <i/>
      <sz val="11"/>
      <color theme="1"/>
      <name val="Arial"/>
      <family val="2"/>
    </font>
    <font>
      <i/>
      <sz val="10"/>
      <color theme="1"/>
      <name val="Arial"/>
      <family val="2"/>
    </font>
    <font>
      <i/>
      <sz val="11"/>
      <name val="Arial"/>
      <family val="2"/>
    </font>
    <font>
      <b/>
      <sz val="13"/>
      <color rgb="FFEDF5FD"/>
      <name val="Arial"/>
      <family val="2"/>
    </font>
    <font>
      <sz val="11"/>
      <color rgb="FF145996"/>
      <name val="Calibri"/>
      <family val="2"/>
      <scheme val="minor"/>
    </font>
    <font>
      <sz val="9"/>
      <color theme="1"/>
      <name val="Arial"/>
      <family val="2"/>
    </font>
    <font>
      <sz val="9"/>
      <name val="Arial"/>
      <family val="2"/>
    </font>
    <font>
      <sz val="10"/>
      <name val="Calibri"/>
      <family val="2"/>
      <scheme val="minor"/>
    </font>
    <font>
      <sz val="10"/>
      <name val="Arial"/>
      <family val="2"/>
    </font>
    <font>
      <u/>
      <sz val="11"/>
      <color theme="10"/>
      <name val="Calibri"/>
      <family val="2"/>
      <scheme val="minor"/>
    </font>
    <font>
      <b/>
      <sz val="14"/>
      <color theme="1"/>
      <name val="Arial"/>
      <family val="2"/>
    </font>
    <font>
      <sz val="14"/>
      <color theme="1"/>
      <name val="Arial Narrow"/>
      <family val="2"/>
    </font>
    <font>
      <sz val="14"/>
      <color theme="1"/>
      <name val="Arial"/>
      <family val="2"/>
    </font>
    <font>
      <sz val="10"/>
      <color theme="1"/>
      <name val="Arial Narrow"/>
      <family val="2"/>
    </font>
    <font>
      <sz val="11"/>
      <color theme="1"/>
      <name val="Arial Narrow"/>
      <family val="2"/>
    </font>
    <font>
      <b/>
      <sz val="11"/>
      <color theme="1"/>
      <name val="Arial Narrow"/>
      <family val="2"/>
    </font>
    <font>
      <b/>
      <sz val="26"/>
      <color rgb="FF993A89"/>
      <name val="Tw Cen MT"/>
      <family val="2"/>
    </font>
    <font>
      <b/>
      <sz val="26"/>
      <color rgb="FF145996"/>
      <name val="Tw Cen MT"/>
      <family val="2"/>
    </font>
    <font>
      <sz val="11"/>
      <color rgb="FF145996"/>
      <name val="Arial"/>
      <family val="2"/>
    </font>
    <font>
      <b/>
      <sz val="12"/>
      <color rgb="FF145996"/>
      <name val="Arial"/>
      <family val="2"/>
    </font>
    <font>
      <b/>
      <sz val="12"/>
      <color rgb="FF145996"/>
      <name val="Tw Cen MT"/>
      <family val="2"/>
    </font>
    <font>
      <sz val="12"/>
      <color theme="1"/>
      <name val="Arial Narrow"/>
      <family val="2"/>
    </font>
    <font>
      <sz val="12"/>
      <color rgb="FF145996"/>
      <name val="Arial"/>
      <family val="2"/>
    </font>
    <font>
      <b/>
      <sz val="14"/>
      <color rgb="FF145996"/>
      <name val="Arial"/>
      <family val="2"/>
    </font>
    <font>
      <sz val="12"/>
      <color theme="1"/>
      <name val="Arial"/>
      <family val="2"/>
    </font>
    <font>
      <b/>
      <sz val="14"/>
      <color rgb="FF993A89"/>
      <name val="Arial"/>
      <family val="2"/>
    </font>
    <font>
      <u/>
      <sz val="14"/>
      <color theme="10"/>
      <name val="Arial"/>
      <family val="2"/>
    </font>
    <font>
      <u/>
      <sz val="10"/>
      <color theme="10"/>
      <name val="Arial"/>
      <family val="2"/>
    </font>
  </fonts>
  <fills count="6">
    <fill>
      <patternFill patternType="none"/>
    </fill>
    <fill>
      <patternFill patternType="gray125"/>
    </fill>
    <fill>
      <patternFill patternType="solid">
        <fgColor theme="0"/>
        <bgColor indexed="64"/>
      </patternFill>
    </fill>
    <fill>
      <patternFill patternType="solid">
        <fgColor rgb="FF145996"/>
        <bgColor indexed="64"/>
      </patternFill>
    </fill>
    <fill>
      <patternFill patternType="solid">
        <fgColor rgb="FFEDF5FD"/>
        <bgColor indexed="64"/>
      </patternFill>
    </fill>
    <fill>
      <patternFill patternType="solid">
        <fgColor rgb="FFFFFFFF"/>
        <bgColor indexed="64"/>
      </patternFill>
    </fill>
  </fills>
  <borders count="49">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top/>
      <bottom/>
      <diagonal/>
    </border>
    <border>
      <left style="double">
        <color rgb="FF3082BE"/>
      </left>
      <right style="double">
        <color rgb="FF3082BE"/>
      </right>
      <top style="double">
        <color rgb="FF3082BE"/>
      </top>
      <bottom style="double">
        <color rgb="FF3082BE"/>
      </bottom>
      <diagonal/>
    </border>
    <border>
      <left style="double">
        <color rgb="FF3082BE"/>
      </left>
      <right/>
      <top style="double">
        <color rgb="FF3082BE"/>
      </top>
      <bottom/>
      <diagonal/>
    </border>
    <border>
      <left/>
      <right/>
      <top style="double">
        <color rgb="FF3082BE"/>
      </top>
      <bottom/>
      <diagonal/>
    </border>
    <border>
      <left/>
      <right style="double">
        <color rgb="FF3082BE"/>
      </right>
      <top style="double">
        <color rgb="FF3082BE"/>
      </top>
      <bottom/>
      <diagonal/>
    </border>
    <border>
      <left style="double">
        <color rgb="FF3082BE"/>
      </left>
      <right/>
      <top/>
      <bottom/>
      <diagonal/>
    </border>
    <border>
      <left/>
      <right style="double">
        <color rgb="FF3082BE"/>
      </right>
      <top/>
      <bottom/>
      <diagonal/>
    </border>
    <border>
      <left style="double">
        <color rgb="FF3082BE"/>
      </left>
      <right style="double">
        <color rgb="FF3082BE"/>
      </right>
      <top style="double">
        <color rgb="FF3082BE"/>
      </top>
      <bottom/>
      <diagonal/>
    </border>
    <border>
      <left style="double">
        <color rgb="FF3082BE"/>
      </left>
      <right/>
      <top style="double">
        <color rgb="FF3082BE"/>
      </top>
      <bottom style="double">
        <color rgb="FF3082BE"/>
      </bottom>
      <diagonal/>
    </border>
    <border>
      <left/>
      <right/>
      <top style="double">
        <color rgb="FF3082BE"/>
      </top>
      <bottom style="double">
        <color rgb="FF3082BE"/>
      </bottom>
      <diagonal/>
    </border>
    <border>
      <left/>
      <right style="double">
        <color rgb="FF3082BE"/>
      </right>
      <top style="double">
        <color rgb="FF3082BE"/>
      </top>
      <bottom style="double">
        <color rgb="FF3082BE"/>
      </bottom>
      <diagonal/>
    </border>
    <border>
      <left/>
      <right style="double">
        <color rgb="FF3082BE"/>
      </right>
      <top/>
      <bottom style="double">
        <color rgb="FF3082BE"/>
      </bottom>
      <diagonal/>
    </border>
    <border>
      <left style="double">
        <color rgb="FF3082BE"/>
      </left>
      <right style="double">
        <color rgb="FF3082BE"/>
      </right>
      <top/>
      <bottom/>
      <diagonal/>
    </border>
    <border>
      <left style="double">
        <color rgb="FF3082BE"/>
      </left>
      <right style="double">
        <color rgb="FF3082BE"/>
      </right>
      <top/>
      <bottom style="double">
        <color rgb="FF3082BE"/>
      </bottom>
      <diagonal/>
    </border>
    <border>
      <left/>
      <right/>
      <top/>
      <bottom style="double">
        <color rgb="FF3082BE"/>
      </bottom>
      <diagonal/>
    </border>
    <border>
      <left style="double">
        <color rgb="FF3082BE"/>
      </left>
      <right/>
      <top/>
      <bottom style="double">
        <color rgb="FF3082BE"/>
      </bottom>
      <diagonal/>
    </border>
    <border>
      <left style="double">
        <color rgb="FF3082BE"/>
      </left>
      <right style="thin">
        <color rgb="FF145996"/>
      </right>
      <top style="double">
        <color rgb="FF3082BE"/>
      </top>
      <bottom style="double">
        <color rgb="FF3082BE"/>
      </bottom>
      <diagonal/>
    </border>
    <border>
      <left style="thin">
        <color rgb="FF145996"/>
      </left>
      <right style="thin">
        <color rgb="FF145996"/>
      </right>
      <top style="double">
        <color rgb="FF3082BE"/>
      </top>
      <bottom style="double">
        <color rgb="FF3082BE"/>
      </bottom>
      <diagonal/>
    </border>
    <border>
      <left style="thin">
        <color rgb="FF145996"/>
      </left>
      <right/>
      <top style="double">
        <color rgb="FF3082BE"/>
      </top>
      <bottom style="double">
        <color rgb="FF3082BE"/>
      </bottom>
      <diagonal/>
    </border>
    <border>
      <left style="thin">
        <color rgb="FF145996"/>
      </left>
      <right style="double">
        <color rgb="FF3082BE"/>
      </right>
      <top style="double">
        <color rgb="FF3082BE"/>
      </top>
      <bottom style="double">
        <color rgb="FF3082BE"/>
      </bottom>
      <diagonal/>
    </border>
    <border>
      <left style="thin">
        <color rgb="FF3082BE"/>
      </left>
      <right style="thin">
        <color rgb="FF3082BE"/>
      </right>
      <top style="double">
        <color rgb="FF3082BE"/>
      </top>
      <bottom style="double">
        <color rgb="FF3082BE"/>
      </bottom>
      <diagonal/>
    </border>
    <border>
      <left style="double">
        <color rgb="FF3082BE"/>
      </left>
      <right style="thin">
        <color rgb="FF3082BE"/>
      </right>
      <top style="double">
        <color rgb="FF3082BE"/>
      </top>
      <bottom style="double">
        <color rgb="FF3082BE"/>
      </bottom>
      <diagonal/>
    </border>
    <border>
      <left style="thin">
        <color rgb="FF3082BE"/>
      </left>
      <right/>
      <top style="double">
        <color rgb="FF3082BE"/>
      </top>
      <bottom style="double">
        <color rgb="FF3082BE"/>
      </bottom>
      <diagonal/>
    </border>
    <border>
      <left style="thin">
        <color rgb="FF3082BE"/>
      </left>
      <right style="double">
        <color rgb="FF3082BE"/>
      </right>
      <top style="double">
        <color rgb="FF3082BE"/>
      </top>
      <bottom style="double">
        <color rgb="FF3082BE"/>
      </bottom>
      <diagonal/>
    </border>
    <border>
      <left style="thin">
        <color rgb="FF3082BE"/>
      </left>
      <right style="thin">
        <color rgb="FF3082BE"/>
      </right>
      <top/>
      <bottom/>
      <diagonal/>
    </border>
    <border>
      <left style="double">
        <color rgb="FF3082BE"/>
      </left>
      <right style="thin">
        <color rgb="FF145996"/>
      </right>
      <top/>
      <bottom/>
      <diagonal/>
    </border>
    <border>
      <left style="thin">
        <color rgb="FF145996"/>
      </left>
      <right style="thin">
        <color rgb="FF145996"/>
      </right>
      <top/>
      <bottom/>
      <diagonal/>
    </border>
    <border>
      <left style="thin">
        <color rgb="FF145996"/>
      </left>
      <right/>
      <top/>
      <bottom/>
      <diagonal/>
    </border>
    <border>
      <left style="thin">
        <color rgb="FF145996"/>
      </left>
      <right style="double">
        <color rgb="FF3082BE"/>
      </right>
      <top/>
      <bottom/>
      <diagonal/>
    </border>
    <border>
      <left style="double">
        <color rgb="FF3082BE"/>
      </left>
      <right style="thin">
        <color rgb="FF3082BE"/>
      </right>
      <top/>
      <bottom/>
      <diagonal/>
    </border>
    <border>
      <left style="thin">
        <color rgb="FF3082BE"/>
      </left>
      <right/>
      <top/>
      <bottom/>
      <diagonal/>
    </border>
    <border>
      <left style="thin">
        <color rgb="FF3082BE"/>
      </left>
      <right style="double">
        <color rgb="FF3082BE"/>
      </right>
      <top/>
      <bottom/>
      <diagonal/>
    </border>
    <border>
      <left style="double">
        <color rgb="FF3082BE"/>
      </left>
      <right style="thin">
        <color indexed="64"/>
      </right>
      <top/>
      <bottom/>
      <diagonal/>
    </border>
    <border>
      <left style="double">
        <color rgb="FF3082BE"/>
      </left>
      <right style="thin">
        <color rgb="FF3082BE"/>
      </right>
      <top style="double">
        <color rgb="FF3082BE"/>
      </top>
      <bottom/>
      <diagonal/>
    </border>
    <border>
      <left style="thin">
        <color rgb="FF3082BE"/>
      </left>
      <right style="thin">
        <color rgb="FF3082BE"/>
      </right>
      <top style="double">
        <color rgb="FF3082BE"/>
      </top>
      <bottom/>
      <diagonal/>
    </border>
    <border>
      <left style="thin">
        <color rgb="FF3082BE"/>
      </left>
      <right style="double">
        <color rgb="FF3082BE"/>
      </right>
      <top style="double">
        <color rgb="FF3082BE"/>
      </top>
      <bottom/>
      <diagonal/>
    </border>
    <border>
      <left style="thin">
        <color rgb="FF3082BE"/>
      </left>
      <right/>
      <top style="double">
        <color rgb="FF3082BE"/>
      </top>
      <bottom/>
      <diagonal/>
    </border>
    <border>
      <left style="thin">
        <color indexed="64"/>
      </left>
      <right/>
      <top/>
      <bottom style="double">
        <color rgb="FF3082BE"/>
      </bottom>
      <diagonal/>
    </border>
    <border>
      <left style="thin">
        <color indexed="64"/>
      </left>
      <right style="double">
        <color rgb="FF3082BE"/>
      </right>
      <top/>
      <bottom style="double">
        <color rgb="FF3082BE"/>
      </bottom>
      <diagonal/>
    </border>
    <border>
      <left style="thin">
        <color rgb="FF3082BE"/>
      </left>
      <right style="double">
        <color rgb="FF3082BE"/>
      </right>
      <top/>
      <bottom style="double">
        <color rgb="FF3082BE"/>
      </bottom>
      <diagonal/>
    </border>
    <border>
      <left/>
      <right style="thin">
        <color rgb="FF3082BE"/>
      </right>
      <top/>
      <bottom/>
      <diagonal/>
    </border>
    <border>
      <left style="double">
        <color rgb="FF3082BE"/>
      </left>
      <right style="thin">
        <color rgb="FF3082BE"/>
      </right>
      <top/>
      <bottom style="double">
        <color rgb="FF3082BE"/>
      </bottom>
      <diagonal/>
    </border>
    <border>
      <left/>
      <right style="thin">
        <color rgb="FF3082BE"/>
      </right>
      <top style="double">
        <color rgb="FF3082BE"/>
      </top>
      <bottom style="double">
        <color rgb="FF3082BE"/>
      </bottom>
      <diagonal/>
    </border>
    <border>
      <left style="thin">
        <color indexed="64"/>
      </left>
      <right style="double">
        <color rgb="FF3082BE"/>
      </right>
      <top/>
      <bottom/>
      <diagonal/>
    </border>
    <border>
      <left style="medium">
        <color rgb="FF3082BE"/>
      </left>
      <right style="double">
        <color rgb="FF3082BE"/>
      </right>
      <top/>
      <bottom/>
      <diagonal/>
    </border>
  </borders>
  <cellStyleXfs count="33">
    <xf numFmtId="0" fontId="0" fillId="0" borderId="0"/>
    <xf numFmtId="9"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7" fillId="0" borderId="0"/>
    <xf numFmtId="43" fontId="1" fillId="0" borderId="0" applyFont="0" applyFill="0" applyBorder="0" applyAlignment="0" applyProtection="0"/>
    <xf numFmtId="0" fontId="44" fillId="0" borderId="0" applyNumberFormat="0" applyFill="0" applyBorder="0" applyAlignment="0" applyProtection="0"/>
  </cellStyleXfs>
  <cellXfs count="636">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Border="1"/>
    <xf numFmtId="9" fontId="3" fillId="0" borderId="0" xfId="0" applyNumberFormat="1" applyFont="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2" borderId="0" xfId="0" applyFill="1"/>
    <xf numFmtId="0" fontId="0" fillId="2" borderId="0" xfId="0" applyFill="1" applyAlignment="1">
      <alignment horizontal="center" vertical="center"/>
    </xf>
    <xf numFmtId="0" fontId="0" fillId="2" borderId="0" xfId="0" applyFill="1" applyBorder="1"/>
    <xf numFmtId="0" fontId="0" fillId="2" borderId="0" xfId="0" applyFill="1" applyBorder="1" applyAlignment="1">
      <alignment horizontal="center" vertical="center"/>
    </xf>
    <xf numFmtId="0" fontId="0" fillId="2" borderId="0" xfId="0" applyFill="1" applyBorder="1" applyAlignment="1">
      <alignment horizontal="center" vertical="center" wrapText="1"/>
    </xf>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center"/>
    </xf>
    <xf numFmtId="0" fontId="0" fillId="2" borderId="0" xfId="0" applyFont="1" applyFill="1"/>
    <xf numFmtId="0" fontId="0" fillId="2" borderId="0" xfId="0" applyFill="1" applyAlignment="1">
      <alignment wrapText="1"/>
    </xf>
    <xf numFmtId="0" fontId="0" fillId="0" borderId="0" xfId="0" applyAlignment="1">
      <alignment wrapText="1"/>
    </xf>
    <xf numFmtId="0" fontId="0" fillId="0" borderId="0" xfId="0" applyFill="1" applyAlignment="1">
      <alignment horizontal="left" vertical="center"/>
    </xf>
    <xf numFmtId="0" fontId="0" fillId="0" borderId="0" xfId="0" applyFill="1" applyAlignment="1">
      <alignment horizontal="center" vertical="center"/>
    </xf>
    <xf numFmtId="0" fontId="0" fillId="0" borderId="0" xfId="0" applyFill="1"/>
    <xf numFmtId="0" fontId="2" fillId="0" borderId="0" xfId="0" applyFont="1"/>
    <xf numFmtId="0" fontId="5" fillId="2" borderId="0" xfId="0" applyFont="1" applyFill="1"/>
    <xf numFmtId="9" fontId="0" fillId="0" borderId="0" xfId="1" applyFont="1" applyBorder="1" applyAlignment="1">
      <alignment horizontal="center" vertical="center"/>
    </xf>
    <xf numFmtId="0" fontId="5" fillId="0" borderId="0" xfId="0" applyFont="1" applyBorder="1" applyAlignment="1">
      <alignment vertical="center" wrapText="1"/>
    </xf>
    <xf numFmtId="0" fontId="0" fillId="0" borderId="0" xfId="0" applyBorder="1" applyAlignment="1">
      <alignment horizontal="left" vertical="center"/>
    </xf>
    <xf numFmtId="0" fontId="5" fillId="0" borderId="0" xfId="0" applyFont="1" applyBorder="1" applyAlignment="1">
      <alignment horizontal="center" vertical="center" wrapText="1"/>
    </xf>
    <xf numFmtId="0" fontId="6" fillId="2" borderId="0" xfId="0" applyFont="1" applyFill="1"/>
    <xf numFmtId="9" fontId="2" fillId="0" borderId="0" xfId="0" applyNumberFormat="1" applyFont="1" applyBorder="1" applyAlignment="1">
      <alignment horizontal="center" vertical="center"/>
    </xf>
    <xf numFmtId="0" fontId="5" fillId="0" borderId="0" xfId="0" applyFont="1"/>
    <xf numFmtId="0" fontId="0" fillId="0" borderId="0" xfId="0" applyBorder="1" applyAlignment="1">
      <alignment horizontal="center"/>
    </xf>
    <xf numFmtId="0" fontId="8" fillId="0" borderId="0" xfId="0" applyFont="1"/>
    <xf numFmtId="0" fontId="0" fillId="0" borderId="0" xfId="0" applyFill="1" applyAlignment="1">
      <alignment horizontal="center"/>
    </xf>
    <xf numFmtId="0" fontId="5" fillId="0" borderId="0" xfId="0" applyFont="1" applyFill="1"/>
    <xf numFmtId="167" fontId="0" fillId="0" borderId="0" xfId="0" applyNumberFormat="1" applyAlignment="1">
      <alignment horizontal="center"/>
    </xf>
    <xf numFmtId="0" fontId="10" fillId="2" borderId="0" xfId="0" applyFont="1" applyFill="1"/>
    <xf numFmtId="0" fontId="10" fillId="0" borderId="0" xfId="0" applyFont="1"/>
    <xf numFmtId="0" fontId="10" fillId="0" borderId="0" xfId="0" applyFont="1" applyFill="1"/>
    <xf numFmtId="0" fontId="13" fillId="2" borderId="0" xfId="0" applyFont="1" applyFill="1"/>
    <xf numFmtId="1" fontId="10" fillId="2" borderId="0" xfId="0" applyNumberFormat="1" applyFont="1" applyFill="1" applyBorder="1" applyAlignment="1">
      <alignment horizontal="center" vertical="center"/>
    </xf>
    <xf numFmtId="0" fontId="16" fillId="3" borderId="14"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5" xfId="0" applyFont="1" applyFill="1" applyBorder="1" applyAlignment="1">
      <alignment horizontal="center" vertical="center"/>
    </xf>
    <xf numFmtId="1" fontId="10" fillId="2" borderId="16" xfId="0" applyNumberFormat="1" applyFont="1" applyFill="1" applyBorder="1" applyAlignment="1">
      <alignment horizontal="center" vertical="center"/>
    </xf>
    <xf numFmtId="0" fontId="15" fillId="2" borderId="16"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10" xfId="0" applyFont="1" applyFill="1" applyBorder="1" applyAlignment="1">
      <alignment horizontal="center" vertical="center"/>
    </xf>
    <xf numFmtId="0" fontId="16" fillId="0" borderId="9" xfId="0" applyFont="1" applyFill="1" applyBorder="1" applyAlignment="1">
      <alignment horizontal="left" vertical="center"/>
    </xf>
    <xf numFmtId="0" fontId="19" fillId="2" borderId="5" xfId="0" applyFont="1" applyFill="1" applyBorder="1" applyAlignment="1">
      <alignment horizontal="center" vertical="center"/>
    </xf>
    <xf numFmtId="0" fontId="19" fillId="2" borderId="12" xfId="0" applyFont="1" applyFill="1" applyBorder="1" applyAlignment="1">
      <alignment horizontal="center" vertical="center"/>
    </xf>
    <xf numFmtId="0" fontId="19" fillId="2" borderId="13" xfId="0" applyFont="1" applyFill="1" applyBorder="1" applyAlignment="1">
      <alignment horizontal="center" vertical="center"/>
    </xf>
    <xf numFmtId="0" fontId="19" fillId="2" borderId="14" xfId="0" applyFont="1" applyFill="1" applyBorder="1" applyAlignment="1">
      <alignment horizontal="center" vertical="center"/>
    </xf>
    <xf numFmtId="3" fontId="11" fillId="2" borderId="16" xfId="0" applyNumberFormat="1" applyFont="1" applyFill="1" applyBorder="1" applyAlignment="1">
      <alignment horizontal="right" vertical="center" indent="1"/>
    </xf>
    <xf numFmtId="3" fontId="11" fillId="2" borderId="9" xfId="0" applyNumberFormat="1" applyFont="1" applyFill="1" applyBorder="1" applyAlignment="1">
      <alignment horizontal="right" vertical="center" indent="1"/>
    </xf>
    <xf numFmtId="1" fontId="10" fillId="2" borderId="0" xfId="0" applyNumberFormat="1" applyFont="1" applyFill="1" applyBorder="1" applyAlignment="1">
      <alignment horizontal="right" vertical="center" indent="1"/>
    </xf>
    <xf numFmtId="1" fontId="10" fillId="2" borderId="16" xfId="0" applyNumberFormat="1" applyFont="1" applyFill="1" applyBorder="1" applyAlignment="1">
      <alignment horizontal="right" vertical="center" indent="1"/>
    </xf>
    <xf numFmtId="9" fontId="10" fillId="2" borderId="16" xfId="1" applyFont="1" applyFill="1" applyBorder="1" applyAlignment="1">
      <alignment horizontal="right" indent="1"/>
    </xf>
    <xf numFmtId="9" fontId="10" fillId="2" borderId="10" xfId="1" applyFont="1" applyFill="1" applyBorder="1" applyAlignment="1">
      <alignment horizontal="right" indent="1"/>
    </xf>
    <xf numFmtId="0" fontId="10" fillId="2" borderId="9" xfId="0" applyFont="1" applyFill="1" applyBorder="1" applyAlignment="1">
      <alignment horizontal="left" indent="1"/>
    </xf>
    <xf numFmtId="0" fontId="10" fillId="2" borderId="7" xfId="0" applyFont="1" applyFill="1" applyBorder="1" applyAlignment="1">
      <alignment horizontal="center" vertical="center"/>
    </xf>
    <xf numFmtId="0" fontId="12" fillId="2" borderId="12" xfId="0" applyFont="1" applyFill="1" applyBorder="1" applyAlignment="1">
      <alignment horizontal="left" vertical="center" indent="1"/>
    </xf>
    <xf numFmtId="3" fontId="12" fillId="2" borderId="5" xfId="0" applyNumberFormat="1" applyFont="1" applyFill="1" applyBorder="1" applyAlignment="1">
      <alignment horizontal="right" vertical="center" indent="1"/>
    </xf>
    <xf numFmtId="3" fontId="12" fillId="2" borderId="12" xfId="0" applyNumberFormat="1" applyFont="1" applyFill="1" applyBorder="1" applyAlignment="1">
      <alignment horizontal="right" vertical="center" indent="1"/>
    </xf>
    <xf numFmtId="9" fontId="12" fillId="2" borderId="5" xfId="0" applyNumberFormat="1" applyFont="1" applyFill="1" applyBorder="1" applyAlignment="1">
      <alignment horizontal="right" vertical="center" indent="1"/>
    </xf>
    <xf numFmtId="9" fontId="12" fillId="2" borderId="14" xfId="0" applyNumberFormat="1" applyFont="1" applyFill="1" applyBorder="1" applyAlignment="1">
      <alignment horizontal="right" vertical="center" indent="1"/>
    </xf>
    <xf numFmtId="0" fontId="20" fillId="2" borderId="0" xfId="0" applyFont="1" applyFill="1"/>
    <xf numFmtId="0" fontId="21" fillId="2" borderId="0" xfId="0" applyFont="1" applyFill="1"/>
    <xf numFmtId="0" fontId="21" fillId="0" borderId="0" xfId="0" applyFont="1"/>
    <xf numFmtId="0" fontId="21" fillId="0" borderId="0" xfId="0" applyFont="1" applyFill="1"/>
    <xf numFmtId="0" fontId="10" fillId="4" borderId="9" xfId="0" applyFont="1" applyFill="1" applyBorder="1" applyAlignment="1">
      <alignment horizontal="left" indent="1"/>
    </xf>
    <xf numFmtId="3" fontId="11" fillId="4" borderId="16" xfId="0" applyNumberFormat="1" applyFont="1" applyFill="1" applyBorder="1" applyAlignment="1">
      <alignment horizontal="right" vertical="center" indent="1"/>
    </xf>
    <xf numFmtId="3" fontId="11" fillId="4" borderId="9" xfId="0" applyNumberFormat="1" applyFont="1" applyFill="1" applyBorder="1" applyAlignment="1">
      <alignment horizontal="right" vertical="center" indent="1"/>
    </xf>
    <xf numFmtId="1" fontId="10" fillId="4" borderId="0" xfId="0" applyNumberFormat="1" applyFont="1" applyFill="1" applyBorder="1" applyAlignment="1">
      <alignment horizontal="right" vertical="center" indent="1"/>
    </xf>
    <xf numFmtId="1" fontId="10" fillId="4" borderId="16" xfId="0" applyNumberFormat="1" applyFont="1" applyFill="1" applyBorder="1" applyAlignment="1">
      <alignment horizontal="right" vertical="center" indent="1"/>
    </xf>
    <xf numFmtId="9" fontId="10" fillId="4" borderId="16" xfId="1" applyFont="1" applyFill="1" applyBorder="1" applyAlignment="1">
      <alignment horizontal="right" indent="1"/>
    </xf>
    <xf numFmtId="9" fontId="10" fillId="4" borderId="10" xfId="1" applyFont="1" applyFill="1" applyBorder="1" applyAlignment="1">
      <alignment horizontal="right" indent="1"/>
    </xf>
    <xf numFmtId="0" fontId="20" fillId="0" borderId="0" xfId="0" applyFont="1" applyFill="1"/>
    <xf numFmtId="0" fontId="21" fillId="0" borderId="0" xfId="0" applyFont="1" applyFill="1" applyAlignment="1"/>
    <xf numFmtId="0" fontId="20" fillId="0" borderId="0" xfId="0" applyFont="1"/>
    <xf numFmtId="0" fontId="21" fillId="2" borderId="0" xfId="0" applyFont="1" applyFill="1" applyBorder="1"/>
    <xf numFmtId="0" fontId="14" fillId="2" borderId="16" xfId="0" applyFont="1" applyFill="1" applyBorder="1" applyAlignment="1">
      <alignment horizontal="center" vertical="center"/>
    </xf>
    <xf numFmtId="0" fontId="14" fillId="2" borderId="9" xfId="0" applyFont="1" applyFill="1" applyBorder="1" applyAlignment="1">
      <alignment horizontal="left" vertical="center"/>
    </xf>
    <xf numFmtId="3" fontId="11" fillId="0" borderId="16" xfId="0" applyNumberFormat="1" applyFont="1" applyFill="1" applyBorder="1" applyAlignment="1">
      <alignment horizontal="right" vertical="center" indent="1"/>
    </xf>
    <xf numFmtId="1" fontId="10" fillId="2" borderId="17" xfId="0" applyNumberFormat="1" applyFont="1" applyFill="1" applyBorder="1" applyAlignment="1">
      <alignment horizontal="right" vertical="center" indent="1"/>
    </xf>
    <xf numFmtId="9" fontId="10" fillId="2" borderId="17" xfId="1" applyFont="1" applyFill="1" applyBorder="1" applyAlignment="1">
      <alignment horizontal="right" indent="1"/>
    </xf>
    <xf numFmtId="0" fontId="10" fillId="2" borderId="0" xfId="0" applyFont="1" applyFill="1" applyBorder="1" applyAlignment="1">
      <alignment horizontal="right" vertical="center" indent="1"/>
    </xf>
    <xf numFmtId="0" fontId="22" fillId="2" borderId="0" xfId="0" applyFont="1" applyFill="1"/>
    <xf numFmtId="0" fontId="22" fillId="0" borderId="0" xfId="0" applyFont="1"/>
    <xf numFmtId="0" fontId="10" fillId="2" borderId="16" xfId="0" applyFont="1" applyFill="1" applyBorder="1" applyAlignment="1">
      <alignment horizontal="left" indent="1"/>
    </xf>
    <xf numFmtId="0" fontId="12" fillId="2" borderId="5" xfId="0" applyFont="1" applyFill="1" applyBorder="1" applyAlignment="1">
      <alignment horizontal="left" vertical="center" indent="1"/>
    </xf>
    <xf numFmtId="3" fontId="11" fillId="2" borderId="10" xfId="0" applyNumberFormat="1" applyFont="1" applyFill="1" applyBorder="1" applyAlignment="1">
      <alignment horizontal="right" vertical="center" indent="1"/>
    </xf>
    <xf numFmtId="3" fontId="11" fillId="2" borderId="15" xfId="0" applyNumberFormat="1" applyFont="1" applyFill="1" applyBorder="1" applyAlignment="1">
      <alignment horizontal="right" vertical="center" indent="1"/>
    </xf>
    <xf numFmtId="3" fontId="11" fillId="2" borderId="17" xfId="0" applyNumberFormat="1" applyFont="1" applyFill="1" applyBorder="1" applyAlignment="1">
      <alignment horizontal="right" vertical="center" indent="1"/>
    </xf>
    <xf numFmtId="0" fontId="10" fillId="2" borderId="0" xfId="0" applyFont="1" applyFill="1" applyAlignment="1">
      <alignment horizontal="right" vertical="center" indent="1"/>
    </xf>
    <xf numFmtId="9" fontId="12" fillId="2" borderId="12" xfId="0" applyNumberFormat="1" applyFont="1" applyFill="1" applyBorder="1" applyAlignment="1">
      <alignment horizontal="right" vertical="center" indent="1"/>
    </xf>
    <xf numFmtId="0" fontId="16" fillId="2" borderId="11" xfId="0" applyFont="1" applyFill="1" applyBorder="1" applyAlignment="1">
      <alignment horizontal="left" vertical="center"/>
    </xf>
    <xf numFmtId="0" fontId="19" fillId="2" borderId="8" xfId="0" applyFont="1" applyFill="1" applyBorder="1" applyAlignment="1">
      <alignment horizontal="center" vertical="center"/>
    </xf>
    <xf numFmtId="0" fontId="19" fillId="2" borderId="11" xfId="0" applyFont="1" applyFill="1" applyBorder="1" applyAlignment="1">
      <alignment horizontal="center" vertical="center"/>
    </xf>
    <xf numFmtId="3" fontId="11" fillId="2" borderId="19" xfId="0" applyNumberFormat="1" applyFont="1" applyFill="1" applyBorder="1" applyAlignment="1">
      <alignment horizontal="right" vertical="center" indent="1"/>
    </xf>
    <xf numFmtId="1" fontId="10" fillId="2" borderId="19" xfId="0" applyNumberFormat="1" applyFont="1" applyFill="1" applyBorder="1" applyAlignment="1">
      <alignment horizontal="right" vertical="center" indent="1"/>
    </xf>
    <xf numFmtId="1" fontId="10" fillId="2" borderId="15" xfId="0" applyNumberFormat="1" applyFont="1" applyFill="1" applyBorder="1" applyAlignment="1">
      <alignment horizontal="right" vertical="center" indent="1"/>
    </xf>
    <xf numFmtId="3" fontId="12" fillId="2" borderId="14" xfId="0" applyNumberFormat="1" applyFont="1" applyFill="1" applyBorder="1" applyAlignment="1">
      <alignment horizontal="right" vertical="center" indent="1"/>
    </xf>
    <xf numFmtId="0" fontId="10" fillId="4" borderId="16" xfId="0" applyFont="1" applyFill="1" applyBorder="1" applyAlignment="1">
      <alignment horizontal="left" indent="1"/>
    </xf>
    <xf numFmtId="3" fontId="11" fillId="4" borderId="10" xfId="0" applyNumberFormat="1" applyFont="1" applyFill="1" applyBorder="1" applyAlignment="1">
      <alignment horizontal="right" vertical="center" indent="1"/>
    </xf>
    <xf numFmtId="0" fontId="13" fillId="0" borderId="0" xfId="0" applyFont="1" applyAlignment="1">
      <alignment vertical="center"/>
    </xf>
    <xf numFmtId="0" fontId="23" fillId="3" borderId="5" xfId="0" applyFont="1" applyFill="1" applyBorder="1" applyAlignment="1">
      <alignment horizontal="left" vertical="center" indent="1"/>
    </xf>
    <xf numFmtId="0" fontId="19" fillId="2" borderId="24" xfId="0" applyFont="1" applyFill="1" applyBorder="1" applyAlignment="1">
      <alignment horizontal="center" vertical="center"/>
    </xf>
    <xf numFmtId="0" fontId="19" fillId="2" borderId="25" xfId="0" applyFont="1" applyFill="1" applyBorder="1" applyAlignment="1">
      <alignment horizontal="center" vertical="center"/>
    </xf>
    <xf numFmtId="0" fontId="19" fillId="2" borderId="26" xfId="0" applyFont="1" applyFill="1" applyBorder="1" applyAlignment="1">
      <alignment horizontal="center" vertical="center"/>
    </xf>
    <xf numFmtId="0" fontId="19" fillId="2" borderId="27" xfId="0" applyFont="1" applyFill="1" applyBorder="1" applyAlignment="1">
      <alignment horizontal="center" vertical="center"/>
    </xf>
    <xf numFmtId="0" fontId="26" fillId="0" borderId="9" xfId="0" applyFont="1" applyBorder="1" applyAlignment="1">
      <alignment horizontal="left" vertical="center" indent="1"/>
    </xf>
    <xf numFmtId="0" fontId="12" fillId="2" borderId="9" xfId="0" applyFont="1" applyFill="1" applyBorder="1" applyAlignment="1">
      <alignment horizontal="center" vertical="center"/>
    </xf>
    <xf numFmtId="0" fontId="12" fillId="2" borderId="28"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0" xfId="0" applyFont="1" applyFill="1" applyAlignment="1">
      <alignment horizontal="center" vertical="center"/>
    </xf>
    <xf numFmtId="0" fontId="12" fillId="2" borderId="28" xfId="0" applyFont="1" applyFill="1" applyBorder="1" applyAlignment="1">
      <alignment horizontal="right" vertical="center"/>
    </xf>
    <xf numFmtId="0" fontId="12" fillId="2" borderId="29" xfId="0" applyFont="1" applyFill="1" applyBorder="1" applyAlignment="1">
      <alignment horizontal="center" vertical="center"/>
    </xf>
    <xf numFmtId="0" fontId="12" fillId="2" borderId="30"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32" xfId="0" applyFont="1" applyFill="1" applyBorder="1" applyAlignment="1">
      <alignment horizontal="center" vertical="center"/>
    </xf>
    <xf numFmtId="0" fontId="10" fillId="2" borderId="9" xfId="0" applyFont="1" applyFill="1" applyBorder="1" applyAlignment="1">
      <alignment horizontal="left" vertical="center" indent="1"/>
    </xf>
    <xf numFmtId="3" fontId="11" fillId="2" borderId="28" xfId="0" applyNumberFormat="1" applyFont="1" applyFill="1" applyBorder="1" applyAlignment="1">
      <alignment horizontal="right" vertical="center" indent="1"/>
    </xf>
    <xf numFmtId="3" fontId="11" fillId="2" borderId="0" xfId="0" applyNumberFormat="1" applyFont="1" applyFill="1" applyAlignment="1">
      <alignment horizontal="right" vertical="center" indent="1"/>
    </xf>
    <xf numFmtId="1" fontId="10" fillId="2" borderId="9" xfId="0" applyNumberFormat="1" applyFont="1" applyFill="1" applyBorder="1" applyAlignment="1">
      <alignment horizontal="right" vertical="center" indent="1"/>
    </xf>
    <xf numFmtId="1" fontId="10" fillId="2" borderId="28" xfId="0" applyNumberFormat="1" applyFont="1" applyFill="1" applyBorder="1" applyAlignment="1">
      <alignment horizontal="right" vertical="center" indent="1"/>
    </xf>
    <xf numFmtId="1" fontId="10" fillId="2" borderId="0" xfId="0" applyNumberFormat="1" applyFont="1" applyFill="1" applyAlignment="1">
      <alignment horizontal="right" vertical="center" indent="1"/>
    </xf>
    <xf numFmtId="1" fontId="10" fillId="2" borderId="29" xfId="0" applyNumberFormat="1" applyFont="1" applyFill="1" applyBorder="1" applyAlignment="1">
      <alignment horizontal="right" vertical="center" indent="1"/>
    </xf>
    <xf numFmtId="1" fontId="10" fillId="2" borderId="30" xfId="0" applyNumberFormat="1" applyFont="1" applyFill="1" applyBorder="1" applyAlignment="1">
      <alignment horizontal="right" vertical="center" indent="1"/>
    </xf>
    <xf numFmtId="1" fontId="10" fillId="2" borderId="31" xfId="0" applyNumberFormat="1" applyFont="1" applyFill="1" applyBorder="1" applyAlignment="1">
      <alignment horizontal="right" vertical="center" indent="1"/>
    </xf>
    <xf numFmtId="9" fontId="10" fillId="2" borderId="29" xfId="1" applyFont="1" applyFill="1" applyBorder="1" applyAlignment="1">
      <alignment horizontal="right" indent="1"/>
    </xf>
    <xf numFmtId="9" fontId="10" fillId="2" borderId="30" xfId="1" applyFont="1" applyFill="1" applyBorder="1" applyAlignment="1">
      <alignment horizontal="right" indent="1"/>
    </xf>
    <xf numFmtId="9" fontId="10" fillId="2" borderId="31" xfId="1" applyFont="1" applyFill="1" applyBorder="1" applyAlignment="1">
      <alignment horizontal="right" indent="1"/>
    </xf>
    <xf numFmtId="9" fontId="10" fillId="2" borderId="32" xfId="1" applyFont="1" applyFill="1" applyBorder="1" applyAlignment="1">
      <alignment horizontal="right" indent="1"/>
    </xf>
    <xf numFmtId="0" fontId="10" fillId="4" borderId="9" xfId="0" applyFont="1" applyFill="1" applyBorder="1" applyAlignment="1">
      <alignment horizontal="left" vertical="center" indent="1"/>
    </xf>
    <xf numFmtId="3" fontId="11" fillId="4" borderId="28" xfId="0" applyNumberFormat="1" applyFont="1" applyFill="1" applyBorder="1" applyAlignment="1">
      <alignment horizontal="right" vertical="center" indent="1"/>
    </xf>
    <xf numFmtId="3" fontId="11" fillId="4" borderId="0" xfId="0" applyNumberFormat="1" applyFont="1" applyFill="1" applyAlignment="1">
      <alignment horizontal="right" vertical="center" indent="1"/>
    </xf>
    <xf numFmtId="1" fontId="10" fillId="4" borderId="9" xfId="0" applyNumberFormat="1" applyFont="1" applyFill="1" applyBorder="1" applyAlignment="1">
      <alignment horizontal="right" vertical="center" indent="1"/>
    </xf>
    <xf numFmtId="1" fontId="10" fillId="4" borderId="28" xfId="0" applyNumberFormat="1" applyFont="1" applyFill="1" applyBorder="1" applyAlignment="1">
      <alignment horizontal="right" vertical="center" indent="1"/>
    </xf>
    <xf numFmtId="1" fontId="10" fillId="4" borderId="0" xfId="0" applyNumberFormat="1" applyFont="1" applyFill="1" applyAlignment="1">
      <alignment horizontal="right" vertical="center" indent="1"/>
    </xf>
    <xf numFmtId="1" fontId="10" fillId="4" borderId="29" xfId="0" applyNumberFormat="1" applyFont="1" applyFill="1" applyBorder="1" applyAlignment="1">
      <alignment horizontal="right" vertical="center" indent="1"/>
    </xf>
    <xf numFmtId="1" fontId="10" fillId="4" borderId="30" xfId="0" applyNumberFormat="1" applyFont="1" applyFill="1" applyBorder="1" applyAlignment="1">
      <alignment horizontal="right" vertical="center" indent="1"/>
    </xf>
    <xf numFmtId="1" fontId="10" fillId="4" borderId="31" xfId="0" applyNumberFormat="1" applyFont="1" applyFill="1" applyBorder="1" applyAlignment="1">
      <alignment horizontal="right" vertical="center" indent="1"/>
    </xf>
    <xf numFmtId="9" fontId="10" fillId="4" borderId="29" xfId="1" applyFont="1" applyFill="1" applyBorder="1" applyAlignment="1">
      <alignment horizontal="right" indent="1"/>
    </xf>
    <xf numFmtId="9" fontId="10" fillId="4" borderId="30" xfId="1" applyFont="1" applyFill="1" applyBorder="1" applyAlignment="1">
      <alignment horizontal="right" indent="1"/>
    </xf>
    <xf numFmtId="9" fontId="10" fillId="4" borderId="31" xfId="1" applyFont="1" applyFill="1" applyBorder="1" applyAlignment="1">
      <alignment horizontal="right" indent="1"/>
    </xf>
    <xf numFmtId="9" fontId="10" fillId="4" borderId="32" xfId="1" applyFont="1" applyFill="1" applyBorder="1" applyAlignment="1">
      <alignment horizontal="right" indent="1"/>
    </xf>
    <xf numFmtId="3" fontId="10" fillId="4" borderId="9" xfId="0" applyNumberFormat="1" applyFont="1" applyFill="1" applyBorder="1" applyAlignment="1">
      <alignment horizontal="right" indent="1"/>
    </xf>
    <xf numFmtId="3" fontId="10" fillId="4" borderId="28" xfId="0" applyNumberFormat="1" applyFont="1" applyFill="1" applyBorder="1" applyAlignment="1">
      <alignment horizontal="right" indent="1"/>
    </xf>
    <xf numFmtId="3" fontId="10" fillId="4" borderId="10" xfId="0" applyNumberFormat="1" applyFont="1" applyFill="1" applyBorder="1" applyAlignment="1">
      <alignment horizontal="right" indent="1"/>
    </xf>
    <xf numFmtId="0" fontId="10" fillId="4" borderId="9" xfId="0" applyFont="1" applyFill="1" applyBorder="1" applyAlignment="1">
      <alignment horizontal="right" indent="1"/>
    </xf>
    <xf numFmtId="0" fontId="10" fillId="4" borderId="28" xfId="0" applyFont="1" applyFill="1" applyBorder="1" applyAlignment="1">
      <alignment horizontal="right" indent="1"/>
    </xf>
    <xf numFmtId="3" fontId="10" fillId="4" borderId="0" xfId="0" applyNumberFormat="1" applyFont="1" applyFill="1" applyAlignment="1">
      <alignment horizontal="right" indent="1"/>
    </xf>
    <xf numFmtId="1" fontId="10" fillId="4" borderId="33" xfId="0" applyNumberFormat="1" applyFont="1" applyFill="1" applyBorder="1" applyAlignment="1">
      <alignment horizontal="right" vertical="center" indent="1"/>
    </xf>
    <xf numFmtId="1" fontId="10" fillId="4" borderId="34" xfId="0" applyNumberFormat="1" applyFont="1" applyFill="1" applyBorder="1" applyAlignment="1">
      <alignment horizontal="right" vertical="center" indent="1"/>
    </xf>
    <xf numFmtId="9" fontId="10" fillId="4" borderId="33" xfId="1" applyFont="1" applyFill="1" applyBorder="1" applyAlignment="1">
      <alignment horizontal="right" indent="1"/>
    </xf>
    <xf numFmtId="9" fontId="10" fillId="4" borderId="28" xfId="1" applyFont="1" applyFill="1" applyBorder="1" applyAlignment="1">
      <alignment horizontal="right" indent="1"/>
    </xf>
    <xf numFmtId="9" fontId="10" fillId="4" borderId="34" xfId="1" applyFont="1" applyFill="1" applyBorder="1" applyAlignment="1">
      <alignment horizontal="right" indent="1"/>
    </xf>
    <xf numFmtId="9" fontId="10" fillId="4" borderId="35" xfId="1" applyFont="1" applyFill="1" applyBorder="1" applyAlignment="1">
      <alignment horizontal="right" indent="1"/>
    </xf>
    <xf numFmtId="4" fontId="10" fillId="2" borderId="0" xfId="0" applyNumberFormat="1" applyFont="1" applyFill="1"/>
    <xf numFmtId="3" fontId="12" fillId="2" borderId="13" xfId="0" applyNumberFormat="1" applyFont="1" applyFill="1" applyBorder="1" applyAlignment="1">
      <alignment horizontal="right" vertical="center" indent="1"/>
    </xf>
    <xf numFmtId="0" fontId="17" fillId="3" borderId="17" xfId="0" applyFont="1" applyFill="1" applyBorder="1" applyAlignment="1">
      <alignment horizontal="center" vertical="center"/>
    </xf>
    <xf numFmtId="0" fontId="17" fillId="3" borderId="17" xfId="0" applyFont="1" applyFill="1" applyBorder="1" applyAlignment="1">
      <alignment horizontal="center" vertical="center" wrapText="1"/>
    </xf>
    <xf numFmtId="3" fontId="11" fillId="2" borderId="3" xfId="0" applyNumberFormat="1" applyFont="1" applyFill="1" applyBorder="1" applyAlignment="1">
      <alignment horizontal="right" vertical="center" indent="1"/>
    </xf>
    <xf numFmtId="3" fontId="11" fillId="2" borderId="1" xfId="0" applyNumberFormat="1" applyFont="1" applyFill="1" applyBorder="1" applyAlignment="1">
      <alignment horizontal="right" vertical="center" indent="1"/>
    </xf>
    <xf numFmtId="0" fontId="10" fillId="2" borderId="17" xfId="0" applyFont="1" applyFill="1" applyBorder="1" applyAlignment="1">
      <alignment horizontal="left" indent="1"/>
    </xf>
    <xf numFmtId="3" fontId="11" fillId="4" borderId="1" xfId="0" applyNumberFormat="1" applyFont="1" applyFill="1" applyBorder="1" applyAlignment="1">
      <alignment horizontal="right" vertical="center" indent="1"/>
    </xf>
    <xf numFmtId="3" fontId="11" fillId="2" borderId="19" xfId="0" applyNumberFormat="1" applyFont="1" applyFill="1" applyBorder="1" applyAlignment="1">
      <alignment horizontal="right" vertical="center" indent="2"/>
    </xf>
    <xf numFmtId="3" fontId="11" fillId="2" borderId="17" xfId="0" applyNumberFormat="1" applyFont="1" applyFill="1" applyBorder="1" applyAlignment="1">
      <alignment horizontal="right" vertical="center" indent="2"/>
    </xf>
    <xf numFmtId="3" fontId="12" fillId="2" borderId="12" xfId="0" applyNumberFormat="1" applyFont="1" applyFill="1" applyBorder="1" applyAlignment="1">
      <alignment horizontal="right" vertical="center" indent="2"/>
    </xf>
    <xf numFmtId="3" fontId="12" fillId="2" borderId="5" xfId="0" applyNumberFormat="1" applyFont="1" applyFill="1" applyBorder="1" applyAlignment="1">
      <alignment horizontal="right" vertical="center" indent="2"/>
    </xf>
    <xf numFmtId="3" fontId="12" fillId="2" borderId="14" xfId="0" applyNumberFormat="1" applyFont="1" applyFill="1" applyBorder="1" applyAlignment="1">
      <alignment horizontal="right" vertical="center" indent="2"/>
    </xf>
    <xf numFmtId="3" fontId="11" fillId="2" borderId="2" xfId="0" applyNumberFormat="1" applyFont="1" applyFill="1" applyBorder="1" applyAlignment="1">
      <alignment horizontal="right" vertical="center" indent="1"/>
    </xf>
    <xf numFmtId="3" fontId="11" fillId="4" borderId="3" xfId="0" applyNumberFormat="1" applyFont="1" applyFill="1" applyBorder="1" applyAlignment="1">
      <alignment horizontal="right" vertical="center" indent="1"/>
    </xf>
    <xf numFmtId="3" fontId="11" fillId="4" borderId="2" xfId="0" applyNumberFormat="1" applyFont="1" applyFill="1" applyBorder="1" applyAlignment="1">
      <alignment horizontal="right" vertical="center" indent="1"/>
    </xf>
    <xf numFmtId="0" fontId="19" fillId="2" borderId="7" xfId="0" applyFont="1" applyFill="1" applyBorder="1" applyAlignment="1">
      <alignment horizontal="center" vertical="center"/>
    </xf>
    <xf numFmtId="3" fontId="11" fillId="2" borderId="0" xfId="0" applyNumberFormat="1" applyFont="1" applyFill="1" applyBorder="1" applyAlignment="1">
      <alignment horizontal="right" vertical="center" indent="1"/>
    </xf>
    <xf numFmtId="3" fontId="11" fillId="4" borderId="0" xfId="0" applyNumberFormat="1" applyFont="1" applyFill="1" applyBorder="1" applyAlignment="1">
      <alignment horizontal="right" vertical="center" indent="1"/>
    </xf>
    <xf numFmtId="0" fontId="19" fillId="2" borderId="6" xfId="0" applyFont="1" applyFill="1" applyBorder="1" applyAlignment="1">
      <alignment horizontal="center" vertical="center"/>
    </xf>
    <xf numFmtId="0" fontId="16" fillId="3" borderId="12" xfId="0" applyFont="1" applyFill="1" applyBorder="1" applyAlignment="1">
      <alignment horizontal="left" vertical="center" indent="1"/>
    </xf>
    <xf numFmtId="0" fontId="17" fillId="3" borderId="16" xfId="0" applyFont="1" applyFill="1" applyBorder="1" applyAlignment="1">
      <alignment horizontal="center" vertical="center"/>
    </xf>
    <xf numFmtId="0" fontId="16" fillId="3" borderId="16" xfId="0" applyFont="1" applyFill="1" applyBorder="1" applyAlignment="1">
      <alignment horizontal="center" vertical="center"/>
    </xf>
    <xf numFmtId="0" fontId="16" fillId="3" borderId="5" xfId="0" applyFont="1" applyFill="1" applyBorder="1" applyAlignment="1">
      <alignment horizontal="left" vertical="center" indent="1"/>
    </xf>
    <xf numFmtId="0" fontId="16" fillId="3" borderId="11" xfId="0" applyFont="1" applyFill="1" applyBorder="1" applyAlignment="1">
      <alignment horizontal="left" vertical="center" indent="1"/>
    </xf>
    <xf numFmtId="3" fontId="11" fillId="0" borderId="1" xfId="0" applyNumberFormat="1" applyFont="1" applyFill="1" applyBorder="1" applyAlignment="1">
      <alignment horizontal="right" vertical="center" indent="1"/>
    </xf>
    <xf numFmtId="0" fontId="16" fillId="3" borderId="16" xfId="0" applyFont="1" applyFill="1" applyBorder="1" applyAlignment="1">
      <alignment horizontal="center" vertical="center" wrapText="1"/>
    </xf>
    <xf numFmtId="3" fontId="11" fillId="2" borderId="15" xfId="0" applyNumberFormat="1" applyFont="1" applyFill="1" applyBorder="1" applyAlignment="1">
      <alignment horizontal="right" vertical="center" indent="2"/>
    </xf>
    <xf numFmtId="3" fontId="11" fillId="2" borderId="36" xfId="0" applyNumberFormat="1" applyFont="1" applyFill="1" applyBorder="1" applyAlignment="1">
      <alignment horizontal="right" vertical="center" indent="1"/>
    </xf>
    <xf numFmtId="0" fontId="19" fillId="2" borderId="16" xfId="0" applyFont="1" applyFill="1" applyBorder="1" applyAlignment="1">
      <alignment horizontal="center" vertical="center"/>
    </xf>
    <xf numFmtId="0" fontId="17" fillId="3" borderId="5" xfId="0" applyFont="1" applyFill="1" applyBorder="1" applyAlignment="1">
      <alignment horizontal="center" vertical="center"/>
    </xf>
    <xf numFmtId="3" fontId="11" fillId="0" borderId="1" xfId="0" applyNumberFormat="1" applyFont="1" applyBorder="1" applyAlignment="1">
      <alignment horizontal="right" vertical="center" indent="1"/>
    </xf>
    <xf numFmtId="3" fontId="11" fillId="0" borderId="16" xfId="0" applyNumberFormat="1" applyFont="1" applyBorder="1" applyAlignment="1">
      <alignment horizontal="right" vertical="center" indent="1"/>
    </xf>
    <xf numFmtId="0" fontId="10" fillId="0" borderId="16" xfId="0" applyFont="1" applyBorder="1" applyAlignment="1">
      <alignment horizontal="left" indent="1"/>
    </xf>
    <xf numFmtId="0" fontId="19" fillId="2" borderId="8" xfId="0" applyFont="1" applyFill="1" applyBorder="1" applyAlignment="1">
      <alignment vertical="center"/>
    </xf>
    <xf numFmtId="166" fontId="10" fillId="0" borderId="2" xfId="2" applyNumberFormat="1" applyFont="1" applyFill="1" applyBorder="1" applyAlignment="1"/>
    <xf numFmtId="166" fontId="10" fillId="0" borderId="2" xfId="2" applyNumberFormat="1" applyFont="1" applyBorder="1" applyAlignment="1"/>
    <xf numFmtId="3" fontId="28" fillId="0" borderId="16" xfId="0" applyNumberFormat="1" applyFont="1" applyBorder="1" applyAlignment="1">
      <alignment horizontal="right" vertical="center" indent="1"/>
    </xf>
    <xf numFmtId="166" fontId="10" fillId="4" borderId="2" xfId="2" applyNumberFormat="1" applyFont="1" applyFill="1" applyBorder="1" applyAlignment="1"/>
    <xf numFmtId="3" fontId="28" fillId="4" borderId="16" xfId="0" applyNumberFormat="1" applyFont="1" applyFill="1" applyBorder="1" applyAlignment="1">
      <alignment horizontal="right" vertical="center" indent="1"/>
    </xf>
    <xf numFmtId="0" fontId="15" fillId="0" borderId="16" xfId="0" applyFont="1" applyBorder="1" applyAlignment="1">
      <alignment horizontal="center" vertical="center"/>
    </xf>
    <xf numFmtId="0" fontId="15" fillId="0" borderId="16" xfId="0" applyFont="1" applyBorder="1"/>
    <xf numFmtId="0" fontId="15" fillId="0" borderId="11" xfId="0" applyFont="1" applyBorder="1" applyAlignment="1">
      <alignment horizontal="center" vertical="center"/>
    </xf>
    <xf numFmtId="0" fontId="19" fillId="0" borderId="5" xfId="0" applyFont="1" applyBorder="1" applyAlignment="1">
      <alignment horizontal="center" vertical="center"/>
    </xf>
    <xf numFmtId="0" fontId="17" fillId="3" borderId="16" xfId="0" applyFont="1" applyFill="1" applyBorder="1" applyAlignment="1">
      <alignment horizontal="center" vertical="center" wrapText="1"/>
    </xf>
    <xf numFmtId="9" fontId="11" fillId="0" borderId="16" xfId="1" applyFont="1" applyFill="1" applyBorder="1" applyAlignment="1">
      <alignment horizontal="right" vertical="center" indent="1"/>
    </xf>
    <xf numFmtId="9" fontId="10" fillId="0" borderId="16" xfId="1" applyFont="1" applyBorder="1" applyAlignment="1">
      <alignment horizontal="right" vertical="center" indent="1"/>
    </xf>
    <xf numFmtId="1" fontId="10" fillId="0" borderId="16" xfId="0" applyNumberFormat="1" applyFont="1" applyBorder="1" applyAlignment="1">
      <alignment horizontal="right" vertical="center" indent="1"/>
    </xf>
    <xf numFmtId="0" fontId="12" fillId="0" borderId="5" xfId="0" applyFont="1" applyBorder="1" applyAlignment="1">
      <alignment horizontal="left" vertical="center" indent="1"/>
    </xf>
    <xf numFmtId="3" fontId="29" fillId="0" borderId="5" xfId="0" applyNumberFormat="1" applyFont="1" applyBorder="1" applyAlignment="1">
      <alignment horizontal="right" vertical="center" indent="1"/>
    </xf>
    <xf numFmtId="9" fontId="12" fillId="0" borderId="5" xfId="0" applyNumberFormat="1" applyFont="1" applyBorder="1" applyAlignment="1">
      <alignment horizontal="right" vertical="center" indent="1"/>
    </xf>
    <xf numFmtId="0" fontId="12" fillId="0" borderId="7" xfId="0" applyFont="1" applyBorder="1" applyAlignment="1">
      <alignment horizontal="right" vertical="center" indent="1"/>
    </xf>
    <xf numFmtId="0" fontId="12" fillId="0" borderId="6" xfId="0" applyFont="1" applyBorder="1" applyAlignment="1">
      <alignment horizontal="right" vertical="center" indent="1"/>
    </xf>
    <xf numFmtId="0" fontId="12" fillId="0" borderId="8" xfId="0" applyFont="1" applyBorder="1" applyAlignment="1">
      <alignment horizontal="right" vertical="center" indent="1"/>
    </xf>
    <xf numFmtId="9" fontId="11" fillId="4" borderId="16" xfId="1" applyFont="1" applyFill="1" applyBorder="1" applyAlignment="1">
      <alignment horizontal="right" vertical="center" indent="1"/>
    </xf>
    <xf numFmtId="9" fontId="10" fillId="4" borderId="16" xfId="1" applyFont="1" applyFill="1" applyBorder="1" applyAlignment="1">
      <alignment horizontal="right" vertical="center" indent="1"/>
    </xf>
    <xf numFmtId="9" fontId="29" fillId="0" borderId="11" xfId="1" applyFont="1" applyFill="1" applyBorder="1" applyAlignment="1">
      <alignment horizontal="right" vertical="center" indent="1"/>
    </xf>
    <xf numFmtId="0" fontId="10" fillId="2" borderId="2" xfId="0" applyFont="1" applyFill="1" applyBorder="1" applyAlignment="1">
      <alignment horizontal="left" indent="1"/>
    </xf>
    <xf numFmtId="0" fontId="12" fillId="2" borderId="37" xfId="0" applyFont="1" applyFill="1" applyBorder="1" applyAlignment="1">
      <alignment horizontal="center" vertical="center"/>
    </xf>
    <xf numFmtId="0" fontId="12" fillId="2" borderId="38" xfId="0" applyFont="1" applyFill="1" applyBorder="1" applyAlignment="1">
      <alignment horizontal="center" vertical="center"/>
    </xf>
    <xf numFmtId="0" fontId="12" fillId="2" borderId="39" xfId="0" applyFont="1" applyFill="1" applyBorder="1" applyAlignment="1">
      <alignment horizontal="center" vertical="center"/>
    </xf>
    <xf numFmtId="3" fontId="11" fillId="2" borderId="33" xfId="0" applyNumberFormat="1" applyFont="1" applyFill="1" applyBorder="1" applyAlignment="1">
      <alignment horizontal="right" vertical="center" indent="1"/>
    </xf>
    <xf numFmtId="3" fontId="11" fillId="2" borderId="35" xfId="0" applyNumberFormat="1" applyFont="1" applyFill="1" applyBorder="1" applyAlignment="1">
      <alignment horizontal="right" vertical="center" indent="1"/>
    </xf>
    <xf numFmtId="3" fontId="10" fillId="2" borderId="33" xfId="0" applyNumberFormat="1" applyFont="1" applyFill="1" applyBorder="1" applyAlignment="1">
      <alignment horizontal="right" indent="2"/>
    </xf>
    <xf numFmtId="3" fontId="10" fillId="2" borderId="28" xfId="0" applyNumberFormat="1" applyFont="1" applyFill="1" applyBorder="1" applyAlignment="1">
      <alignment horizontal="right" indent="2"/>
    </xf>
    <xf numFmtId="3" fontId="10" fillId="2" borderId="35" xfId="0" applyNumberFormat="1" applyFont="1" applyFill="1" applyBorder="1" applyAlignment="1">
      <alignment horizontal="right" indent="2"/>
    </xf>
    <xf numFmtId="0" fontId="10" fillId="2" borderId="9" xfId="0" applyFont="1" applyFill="1" applyBorder="1" applyAlignment="1">
      <alignment horizontal="right" indent="2"/>
    </xf>
    <xf numFmtId="0" fontId="10" fillId="2" borderId="28" xfId="0" applyFont="1" applyFill="1" applyBorder="1" applyAlignment="1">
      <alignment horizontal="right" indent="2"/>
    </xf>
    <xf numFmtId="0" fontId="10" fillId="2" borderId="10" xfId="0" applyFont="1" applyFill="1" applyBorder="1" applyAlignment="1">
      <alignment horizontal="right" indent="2"/>
    </xf>
    <xf numFmtId="0" fontId="10" fillId="2" borderId="0" xfId="0" applyFont="1" applyFill="1" applyBorder="1" applyAlignment="1">
      <alignment horizontal="right" indent="2"/>
    </xf>
    <xf numFmtId="0" fontId="10" fillId="4" borderId="2" xfId="0" applyFont="1" applyFill="1" applyBorder="1" applyAlignment="1">
      <alignment horizontal="left" indent="1"/>
    </xf>
    <xf numFmtId="3" fontId="11" fillId="4" borderId="33" xfId="0" applyNumberFormat="1" applyFont="1" applyFill="1" applyBorder="1" applyAlignment="1">
      <alignment horizontal="right" vertical="center" indent="1"/>
    </xf>
    <xf numFmtId="3" fontId="11" fillId="4" borderId="35" xfId="0" applyNumberFormat="1" applyFont="1" applyFill="1" applyBorder="1" applyAlignment="1">
      <alignment horizontal="right" vertical="center" indent="1"/>
    </xf>
    <xf numFmtId="0" fontId="12" fillId="2" borderId="0" xfId="0" applyFont="1" applyFill="1" applyBorder="1" applyAlignment="1">
      <alignment horizontal="center" vertical="center"/>
    </xf>
    <xf numFmtId="0" fontId="26" fillId="0" borderId="11" xfId="0" applyFont="1" applyBorder="1" applyAlignment="1">
      <alignment horizontal="left" vertical="center" indent="1"/>
    </xf>
    <xf numFmtId="0" fontId="12" fillId="2" borderId="40" xfId="0" applyFont="1" applyFill="1" applyBorder="1" applyAlignment="1">
      <alignment horizontal="center" vertical="center"/>
    </xf>
    <xf numFmtId="3" fontId="10" fillId="2" borderId="0" xfId="0" applyNumberFormat="1" applyFont="1" applyFill="1" applyBorder="1" applyAlignment="1">
      <alignment horizontal="right" indent="2"/>
    </xf>
    <xf numFmtId="3" fontId="10" fillId="2" borderId="34" xfId="0" applyNumberFormat="1" applyFont="1" applyFill="1" applyBorder="1" applyAlignment="1">
      <alignment horizontal="right" indent="2"/>
    </xf>
    <xf numFmtId="3" fontId="11" fillId="2" borderId="34" xfId="0" applyNumberFormat="1" applyFont="1" applyFill="1" applyBorder="1" applyAlignment="1">
      <alignment horizontal="right" vertical="center" indent="1"/>
    </xf>
    <xf numFmtId="0" fontId="12" fillId="2" borderId="34" xfId="0" applyFont="1" applyFill="1" applyBorder="1" applyAlignment="1">
      <alignment horizontal="center" vertical="center"/>
    </xf>
    <xf numFmtId="0" fontId="10" fillId="2" borderId="9" xfId="0" applyFont="1" applyFill="1" applyBorder="1" applyAlignment="1">
      <alignment horizontal="right" indent="1"/>
    </xf>
    <xf numFmtId="0" fontId="10" fillId="2" borderId="34" xfId="0" applyFont="1" applyFill="1" applyBorder="1" applyAlignment="1">
      <alignment horizontal="right" indent="1"/>
    </xf>
    <xf numFmtId="0" fontId="10" fillId="2" borderId="35" xfId="0" applyFont="1" applyFill="1" applyBorder="1" applyAlignment="1">
      <alignment horizontal="right" indent="1"/>
    </xf>
    <xf numFmtId="0" fontId="10" fillId="2" borderId="28" xfId="0" applyFont="1" applyFill="1" applyBorder="1" applyAlignment="1">
      <alignment horizontal="right" indent="1"/>
    </xf>
    <xf numFmtId="0" fontId="10" fillId="2" borderId="10" xfId="0" applyFont="1" applyFill="1" applyBorder="1" applyAlignment="1">
      <alignment horizontal="right" indent="1"/>
    </xf>
    <xf numFmtId="3" fontId="11" fillId="4" borderId="34" xfId="0" applyNumberFormat="1" applyFont="1" applyFill="1" applyBorder="1" applyAlignment="1">
      <alignment horizontal="right" vertical="center" indent="1"/>
    </xf>
    <xf numFmtId="3" fontId="11" fillId="2" borderId="18" xfId="0" applyNumberFormat="1" applyFont="1" applyFill="1" applyBorder="1" applyAlignment="1">
      <alignment horizontal="right" vertical="center" indent="1"/>
    </xf>
    <xf numFmtId="0" fontId="10" fillId="2" borderId="0" xfId="0" applyFont="1" applyFill="1" applyAlignment="1">
      <alignment horizontal="right" indent="1"/>
    </xf>
    <xf numFmtId="0" fontId="0" fillId="2" borderId="0" xfId="0" applyFill="1" applyAlignment="1">
      <alignment horizontal="right" indent="1"/>
    </xf>
    <xf numFmtId="0" fontId="16" fillId="0" borderId="11" xfId="0" applyFont="1" applyFill="1" applyBorder="1" applyAlignment="1">
      <alignment horizontal="left" vertical="center" indent="1"/>
    </xf>
    <xf numFmtId="0" fontId="17" fillId="3" borderId="11" xfId="0" applyFont="1" applyFill="1" applyBorder="1" applyAlignment="1">
      <alignment horizontal="center" vertical="center"/>
    </xf>
    <xf numFmtId="3" fontId="12" fillId="2" borderId="41" xfId="0" applyNumberFormat="1" applyFont="1" applyFill="1" applyBorder="1" applyAlignment="1">
      <alignment horizontal="right" vertical="center" indent="1"/>
    </xf>
    <xf numFmtId="3" fontId="12" fillId="2" borderId="16" xfId="0" applyNumberFormat="1" applyFont="1" applyFill="1" applyBorder="1" applyAlignment="1">
      <alignment horizontal="right" vertical="center" indent="1"/>
    </xf>
    <xf numFmtId="3" fontId="12" fillId="2" borderId="18" xfId="0" applyNumberFormat="1" applyFont="1" applyFill="1" applyBorder="1" applyAlignment="1">
      <alignment horizontal="right" vertical="center" indent="1"/>
    </xf>
    <xf numFmtId="3" fontId="12" fillId="2" borderId="42" xfId="0" applyNumberFormat="1" applyFont="1" applyFill="1" applyBorder="1" applyAlignment="1">
      <alignment horizontal="right" vertical="center" indent="1"/>
    </xf>
    <xf numFmtId="3" fontId="11" fillId="0" borderId="17" xfId="0" applyNumberFormat="1" applyFont="1" applyFill="1" applyBorder="1" applyAlignment="1">
      <alignment horizontal="right" vertical="center" indent="1"/>
    </xf>
    <xf numFmtId="0" fontId="30" fillId="2" borderId="8" xfId="0" applyFont="1" applyFill="1" applyBorder="1" applyAlignment="1">
      <alignment horizontal="center" vertical="center"/>
    </xf>
    <xf numFmtId="3" fontId="10" fillId="2" borderId="3" xfId="0" applyNumberFormat="1" applyFont="1" applyFill="1" applyBorder="1" applyAlignment="1">
      <alignment horizontal="right" vertical="center" indent="1"/>
    </xf>
    <xf numFmtId="3" fontId="10" fillId="2" borderId="3" xfId="0" applyNumberFormat="1" applyFont="1" applyFill="1" applyBorder="1" applyAlignment="1">
      <alignment horizontal="right" indent="1"/>
    </xf>
    <xf numFmtId="165" fontId="11" fillId="2" borderId="3" xfId="2" applyNumberFormat="1" applyFont="1" applyFill="1" applyBorder="1" applyAlignment="1">
      <alignment horizontal="center" vertical="center"/>
    </xf>
    <xf numFmtId="165" fontId="10" fillId="2" borderId="3" xfId="2" applyNumberFormat="1" applyFont="1" applyFill="1" applyBorder="1" applyAlignment="1">
      <alignment horizontal="center"/>
    </xf>
    <xf numFmtId="3" fontId="10" fillId="2" borderId="16" xfId="0" applyNumberFormat="1" applyFont="1" applyFill="1" applyBorder="1" applyAlignment="1">
      <alignment horizontal="right" vertical="center" indent="1"/>
    </xf>
    <xf numFmtId="165" fontId="11" fillId="2" borderId="16" xfId="2" applyNumberFormat="1" applyFont="1" applyFill="1" applyBorder="1" applyAlignment="1">
      <alignment horizontal="center" vertical="center"/>
    </xf>
    <xf numFmtId="165" fontId="10" fillId="2" borderId="1" xfId="2" applyNumberFormat="1" applyFont="1" applyFill="1" applyBorder="1" applyAlignment="1">
      <alignment horizontal="center" vertical="center"/>
    </xf>
    <xf numFmtId="165" fontId="10" fillId="2" borderId="1" xfId="2" applyNumberFormat="1" applyFont="1" applyFill="1" applyBorder="1" applyAlignment="1">
      <alignment horizontal="center"/>
    </xf>
    <xf numFmtId="165" fontId="10" fillId="2" borderId="16" xfId="2" applyNumberFormat="1" applyFont="1" applyFill="1" applyBorder="1" applyAlignment="1">
      <alignment horizontal="center" vertical="center"/>
    </xf>
    <xf numFmtId="3" fontId="10" fillId="4" borderId="3" xfId="0" applyNumberFormat="1" applyFont="1" applyFill="1" applyBorder="1" applyAlignment="1">
      <alignment horizontal="right" vertical="center" indent="1"/>
    </xf>
    <xf numFmtId="165" fontId="11" fillId="4" borderId="3" xfId="2" applyNumberFormat="1" applyFont="1" applyFill="1" applyBorder="1" applyAlignment="1">
      <alignment horizontal="center" vertical="center"/>
    </xf>
    <xf numFmtId="165" fontId="10" fillId="4" borderId="1" xfId="2" applyNumberFormat="1" applyFont="1" applyFill="1" applyBorder="1" applyAlignment="1">
      <alignment horizontal="center" vertical="center"/>
    </xf>
    <xf numFmtId="165" fontId="10" fillId="4" borderId="3" xfId="2" applyNumberFormat="1" applyFont="1" applyFill="1" applyBorder="1" applyAlignment="1">
      <alignment horizontal="center"/>
    </xf>
    <xf numFmtId="165" fontId="10" fillId="4" borderId="1" xfId="2" applyNumberFormat="1" applyFont="1" applyFill="1" applyBorder="1" applyAlignment="1">
      <alignment horizontal="center"/>
    </xf>
    <xf numFmtId="3" fontId="10" fillId="4" borderId="3" xfId="0" applyNumberFormat="1" applyFont="1" applyFill="1" applyBorder="1" applyAlignment="1">
      <alignment horizontal="right" indent="1"/>
    </xf>
    <xf numFmtId="165" fontId="11" fillId="2" borderId="16" xfId="2" applyNumberFormat="1" applyFont="1" applyFill="1" applyBorder="1" applyAlignment="1">
      <alignment horizontal="right" vertical="center"/>
    </xf>
    <xf numFmtId="165" fontId="10" fillId="2" borderId="16" xfId="2" applyNumberFormat="1" applyFont="1" applyFill="1" applyBorder="1" applyAlignment="1">
      <alignment horizontal="right"/>
    </xf>
    <xf numFmtId="165" fontId="10" fillId="2" borderId="16" xfId="2" applyNumberFormat="1" applyFont="1" applyFill="1" applyBorder="1"/>
    <xf numFmtId="165" fontId="11" fillId="2" borderId="16" xfId="2" applyNumberFormat="1" applyFont="1" applyFill="1" applyBorder="1" applyAlignment="1">
      <alignment horizontal="right" vertical="center" indent="1"/>
    </xf>
    <xf numFmtId="165" fontId="10" fillId="2" borderId="16" xfId="2" applyNumberFormat="1" applyFont="1" applyFill="1" applyBorder="1" applyAlignment="1">
      <alignment horizontal="right" indent="1"/>
    </xf>
    <xf numFmtId="165" fontId="10" fillId="4" borderId="16" xfId="2" applyNumberFormat="1" applyFont="1" applyFill="1" applyBorder="1" applyAlignment="1">
      <alignment horizontal="right"/>
    </xf>
    <xf numFmtId="165" fontId="10" fillId="4" borderId="16" xfId="2" applyNumberFormat="1" applyFont="1" applyFill="1" applyBorder="1" applyAlignment="1">
      <alignment horizontal="right" indent="1"/>
    </xf>
    <xf numFmtId="165" fontId="10" fillId="4" borderId="16" xfId="2" applyNumberFormat="1" applyFont="1" applyFill="1" applyBorder="1"/>
    <xf numFmtId="165" fontId="11" fillId="4" borderId="16" xfId="2" applyNumberFormat="1" applyFont="1" applyFill="1" applyBorder="1" applyAlignment="1">
      <alignment horizontal="right" vertical="center"/>
    </xf>
    <xf numFmtId="165" fontId="11" fillId="4" borderId="16" xfId="2" applyNumberFormat="1" applyFont="1" applyFill="1" applyBorder="1" applyAlignment="1">
      <alignment horizontal="right" vertical="center" indent="1"/>
    </xf>
    <xf numFmtId="165" fontId="11" fillId="4" borderId="16" xfId="2" applyNumberFormat="1" applyFont="1" applyFill="1" applyBorder="1" applyAlignment="1">
      <alignment horizontal="center" vertical="center"/>
    </xf>
    <xf numFmtId="3" fontId="11" fillId="2" borderId="2" xfId="0" applyNumberFormat="1" applyFont="1" applyFill="1" applyBorder="1" applyAlignment="1">
      <alignment horizontal="right" vertical="center"/>
    </xf>
    <xf numFmtId="3" fontId="11" fillId="4" borderId="2" xfId="0" applyNumberFormat="1" applyFont="1" applyFill="1" applyBorder="1" applyAlignment="1">
      <alignment horizontal="right" vertical="center"/>
    </xf>
    <xf numFmtId="1" fontId="10" fillId="2" borderId="35" xfId="0" applyNumberFormat="1" applyFont="1" applyFill="1" applyBorder="1" applyAlignment="1">
      <alignment horizontal="right" vertical="center" indent="1"/>
    </xf>
    <xf numFmtId="1" fontId="10" fillId="4" borderId="35" xfId="0" applyNumberFormat="1" applyFont="1" applyFill="1" applyBorder="1" applyAlignment="1">
      <alignment horizontal="right" vertical="center" indent="1"/>
    </xf>
    <xf numFmtId="9" fontId="11" fillId="0" borderId="0" xfId="0" applyNumberFormat="1" applyFont="1" applyBorder="1" applyAlignment="1">
      <alignment horizontal="center"/>
    </xf>
    <xf numFmtId="0" fontId="10" fillId="0" borderId="0" xfId="0" applyFont="1" applyBorder="1"/>
    <xf numFmtId="9" fontId="11" fillId="2" borderId="0" xfId="0" applyNumberFormat="1" applyFont="1" applyFill="1" applyBorder="1" applyAlignment="1">
      <alignment horizontal="right" indent="1"/>
    </xf>
    <xf numFmtId="9" fontId="11" fillId="2" borderId="0" xfId="0" applyNumberFormat="1" applyFont="1" applyFill="1" applyBorder="1" applyAlignment="1">
      <alignment horizontal="right" vertical="center" indent="1"/>
    </xf>
    <xf numFmtId="0" fontId="10" fillId="2" borderId="0" xfId="0" applyFont="1" applyFill="1" applyBorder="1" applyAlignment="1">
      <alignment horizontal="right" indent="1"/>
    </xf>
    <xf numFmtId="0" fontId="10" fillId="0" borderId="0" xfId="0" applyFont="1" applyAlignment="1">
      <alignment horizontal="right" indent="1"/>
    </xf>
    <xf numFmtId="0" fontId="15" fillId="0" borderId="0" xfId="0" applyFont="1" applyBorder="1" applyAlignment="1">
      <alignment horizontal="center" vertical="center"/>
    </xf>
    <xf numFmtId="0" fontId="15" fillId="0" borderId="16" xfId="0" applyFont="1" applyBorder="1" applyAlignment="1">
      <alignment horizontal="left" vertical="center" indent="1"/>
    </xf>
    <xf numFmtId="0" fontId="19" fillId="0" borderId="13" xfId="0" applyFont="1" applyBorder="1" applyAlignment="1">
      <alignment horizontal="center" vertical="center"/>
    </xf>
    <xf numFmtId="0" fontId="31" fillId="0" borderId="0" xfId="0" applyFont="1" applyBorder="1" applyAlignment="1">
      <alignment horizontal="center" vertical="center"/>
    </xf>
    <xf numFmtId="3" fontId="11" fillId="0" borderId="0" xfId="0" applyNumberFormat="1" applyFont="1" applyBorder="1" applyAlignment="1">
      <alignment horizontal="right" vertical="center" indent="1"/>
    </xf>
    <xf numFmtId="0" fontId="19" fillId="0" borderId="27" xfId="0" applyFont="1" applyBorder="1" applyAlignment="1">
      <alignment horizontal="center" vertical="center"/>
    </xf>
    <xf numFmtId="0" fontId="15" fillId="0" borderId="35" xfId="0" applyFont="1" applyBorder="1" applyAlignment="1">
      <alignment horizontal="center" vertical="center"/>
    </xf>
    <xf numFmtId="0" fontId="31" fillId="0" borderId="35" xfId="0" applyFont="1" applyBorder="1" applyAlignment="1">
      <alignment horizontal="center" vertical="center"/>
    </xf>
    <xf numFmtId="3" fontId="11" fillId="0" borderId="35" xfId="0" applyNumberFormat="1" applyFont="1" applyBorder="1" applyAlignment="1">
      <alignment horizontal="right" vertical="center" indent="1"/>
    </xf>
    <xf numFmtId="9" fontId="11" fillId="2" borderId="35" xfId="0" applyNumberFormat="1" applyFont="1" applyFill="1" applyBorder="1" applyAlignment="1">
      <alignment horizontal="right" vertical="center" indent="1"/>
    </xf>
    <xf numFmtId="1" fontId="10" fillId="2" borderId="34" xfId="0" applyNumberFormat="1" applyFont="1" applyFill="1" applyBorder="1" applyAlignment="1">
      <alignment horizontal="right" vertical="center" indent="1"/>
    </xf>
    <xf numFmtId="9" fontId="11" fillId="2" borderId="9" xfId="0" applyNumberFormat="1" applyFont="1" applyFill="1" applyBorder="1" applyAlignment="1">
      <alignment horizontal="right" vertical="center" indent="1"/>
    </xf>
    <xf numFmtId="0" fontId="21" fillId="2" borderId="0" xfId="0" applyFont="1" applyFill="1" applyAlignment="1">
      <alignment horizontal="right" indent="1"/>
    </xf>
    <xf numFmtId="0" fontId="21" fillId="0" borderId="0" xfId="0" applyFont="1" applyAlignment="1">
      <alignment horizontal="right" indent="1"/>
    </xf>
    <xf numFmtId="9" fontId="11" fillId="4" borderId="9" xfId="0" applyNumberFormat="1" applyFont="1" applyFill="1" applyBorder="1" applyAlignment="1">
      <alignment horizontal="right" vertical="center" indent="1"/>
    </xf>
    <xf numFmtId="9" fontId="11" fillId="4" borderId="35" xfId="0" applyNumberFormat="1" applyFont="1" applyFill="1" applyBorder="1" applyAlignment="1">
      <alignment horizontal="right" vertical="center" indent="1"/>
    </xf>
    <xf numFmtId="9" fontId="11" fillId="4" borderId="0" xfId="0" applyNumberFormat="1" applyFont="1" applyFill="1" applyBorder="1" applyAlignment="1">
      <alignment horizontal="right" vertical="center" indent="1"/>
    </xf>
    <xf numFmtId="166" fontId="10" fillId="0" borderId="0" xfId="2" applyNumberFormat="1" applyFont="1" applyFill="1" applyBorder="1" applyAlignment="1">
      <alignment horizontal="right"/>
    </xf>
    <xf numFmtId="166" fontId="10" fillId="0" borderId="0" xfId="2" applyNumberFormat="1" applyFont="1" applyBorder="1" applyAlignment="1">
      <alignment horizontal="right"/>
    </xf>
    <xf numFmtId="3" fontId="28" fillId="0" borderId="0" xfId="0" applyNumberFormat="1" applyFont="1" applyBorder="1" applyAlignment="1">
      <alignment horizontal="right" vertical="center" indent="1"/>
    </xf>
    <xf numFmtId="166" fontId="10" fillId="4" borderId="0" xfId="2" applyNumberFormat="1" applyFont="1" applyFill="1" applyBorder="1" applyAlignment="1">
      <alignment horizontal="right"/>
    </xf>
    <xf numFmtId="3" fontId="28" fillId="4" borderId="0" xfId="0" applyNumberFormat="1" applyFont="1" applyFill="1" applyBorder="1" applyAlignment="1">
      <alignment horizontal="right" vertical="center" indent="1"/>
    </xf>
    <xf numFmtId="0" fontId="16" fillId="2" borderId="6" xfId="0" applyFont="1" applyFill="1" applyBorder="1" applyAlignment="1">
      <alignment horizontal="left" vertical="center"/>
    </xf>
    <xf numFmtId="0" fontId="11" fillId="2" borderId="16" xfId="0" applyFont="1" applyFill="1" applyBorder="1" applyAlignment="1">
      <alignment horizontal="left" indent="1"/>
    </xf>
    <xf numFmtId="3" fontId="11" fillId="2" borderId="16" xfId="0" applyNumberFormat="1" applyFont="1" applyFill="1" applyBorder="1" applyAlignment="1">
      <alignment horizontal="right" indent="1"/>
    </xf>
    <xf numFmtId="1" fontId="11" fillId="2" borderId="16" xfId="0" applyNumberFormat="1" applyFont="1" applyFill="1" applyBorder="1" applyAlignment="1">
      <alignment horizontal="right" vertical="center" indent="1"/>
    </xf>
    <xf numFmtId="0" fontId="11" fillId="4" borderId="16" xfId="0" applyFont="1" applyFill="1" applyBorder="1" applyAlignment="1">
      <alignment horizontal="left" indent="1"/>
    </xf>
    <xf numFmtId="3" fontId="11" fillId="4" borderId="16" xfId="0" applyNumberFormat="1" applyFont="1" applyFill="1" applyBorder="1" applyAlignment="1">
      <alignment horizontal="right" indent="1"/>
    </xf>
    <xf numFmtId="1" fontId="11" fillId="4" borderId="16" xfId="0" applyNumberFormat="1" applyFont="1" applyFill="1" applyBorder="1" applyAlignment="1">
      <alignment horizontal="right" vertical="center" indent="1"/>
    </xf>
    <xf numFmtId="3" fontId="11" fillId="2" borderId="44" xfId="0" applyNumberFormat="1" applyFont="1" applyFill="1" applyBorder="1" applyAlignment="1">
      <alignment horizontal="right" vertical="center" indent="1"/>
    </xf>
    <xf numFmtId="3" fontId="10" fillId="2" borderId="9" xfId="0" applyNumberFormat="1" applyFont="1" applyFill="1" applyBorder="1" applyAlignment="1">
      <alignment horizontal="right" indent="1"/>
    </xf>
    <xf numFmtId="3" fontId="10" fillId="2" borderId="28" xfId="0" applyNumberFormat="1" applyFont="1" applyFill="1" applyBorder="1" applyAlignment="1">
      <alignment horizontal="right" indent="1"/>
    </xf>
    <xf numFmtId="3" fontId="10" fillId="2" borderId="10" xfId="0" applyNumberFormat="1" applyFont="1" applyFill="1" applyBorder="1" applyAlignment="1">
      <alignment horizontal="right" indent="1"/>
    </xf>
    <xf numFmtId="3" fontId="11" fillId="4" borderId="44" xfId="0" applyNumberFormat="1" applyFont="1" applyFill="1" applyBorder="1" applyAlignment="1">
      <alignment horizontal="right" vertical="center" indent="1"/>
    </xf>
    <xf numFmtId="0" fontId="23" fillId="2" borderId="9" xfId="0" applyFont="1" applyFill="1" applyBorder="1" applyAlignment="1">
      <alignment horizontal="left" vertical="center" indent="1"/>
    </xf>
    <xf numFmtId="0" fontId="11" fillId="2" borderId="9" xfId="0" applyFont="1" applyFill="1" applyBorder="1" applyAlignment="1">
      <alignment horizontal="left" indent="1"/>
    </xf>
    <xf numFmtId="0" fontId="23" fillId="3" borderId="12" xfId="0" applyFont="1" applyFill="1" applyBorder="1" applyAlignment="1">
      <alignment horizontal="left" vertical="center" indent="1"/>
    </xf>
    <xf numFmtId="0" fontId="15" fillId="2" borderId="37" xfId="0" applyFont="1" applyFill="1" applyBorder="1" applyAlignment="1">
      <alignment horizontal="center" vertical="center"/>
    </xf>
    <xf numFmtId="0" fontId="15" fillId="2" borderId="37" xfId="0" applyFont="1" applyFill="1" applyBorder="1" applyAlignment="1">
      <alignment horizontal="right" vertical="center" indent="1"/>
    </xf>
    <xf numFmtId="0" fontId="15" fillId="2" borderId="39" xfId="0" applyFont="1" applyFill="1" applyBorder="1" applyAlignment="1">
      <alignment horizontal="right" vertical="center" indent="1"/>
    </xf>
    <xf numFmtId="0" fontId="15" fillId="2" borderId="35" xfId="0" applyFont="1" applyFill="1" applyBorder="1" applyAlignment="1">
      <alignment horizontal="center" vertical="center"/>
    </xf>
    <xf numFmtId="3" fontId="7" fillId="2" borderId="0" xfId="0" applyNumberFormat="1" applyFont="1" applyFill="1" applyBorder="1" applyAlignment="1">
      <alignment horizontal="center"/>
    </xf>
    <xf numFmtId="0" fontId="15" fillId="2" borderId="40" xfId="0" applyFont="1" applyFill="1" applyBorder="1" applyAlignment="1">
      <alignment horizontal="center" vertical="center"/>
    </xf>
    <xf numFmtId="1" fontId="10" fillId="2" borderId="33" xfId="0" applyNumberFormat="1" applyFont="1" applyFill="1" applyBorder="1" applyAlignment="1">
      <alignment horizontal="right" vertical="center" indent="1"/>
    </xf>
    <xf numFmtId="0" fontId="10" fillId="0" borderId="2" xfId="0" applyFont="1" applyBorder="1" applyAlignment="1">
      <alignment horizontal="left" indent="1"/>
    </xf>
    <xf numFmtId="3" fontId="11" fillId="0" borderId="33" xfId="0" applyNumberFormat="1" applyFont="1" applyBorder="1" applyAlignment="1">
      <alignment horizontal="right" vertical="center" indent="1"/>
    </xf>
    <xf numFmtId="3" fontId="28" fillId="0" borderId="33" xfId="0" applyNumberFormat="1" applyFont="1" applyBorder="1" applyAlignment="1">
      <alignment horizontal="right" vertical="center" indent="1"/>
    </xf>
    <xf numFmtId="3" fontId="28" fillId="0" borderId="35" xfId="0" applyNumberFormat="1" applyFont="1" applyBorder="1" applyAlignment="1">
      <alignment horizontal="right" vertical="center" indent="1"/>
    </xf>
    <xf numFmtId="0" fontId="15" fillId="2" borderId="34" xfId="0" applyFont="1" applyFill="1" applyBorder="1" applyAlignment="1">
      <alignment horizontal="center" vertical="center"/>
    </xf>
    <xf numFmtId="3" fontId="28" fillId="0" borderId="16" xfId="0" applyNumberFormat="1" applyFont="1" applyFill="1" applyBorder="1" applyAlignment="1">
      <alignment horizontal="right" vertical="center" indent="1"/>
    </xf>
    <xf numFmtId="0" fontId="16" fillId="2" borderId="11" xfId="0" applyFont="1" applyFill="1" applyBorder="1" applyAlignment="1">
      <alignment horizontal="left" vertical="center" indent="1"/>
    </xf>
    <xf numFmtId="0" fontId="11" fillId="0" borderId="16" xfId="0" applyFont="1" applyBorder="1" applyAlignment="1">
      <alignment horizontal="left" indent="1"/>
    </xf>
    <xf numFmtId="9" fontId="10" fillId="2" borderId="0" xfId="1" applyFont="1" applyFill="1" applyBorder="1" applyAlignment="1">
      <alignment horizontal="right" indent="1"/>
    </xf>
    <xf numFmtId="0" fontId="16" fillId="3" borderId="5" xfId="0" applyFont="1" applyFill="1" applyBorder="1" applyAlignment="1">
      <alignment horizontal="left" vertical="center" wrapText="1" indent="1"/>
    </xf>
    <xf numFmtId="0" fontId="19" fillId="2" borderId="12" xfId="0" applyFont="1" applyFill="1" applyBorder="1" applyAlignment="1">
      <alignment horizontal="right" vertical="center" wrapText="1" indent="1"/>
    </xf>
    <xf numFmtId="0" fontId="19" fillId="2" borderId="13" xfId="0" applyFont="1" applyFill="1" applyBorder="1" applyAlignment="1">
      <alignment horizontal="right" vertical="center" wrapText="1" indent="1"/>
    </xf>
    <xf numFmtId="0" fontId="16" fillId="0" borderId="16" xfId="0" applyFont="1" applyFill="1" applyBorder="1" applyAlignment="1">
      <alignment horizontal="left" vertical="center" wrapText="1" indent="1"/>
    </xf>
    <xf numFmtId="0" fontId="19" fillId="0" borderId="0" xfId="0" applyFont="1" applyFill="1" applyBorder="1" applyAlignment="1">
      <alignment horizontal="right" vertical="center" wrapText="1" indent="1"/>
    </xf>
    <xf numFmtId="0" fontId="19" fillId="2" borderId="24" xfId="0" applyFont="1" applyFill="1" applyBorder="1" applyAlignment="1">
      <alignment horizontal="right" vertical="center" wrapText="1" indent="1"/>
    </xf>
    <xf numFmtId="0" fontId="19" fillId="0" borderId="28" xfId="0" applyFont="1" applyFill="1" applyBorder="1" applyAlignment="1">
      <alignment horizontal="right" vertical="center" wrapText="1" indent="1"/>
    </xf>
    <xf numFmtId="0" fontId="19" fillId="2" borderId="27" xfId="0" applyFont="1" applyFill="1" applyBorder="1" applyAlignment="1">
      <alignment horizontal="right" vertical="center" wrapText="1" indent="1"/>
    </xf>
    <xf numFmtId="0" fontId="19" fillId="0" borderId="35" xfId="0" applyFont="1" applyFill="1" applyBorder="1" applyAlignment="1">
      <alignment horizontal="right" vertical="center" wrapText="1" indent="1"/>
    </xf>
    <xf numFmtId="9" fontId="10" fillId="2" borderId="28" xfId="1" applyFont="1" applyFill="1" applyBorder="1" applyAlignment="1">
      <alignment horizontal="right" indent="1"/>
    </xf>
    <xf numFmtId="9" fontId="10" fillId="2" borderId="35" xfId="1" applyFont="1" applyFill="1" applyBorder="1" applyAlignment="1">
      <alignment horizontal="right" indent="1"/>
    </xf>
    <xf numFmtId="0" fontId="19" fillId="2" borderId="26" xfId="0" applyFont="1" applyFill="1" applyBorder="1" applyAlignment="1">
      <alignment horizontal="right" vertical="center" wrapText="1" indent="1"/>
    </xf>
    <xf numFmtId="0" fontId="19" fillId="0" borderId="34" xfId="0" applyFont="1" applyFill="1" applyBorder="1" applyAlignment="1">
      <alignment horizontal="right" vertical="center" wrapText="1" indent="1"/>
    </xf>
    <xf numFmtId="9" fontId="10" fillId="2" borderId="34" xfId="1" applyFont="1" applyFill="1" applyBorder="1" applyAlignment="1">
      <alignment horizontal="right" indent="1"/>
    </xf>
    <xf numFmtId="0" fontId="19" fillId="2" borderId="14" xfId="0" applyFont="1" applyFill="1" applyBorder="1" applyAlignment="1">
      <alignment horizontal="right" vertical="center" wrapText="1" indent="1"/>
    </xf>
    <xf numFmtId="0" fontId="19" fillId="0" borderId="9" xfId="0" applyFont="1" applyFill="1" applyBorder="1" applyAlignment="1">
      <alignment horizontal="right" vertical="center" wrapText="1" indent="1"/>
    </xf>
    <xf numFmtId="0" fontId="19" fillId="0" borderId="10" xfId="0" applyFont="1" applyFill="1" applyBorder="1" applyAlignment="1">
      <alignment horizontal="right" vertical="center" wrapText="1" indent="1"/>
    </xf>
    <xf numFmtId="9" fontId="10" fillId="2" borderId="9" xfId="1" applyFont="1" applyFill="1" applyBorder="1" applyAlignment="1">
      <alignment horizontal="right" indent="1"/>
    </xf>
    <xf numFmtId="0" fontId="0" fillId="2" borderId="0" xfId="0" applyFill="1" applyAlignment="1">
      <alignment vertical="top"/>
    </xf>
    <xf numFmtId="9" fontId="10" fillId="4" borderId="9" xfId="1" applyFont="1" applyFill="1" applyBorder="1" applyAlignment="1">
      <alignment horizontal="right" indent="1"/>
    </xf>
    <xf numFmtId="9" fontId="10" fillId="4" borderId="0" xfId="1" applyFont="1" applyFill="1" applyBorder="1" applyAlignment="1">
      <alignment horizontal="right" indent="1"/>
    </xf>
    <xf numFmtId="0" fontId="10" fillId="2" borderId="47" xfId="0" applyFont="1" applyFill="1" applyBorder="1" applyAlignment="1">
      <alignment horizontal="left" indent="1"/>
    </xf>
    <xf numFmtId="0" fontId="11" fillId="2" borderId="47" xfId="0" applyFont="1" applyFill="1" applyBorder="1" applyAlignment="1">
      <alignment horizontal="left" indent="1"/>
    </xf>
    <xf numFmtId="0" fontId="10" fillId="4" borderId="47" xfId="0" applyFont="1" applyFill="1" applyBorder="1" applyAlignment="1">
      <alignment horizontal="left" indent="1"/>
    </xf>
    <xf numFmtId="0" fontId="10" fillId="4" borderId="35" xfId="0" applyFont="1" applyFill="1" applyBorder="1" applyAlignment="1">
      <alignment horizontal="right" indent="1"/>
    </xf>
    <xf numFmtId="0" fontId="11" fillId="4" borderId="47" xfId="0" applyFont="1" applyFill="1" applyBorder="1" applyAlignment="1">
      <alignment horizontal="left" indent="1"/>
    </xf>
    <xf numFmtId="3" fontId="28" fillId="2" borderId="33" xfId="0" applyNumberFormat="1" applyFont="1" applyFill="1" applyBorder="1" applyAlignment="1">
      <alignment horizontal="right" vertical="center" indent="1"/>
    </xf>
    <xf numFmtId="3" fontId="28" fillId="2" borderId="28" xfId="0" applyNumberFormat="1" applyFont="1" applyFill="1" applyBorder="1" applyAlignment="1">
      <alignment horizontal="right" vertical="center" indent="1"/>
    </xf>
    <xf numFmtId="3" fontId="28" fillId="2" borderId="35" xfId="0" applyNumberFormat="1" applyFont="1" applyFill="1" applyBorder="1" applyAlignment="1">
      <alignment horizontal="right" vertical="center" indent="1"/>
    </xf>
    <xf numFmtId="3" fontId="28" fillId="2" borderId="44" xfId="0" applyNumberFormat="1" applyFont="1" applyFill="1" applyBorder="1" applyAlignment="1">
      <alignment horizontal="right" vertical="center" indent="1"/>
    </xf>
    <xf numFmtId="0" fontId="26" fillId="0" borderId="16" xfId="0" applyFont="1" applyBorder="1" applyAlignment="1">
      <alignment horizontal="left" vertical="center" indent="1"/>
    </xf>
    <xf numFmtId="0" fontId="10" fillId="2" borderId="16" xfId="0" applyFont="1" applyFill="1" applyBorder="1" applyAlignment="1">
      <alignment horizontal="left" vertical="center" indent="1"/>
    </xf>
    <xf numFmtId="3" fontId="28" fillId="2" borderId="0" xfId="0" applyNumberFormat="1" applyFont="1" applyFill="1" applyBorder="1" applyAlignment="1">
      <alignment horizontal="right" indent="2"/>
    </xf>
    <xf numFmtId="3" fontId="28" fillId="2" borderId="28" xfId="0" applyNumberFormat="1" applyFont="1" applyFill="1" applyBorder="1" applyAlignment="1">
      <alignment horizontal="right" indent="2"/>
    </xf>
    <xf numFmtId="3" fontId="28" fillId="2" borderId="10" xfId="0" applyNumberFormat="1" applyFont="1" applyFill="1" applyBorder="1" applyAlignment="1">
      <alignment horizontal="right" indent="2"/>
    </xf>
    <xf numFmtId="0" fontId="28" fillId="2" borderId="9" xfId="0" applyFont="1" applyFill="1" applyBorder="1" applyAlignment="1">
      <alignment horizontal="right" indent="2"/>
    </xf>
    <xf numFmtId="0" fontId="28" fillId="2" borderId="28" xfId="0" applyFont="1" applyFill="1" applyBorder="1" applyAlignment="1">
      <alignment horizontal="right" indent="2"/>
    </xf>
    <xf numFmtId="0" fontId="28" fillId="2" borderId="10" xfId="0" applyFont="1" applyFill="1" applyBorder="1" applyAlignment="1">
      <alignment horizontal="right" indent="2"/>
    </xf>
    <xf numFmtId="0" fontId="28" fillId="2" borderId="0" xfId="0" applyFont="1" applyFill="1" applyBorder="1" applyAlignment="1">
      <alignment horizontal="right" indent="2"/>
    </xf>
    <xf numFmtId="3" fontId="28" fillId="4" borderId="44" xfId="0" applyNumberFormat="1" applyFont="1" applyFill="1" applyBorder="1" applyAlignment="1">
      <alignment horizontal="right" vertical="center" indent="1"/>
    </xf>
    <xf numFmtId="3" fontId="28" fillId="4" borderId="28" xfId="0" applyNumberFormat="1" applyFont="1" applyFill="1" applyBorder="1" applyAlignment="1">
      <alignment horizontal="right" vertical="center" indent="1"/>
    </xf>
    <xf numFmtId="3" fontId="28" fillId="4" borderId="35" xfId="0" applyNumberFormat="1" applyFont="1" applyFill="1" applyBorder="1" applyAlignment="1">
      <alignment horizontal="right" vertical="center" indent="1"/>
    </xf>
    <xf numFmtId="3" fontId="28" fillId="4" borderId="33" xfId="0" applyNumberFormat="1" applyFont="1" applyFill="1" applyBorder="1" applyAlignment="1">
      <alignment horizontal="right" vertical="center" indent="1"/>
    </xf>
    <xf numFmtId="0" fontId="10" fillId="0" borderId="48" xfId="0" applyFont="1" applyBorder="1" applyAlignment="1">
      <alignment horizontal="left" indent="1"/>
    </xf>
    <xf numFmtId="0" fontId="10" fillId="0" borderId="48" xfId="0" applyFont="1" applyBorder="1" applyAlignment="1">
      <alignment horizontal="left" wrapText="1" indent="1"/>
    </xf>
    <xf numFmtId="0" fontId="15" fillId="2" borderId="39" xfId="0" applyFont="1" applyFill="1" applyBorder="1" applyAlignment="1">
      <alignment horizontal="center" vertical="center"/>
    </xf>
    <xf numFmtId="3" fontId="11" fillId="0" borderId="9" xfId="0" applyNumberFormat="1" applyFont="1" applyBorder="1" applyAlignment="1">
      <alignment horizontal="right" vertical="center" indent="1"/>
    </xf>
    <xf numFmtId="3" fontId="11" fillId="0" borderId="0" xfId="0" applyNumberFormat="1" applyFont="1" applyFill="1" applyBorder="1" applyAlignment="1">
      <alignment horizontal="right" vertical="center" indent="1"/>
    </xf>
    <xf numFmtId="3" fontId="11" fillId="0" borderId="35" xfId="0" applyNumberFormat="1" applyFont="1" applyFill="1" applyBorder="1" applyAlignment="1">
      <alignment horizontal="right" vertical="center" indent="1"/>
    </xf>
    <xf numFmtId="0" fontId="15" fillId="2" borderId="33" xfId="0" applyFont="1" applyFill="1" applyBorder="1" applyAlignment="1">
      <alignment horizontal="center" vertical="center"/>
    </xf>
    <xf numFmtId="9" fontId="11" fillId="2" borderId="33" xfId="0" applyNumberFormat="1" applyFont="1" applyFill="1" applyBorder="1" applyAlignment="1">
      <alignment horizontal="right" vertical="center" indent="1"/>
    </xf>
    <xf numFmtId="0" fontId="37" fillId="0" borderId="0" xfId="0" applyFont="1"/>
    <xf numFmtId="0" fontId="28" fillId="0" borderId="0" xfId="0" applyFont="1"/>
    <xf numFmtId="0" fontId="10" fillId="0" borderId="0" xfId="0" applyFont="1" applyAlignment="1">
      <alignment horizontal="center"/>
    </xf>
    <xf numFmtId="3" fontId="37" fillId="0" borderId="0" xfId="0" applyNumberFormat="1" applyFont="1" applyFill="1" applyBorder="1" applyAlignment="1">
      <alignment horizontal="right" vertical="center" indent="1"/>
    </xf>
    <xf numFmtId="3" fontId="28" fillId="0" borderId="0" xfId="0" applyNumberFormat="1" applyFont="1" applyFill="1" applyBorder="1" applyAlignment="1">
      <alignment horizontal="right" vertical="center" indent="1"/>
    </xf>
    <xf numFmtId="0" fontId="15" fillId="0" borderId="0" xfId="0" applyFont="1" applyFill="1" applyBorder="1" applyAlignment="1">
      <alignment horizontal="center" vertical="center"/>
    </xf>
    <xf numFmtId="0" fontId="10" fillId="0" borderId="0" xfId="0" applyFont="1" applyBorder="1" applyAlignment="1">
      <alignment horizontal="center"/>
    </xf>
    <xf numFmtId="0" fontId="19" fillId="0" borderId="13" xfId="0" applyFont="1" applyFill="1" applyBorder="1" applyAlignment="1">
      <alignment horizontal="center" vertical="center"/>
    </xf>
    <xf numFmtId="0" fontId="39" fillId="0" borderId="0" xfId="0" applyFont="1"/>
    <xf numFmtId="0" fontId="19" fillId="0" borderId="14" xfId="0" applyFont="1" applyFill="1" applyBorder="1" applyAlignment="1">
      <alignment horizontal="center" vertical="center"/>
    </xf>
    <xf numFmtId="0" fontId="39" fillId="0" borderId="0" xfId="0" applyFont="1" applyAlignment="1">
      <alignment vertical="center"/>
    </xf>
    <xf numFmtId="0" fontId="38" fillId="3" borderId="12" xfId="0" applyFont="1" applyFill="1" applyBorder="1" applyAlignment="1">
      <alignment horizontal="left" vertical="center" indent="1"/>
    </xf>
    <xf numFmtId="0" fontId="38" fillId="5" borderId="9" xfId="0" applyFont="1" applyFill="1" applyBorder="1" applyAlignment="1">
      <alignment horizontal="left" vertical="center" indent="1"/>
    </xf>
    <xf numFmtId="0" fontId="37" fillId="0" borderId="9" xfId="0" applyFont="1" applyFill="1" applyBorder="1"/>
    <xf numFmtId="0" fontId="28" fillId="0" borderId="9" xfId="0" applyFont="1" applyFill="1" applyBorder="1"/>
    <xf numFmtId="0" fontId="19" fillId="0" borderId="12" xfId="0" applyFont="1" applyFill="1" applyBorder="1" applyAlignment="1">
      <alignment horizontal="center" vertical="center"/>
    </xf>
    <xf numFmtId="0" fontId="15" fillId="0" borderId="9" xfId="0" applyFont="1" applyFill="1" applyBorder="1" applyAlignment="1">
      <alignment horizontal="center" vertical="center"/>
    </xf>
    <xf numFmtId="166" fontId="37" fillId="0" borderId="9" xfId="2" applyNumberFormat="1" applyFont="1" applyFill="1" applyBorder="1"/>
    <xf numFmtId="166" fontId="28" fillId="0" borderId="9" xfId="2" applyNumberFormat="1" applyFont="1" applyFill="1" applyBorder="1"/>
    <xf numFmtId="0" fontId="19" fillId="0" borderId="5" xfId="0" applyFont="1" applyFill="1" applyBorder="1" applyAlignment="1">
      <alignment horizontal="center" vertical="center"/>
    </xf>
    <xf numFmtId="0" fontId="15" fillId="0" borderId="16" xfId="0" applyFont="1" applyFill="1" applyBorder="1" applyAlignment="1">
      <alignment horizontal="center" vertical="center"/>
    </xf>
    <xf numFmtId="9" fontId="37" fillId="0" borderId="16" xfId="1" applyFont="1" applyFill="1" applyBorder="1" applyAlignment="1">
      <alignment horizontal="right" vertical="center" indent="1"/>
    </xf>
    <xf numFmtId="9" fontId="28" fillId="0" borderId="16" xfId="1" applyFont="1" applyFill="1" applyBorder="1" applyAlignment="1">
      <alignment horizontal="right" vertical="center" indent="1"/>
    </xf>
    <xf numFmtId="0" fontId="33" fillId="0" borderId="11" xfId="0" applyFont="1" applyFill="1" applyBorder="1" applyAlignment="1">
      <alignment horizontal="center" vertical="center"/>
    </xf>
    <xf numFmtId="3" fontId="37" fillId="0" borderId="16" xfId="0" applyNumberFormat="1" applyFont="1" applyFill="1" applyBorder="1" applyAlignment="1">
      <alignment horizontal="right" vertical="center" indent="1"/>
    </xf>
    <xf numFmtId="0" fontId="15" fillId="0" borderId="10" xfId="0" applyFont="1" applyFill="1" applyBorder="1" applyAlignment="1">
      <alignment horizontal="center" vertical="center"/>
    </xf>
    <xf numFmtId="3" fontId="37" fillId="0" borderId="10" xfId="0" applyNumberFormat="1" applyFont="1" applyFill="1" applyBorder="1" applyAlignment="1">
      <alignment horizontal="right" vertical="center" indent="1"/>
    </xf>
    <xf numFmtId="3" fontId="28" fillId="0" borderId="10" xfId="0" applyNumberFormat="1" applyFont="1" applyFill="1" applyBorder="1" applyAlignment="1">
      <alignment horizontal="right" vertical="center" indent="1"/>
    </xf>
    <xf numFmtId="0" fontId="15" fillId="0" borderId="16" xfId="0" applyFont="1" applyFill="1" applyBorder="1" applyAlignment="1">
      <alignment horizontal="center"/>
    </xf>
    <xf numFmtId="165" fontId="28" fillId="0" borderId="16" xfId="2" applyNumberFormat="1" applyFont="1" applyFill="1" applyBorder="1" applyAlignment="1">
      <alignment horizontal="right" vertical="center" indent="1"/>
    </xf>
    <xf numFmtId="165" fontId="37" fillId="0" borderId="16" xfId="2" applyNumberFormat="1" applyFont="1" applyFill="1" applyBorder="1" applyAlignment="1">
      <alignment horizontal="right" vertical="center" indent="1"/>
    </xf>
    <xf numFmtId="1" fontId="37" fillId="0" borderId="16" xfId="0" applyNumberFormat="1" applyFont="1" applyFill="1" applyBorder="1" applyAlignment="1">
      <alignment horizontal="right" vertical="center" indent="1"/>
    </xf>
    <xf numFmtId="9" fontId="37" fillId="0" borderId="16" xfId="1" applyFont="1" applyFill="1" applyBorder="1" applyAlignment="1">
      <alignment horizontal="right" indent="1"/>
    </xf>
    <xf numFmtId="1" fontId="28" fillId="0" borderId="16" xfId="0" applyNumberFormat="1" applyFont="1" applyFill="1" applyBorder="1" applyAlignment="1">
      <alignment horizontal="right" vertical="center" indent="1"/>
    </xf>
    <xf numFmtId="9" fontId="28" fillId="0" borderId="16" xfId="1" applyFont="1" applyFill="1" applyBorder="1" applyAlignment="1">
      <alignment horizontal="right" indent="1"/>
    </xf>
    <xf numFmtId="0" fontId="40" fillId="0" borderId="0" xfId="0" applyFont="1"/>
    <xf numFmtId="0" fontId="40" fillId="0" borderId="0" xfId="0" applyFont="1" applyAlignment="1">
      <alignment horizontal="center"/>
    </xf>
    <xf numFmtId="0" fontId="41" fillId="0" borderId="0" xfId="0" applyFont="1"/>
    <xf numFmtId="0" fontId="28" fillId="4" borderId="9" xfId="0" applyFont="1" applyFill="1" applyBorder="1"/>
    <xf numFmtId="166" fontId="28" fillId="4" borderId="9" xfId="2" applyNumberFormat="1" applyFont="1" applyFill="1" applyBorder="1"/>
    <xf numFmtId="9" fontId="28" fillId="4" borderId="16" xfId="1" applyFont="1" applyFill="1" applyBorder="1" applyAlignment="1">
      <alignment horizontal="right" vertical="center" indent="1"/>
    </xf>
    <xf numFmtId="3" fontId="28" fillId="4" borderId="10" xfId="0" applyNumberFormat="1" applyFont="1" applyFill="1" applyBorder="1" applyAlignment="1">
      <alignment horizontal="right" vertical="center" indent="1"/>
    </xf>
    <xf numFmtId="165" fontId="28" fillId="4" borderId="16" xfId="2" applyNumberFormat="1" applyFont="1" applyFill="1" applyBorder="1" applyAlignment="1">
      <alignment horizontal="right" vertical="center" indent="1"/>
    </xf>
    <xf numFmtId="1" fontId="28" fillId="4" borderId="16" xfId="0" applyNumberFormat="1" applyFont="1" applyFill="1" applyBorder="1" applyAlignment="1">
      <alignment horizontal="right" vertical="center" indent="1"/>
    </xf>
    <xf numFmtId="9" fontId="28" fillId="4" borderId="16" xfId="1" applyFont="1" applyFill="1" applyBorder="1" applyAlignment="1">
      <alignment horizontal="right" indent="1"/>
    </xf>
    <xf numFmtId="0" fontId="37" fillId="4" borderId="9" xfId="0" applyFont="1" applyFill="1" applyBorder="1"/>
    <xf numFmtId="166" fontId="37" fillId="4" borderId="9" xfId="2" applyNumberFormat="1" applyFont="1" applyFill="1" applyBorder="1"/>
    <xf numFmtId="9" fontId="37" fillId="4" borderId="16" xfId="1" applyFont="1" applyFill="1" applyBorder="1" applyAlignment="1">
      <alignment horizontal="right" vertical="center" indent="1"/>
    </xf>
    <xf numFmtId="3" fontId="37" fillId="4" borderId="16" xfId="0" applyNumberFormat="1" applyFont="1" applyFill="1" applyBorder="1" applyAlignment="1">
      <alignment horizontal="right" vertical="center" indent="1"/>
    </xf>
    <xf numFmtId="3" fontId="37" fillId="4" borderId="0" xfId="0" applyNumberFormat="1" applyFont="1" applyFill="1" applyBorder="1" applyAlignment="1">
      <alignment horizontal="right" vertical="center" indent="1"/>
    </xf>
    <xf numFmtId="3" fontId="37" fillId="4" borderId="10" xfId="0" applyNumberFormat="1" applyFont="1" applyFill="1" applyBorder="1" applyAlignment="1">
      <alignment horizontal="right" vertical="center" indent="1"/>
    </xf>
    <xf numFmtId="165" fontId="37" fillId="4" borderId="16" xfId="2" applyNumberFormat="1" applyFont="1" applyFill="1" applyBorder="1" applyAlignment="1">
      <alignment horizontal="right" vertical="center" indent="1"/>
    </xf>
    <xf numFmtId="1" fontId="37" fillId="4" borderId="16" xfId="0" applyNumberFormat="1" applyFont="1" applyFill="1" applyBorder="1" applyAlignment="1">
      <alignment horizontal="right" vertical="center" indent="1"/>
    </xf>
    <xf numFmtId="9" fontId="37" fillId="4" borderId="16" xfId="1" applyFont="1" applyFill="1" applyBorder="1" applyAlignment="1">
      <alignment horizontal="right" indent="1"/>
    </xf>
    <xf numFmtId="0" fontId="19" fillId="2" borderId="0" xfId="0" applyFont="1" applyFill="1" applyBorder="1" applyAlignment="1">
      <alignment horizontal="center" vertical="center"/>
    </xf>
    <xf numFmtId="0" fontId="16" fillId="0" borderId="6" xfId="0" applyFont="1" applyFill="1" applyBorder="1" applyAlignment="1">
      <alignment horizontal="left" vertical="center" indent="1"/>
    </xf>
    <xf numFmtId="0" fontId="19" fillId="2" borderId="33" xfId="0" applyFont="1" applyFill="1" applyBorder="1" applyAlignment="1">
      <alignment horizontal="center" vertical="center"/>
    </xf>
    <xf numFmtId="0" fontId="19" fillId="2" borderId="28" xfId="0" applyFont="1" applyFill="1" applyBorder="1" applyAlignment="1">
      <alignment horizontal="center" vertical="center"/>
    </xf>
    <xf numFmtId="0" fontId="19" fillId="2" borderId="34" xfId="0" applyFont="1" applyFill="1" applyBorder="1" applyAlignment="1">
      <alignment horizontal="center" vertical="center"/>
    </xf>
    <xf numFmtId="0" fontId="19" fillId="2" borderId="35" xfId="0" applyFont="1" applyFill="1" applyBorder="1" applyAlignment="1">
      <alignment horizontal="center" vertical="center"/>
    </xf>
    <xf numFmtId="9" fontId="10" fillId="2" borderId="33" xfId="1" applyFont="1" applyFill="1" applyBorder="1" applyAlignment="1">
      <alignment horizontal="right" indent="1"/>
    </xf>
    <xf numFmtId="3" fontId="29" fillId="2" borderId="25" xfId="0" applyNumberFormat="1" applyFont="1" applyFill="1" applyBorder="1" applyAlignment="1">
      <alignment horizontal="right" vertical="center" indent="1"/>
    </xf>
    <xf numFmtId="3" fontId="29" fillId="2" borderId="13" xfId="0" applyNumberFormat="1" applyFont="1" applyFill="1" applyBorder="1" applyAlignment="1">
      <alignment horizontal="right" vertical="center" indent="1"/>
    </xf>
    <xf numFmtId="3" fontId="29" fillId="2" borderId="26" xfId="0" applyNumberFormat="1" applyFont="1" applyFill="1" applyBorder="1" applyAlignment="1">
      <alignment horizontal="right" vertical="center" indent="1"/>
    </xf>
    <xf numFmtId="3" fontId="29" fillId="2" borderId="27" xfId="0" applyNumberFormat="1" applyFont="1" applyFill="1" applyBorder="1" applyAlignment="1">
      <alignment horizontal="right" vertical="center" indent="1"/>
    </xf>
    <xf numFmtId="3" fontId="29" fillId="2" borderId="24" xfId="0" applyNumberFormat="1" applyFont="1" applyFill="1" applyBorder="1" applyAlignment="1">
      <alignment horizontal="right" vertical="center" indent="1"/>
    </xf>
    <xf numFmtId="1" fontId="10" fillId="2" borderId="7" xfId="0" applyNumberFormat="1" applyFont="1" applyFill="1" applyBorder="1" applyAlignment="1">
      <alignment horizontal="right" vertical="center" indent="1"/>
    </xf>
    <xf numFmtId="0" fontId="10" fillId="2" borderId="7" xfId="0" applyFont="1" applyFill="1" applyBorder="1" applyAlignment="1">
      <alignment horizontal="right" vertical="center" indent="1"/>
    </xf>
    <xf numFmtId="9" fontId="12" fillId="2" borderId="25" xfId="0" applyNumberFormat="1" applyFont="1" applyFill="1" applyBorder="1" applyAlignment="1">
      <alignment horizontal="right" vertical="center" indent="1"/>
    </xf>
    <xf numFmtId="9" fontId="12" fillId="2" borderId="13" xfId="0" applyNumberFormat="1" applyFont="1" applyFill="1" applyBorder="1" applyAlignment="1">
      <alignment horizontal="right" vertical="center" indent="1"/>
    </xf>
    <xf numFmtId="9" fontId="12" fillId="2" borderId="27" xfId="0" applyNumberFormat="1" applyFont="1" applyFill="1" applyBorder="1" applyAlignment="1">
      <alignment horizontal="right" vertical="center" indent="1"/>
    </xf>
    <xf numFmtId="9" fontId="12" fillId="2" borderId="26" xfId="0" applyNumberFormat="1" applyFont="1" applyFill="1" applyBorder="1" applyAlignment="1">
      <alignment horizontal="right" vertical="center" indent="1"/>
    </xf>
    <xf numFmtId="9" fontId="12" fillId="2" borderId="24" xfId="0" applyNumberFormat="1" applyFont="1" applyFill="1" applyBorder="1" applyAlignment="1">
      <alignment horizontal="right" vertical="center" indent="1"/>
    </xf>
    <xf numFmtId="3" fontId="28" fillId="0" borderId="9" xfId="0" applyNumberFormat="1" applyFont="1" applyFill="1" applyBorder="1" applyAlignment="1">
      <alignment horizontal="right" vertical="center" indent="1"/>
    </xf>
    <xf numFmtId="3" fontId="28" fillId="0" borderId="4" xfId="0" applyNumberFormat="1" applyFont="1" applyFill="1" applyBorder="1" applyAlignment="1">
      <alignment horizontal="right" vertical="center" indent="1"/>
    </xf>
    <xf numFmtId="3" fontId="28" fillId="0" borderId="4" xfId="0" applyNumberFormat="1" applyFont="1" applyBorder="1" applyAlignment="1">
      <alignment horizontal="right" vertical="center" indent="1"/>
    </xf>
    <xf numFmtId="3" fontId="28" fillId="4" borderId="4" xfId="0" applyNumberFormat="1" applyFont="1" applyFill="1" applyBorder="1" applyAlignment="1">
      <alignment horizontal="right" vertical="center" indent="1"/>
    </xf>
    <xf numFmtId="1" fontId="10" fillId="2" borderId="43" xfId="0" applyNumberFormat="1" applyFont="1" applyFill="1" applyBorder="1" applyAlignment="1">
      <alignment horizontal="right" vertical="center" indent="1"/>
    </xf>
    <xf numFmtId="3" fontId="12" fillId="2" borderId="20" xfId="0" applyNumberFormat="1" applyFont="1" applyFill="1" applyBorder="1" applyAlignment="1">
      <alignment horizontal="right" vertical="center" indent="1"/>
    </xf>
    <xf numFmtId="3" fontId="12" fillId="2" borderId="21" xfId="0" applyNumberFormat="1" applyFont="1" applyFill="1" applyBorder="1" applyAlignment="1">
      <alignment horizontal="right" vertical="center" indent="1"/>
    </xf>
    <xf numFmtId="3" fontId="12" fillId="2" borderId="23" xfId="0" applyNumberFormat="1" applyFont="1" applyFill="1" applyBorder="1" applyAlignment="1">
      <alignment horizontal="right" vertical="center" indent="1"/>
    </xf>
    <xf numFmtId="3" fontId="12" fillId="2" borderId="22" xfId="0" applyNumberFormat="1" applyFont="1" applyFill="1" applyBorder="1" applyAlignment="1">
      <alignment horizontal="right" vertical="center" indent="1"/>
    </xf>
    <xf numFmtId="0" fontId="10" fillId="2" borderId="7" xfId="0" applyFont="1" applyFill="1" applyBorder="1" applyAlignment="1">
      <alignment horizontal="right" vertical="center"/>
    </xf>
    <xf numFmtId="9" fontId="12" fillId="2" borderId="20" xfId="0" applyNumberFormat="1" applyFont="1" applyFill="1" applyBorder="1" applyAlignment="1">
      <alignment horizontal="right" vertical="center" indent="1"/>
    </xf>
    <xf numFmtId="9" fontId="12" fillId="2" borderId="21" xfId="0" applyNumberFormat="1" applyFont="1" applyFill="1" applyBorder="1" applyAlignment="1">
      <alignment horizontal="right" vertical="center" indent="1"/>
    </xf>
    <xf numFmtId="9" fontId="12" fillId="2" borderId="22" xfId="0" applyNumberFormat="1" applyFont="1" applyFill="1" applyBorder="1" applyAlignment="1">
      <alignment horizontal="right" vertical="center" indent="1"/>
    </xf>
    <xf numFmtId="9" fontId="12" fillId="2" borderId="23" xfId="0" applyNumberFormat="1" applyFont="1" applyFill="1" applyBorder="1" applyAlignment="1">
      <alignment horizontal="right" vertical="center" indent="1"/>
    </xf>
    <xf numFmtId="3" fontId="12" fillId="2" borderId="25" xfId="0" applyNumberFormat="1" applyFont="1" applyFill="1" applyBorder="1" applyAlignment="1">
      <alignment horizontal="right" vertical="center" indent="1"/>
    </xf>
    <xf numFmtId="3" fontId="12" fillId="2" borderId="24" xfId="0" applyNumberFormat="1" applyFont="1" applyFill="1" applyBorder="1" applyAlignment="1">
      <alignment horizontal="right" vertical="center" indent="1"/>
    </xf>
    <xf numFmtId="3" fontId="12" fillId="2" borderId="26" xfId="0" applyNumberFormat="1" applyFont="1" applyFill="1" applyBorder="1" applyAlignment="1">
      <alignment horizontal="right" vertical="center" indent="1"/>
    </xf>
    <xf numFmtId="3" fontId="12" fillId="2" borderId="27" xfId="0" applyNumberFormat="1" applyFont="1" applyFill="1" applyBorder="1" applyAlignment="1">
      <alignment horizontal="right" vertical="center" indent="1"/>
    </xf>
    <xf numFmtId="3" fontId="12" fillId="2" borderId="46" xfId="0" applyNumberFormat="1" applyFont="1" applyFill="1" applyBorder="1" applyAlignment="1">
      <alignment horizontal="right" vertical="center" indent="1"/>
    </xf>
    <xf numFmtId="3" fontId="29" fillId="2" borderId="25" xfId="0" applyNumberFormat="1" applyFont="1" applyFill="1" applyBorder="1" applyAlignment="1">
      <alignment horizontal="center" vertical="center"/>
    </xf>
    <xf numFmtId="3" fontId="29" fillId="2" borderId="24" xfId="0" applyNumberFormat="1" applyFont="1" applyFill="1" applyBorder="1" applyAlignment="1">
      <alignment horizontal="center" vertical="center"/>
    </xf>
    <xf numFmtId="3" fontId="29" fillId="2" borderId="27" xfId="0" applyNumberFormat="1" applyFont="1" applyFill="1" applyBorder="1" applyAlignment="1">
      <alignment horizontal="center" vertical="center"/>
    </xf>
    <xf numFmtId="3" fontId="29" fillId="0" borderId="12" xfId="0" applyNumberFormat="1" applyFont="1" applyBorder="1" applyAlignment="1">
      <alignment horizontal="right" vertical="center" indent="1"/>
    </xf>
    <xf numFmtId="3" fontId="29" fillId="0" borderId="27" xfId="0" applyNumberFormat="1" applyFont="1" applyBorder="1" applyAlignment="1">
      <alignment horizontal="right" vertical="center" indent="1"/>
    </xf>
    <xf numFmtId="3" fontId="12" fillId="0" borderId="13" xfId="0" applyNumberFormat="1" applyFont="1" applyBorder="1" applyAlignment="1">
      <alignment horizontal="right" vertical="center" indent="1"/>
    </xf>
    <xf numFmtId="3" fontId="12" fillId="0" borderId="27" xfId="0" applyNumberFormat="1" applyFont="1" applyBorder="1" applyAlignment="1">
      <alignment horizontal="right" vertical="center" indent="1"/>
    </xf>
    <xf numFmtId="3" fontId="12" fillId="0" borderId="46" xfId="0" applyNumberFormat="1" applyFont="1" applyBorder="1" applyAlignment="1">
      <alignment horizontal="right" vertical="center" indent="1"/>
    </xf>
    <xf numFmtId="3" fontId="12" fillId="0" borderId="25" xfId="0" applyNumberFormat="1" applyFont="1" applyBorder="1" applyAlignment="1">
      <alignment horizontal="right" vertical="center" indent="1"/>
    </xf>
    <xf numFmtId="0" fontId="10" fillId="2" borderId="6" xfId="0" applyFont="1" applyFill="1" applyBorder="1" applyAlignment="1">
      <alignment horizontal="right" indent="1"/>
    </xf>
    <xf numFmtId="0" fontId="10" fillId="2" borderId="7" xfId="0" applyFont="1" applyFill="1" applyBorder="1" applyAlignment="1">
      <alignment horizontal="right" indent="1"/>
    </xf>
    <xf numFmtId="0" fontId="10" fillId="2" borderId="8" xfId="0" applyFont="1" applyFill="1" applyBorder="1" applyAlignment="1">
      <alignment horizontal="right" indent="1"/>
    </xf>
    <xf numFmtId="0" fontId="11" fillId="4" borderId="9" xfId="0" applyFont="1" applyFill="1" applyBorder="1" applyAlignment="1">
      <alignment horizontal="left" indent="1"/>
    </xf>
    <xf numFmtId="3" fontId="11" fillId="2" borderId="33" xfId="0" applyNumberFormat="1" applyFont="1" applyFill="1" applyBorder="1" applyAlignment="1">
      <alignment horizontal="right" vertical="center" indent="2"/>
    </xf>
    <xf numFmtId="3" fontId="11" fillId="2" borderId="35" xfId="0" applyNumberFormat="1" applyFont="1" applyFill="1" applyBorder="1" applyAlignment="1">
      <alignment horizontal="right" vertical="center" indent="2"/>
    </xf>
    <xf numFmtId="3" fontId="11" fillId="2" borderId="0" xfId="0" applyNumberFormat="1" applyFont="1" applyFill="1" applyBorder="1" applyAlignment="1">
      <alignment horizontal="right" vertical="center" indent="2"/>
    </xf>
    <xf numFmtId="0" fontId="10" fillId="2" borderId="35" xfId="0" applyFont="1" applyFill="1" applyBorder="1" applyAlignment="1">
      <alignment horizontal="right" indent="2"/>
    </xf>
    <xf numFmtId="3" fontId="32" fillId="2" borderId="13" xfId="0" applyNumberFormat="1" applyFont="1" applyFill="1" applyBorder="1" applyAlignment="1">
      <alignment horizontal="right" vertical="center" indent="1"/>
    </xf>
    <xf numFmtId="0" fontId="12" fillId="0" borderId="12" xfId="0" applyFont="1" applyFill="1" applyBorder="1" applyAlignment="1">
      <alignment horizontal="left" vertical="center" indent="1"/>
    </xf>
    <xf numFmtId="3" fontId="29" fillId="0" borderId="12" xfId="0" applyNumberFormat="1" applyFont="1" applyFill="1" applyBorder="1" applyAlignment="1">
      <alignment horizontal="right" vertical="center"/>
    </xf>
    <xf numFmtId="3" fontId="32" fillId="0" borderId="5" xfId="0" applyNumberFormat="1" applyFont="1" applyFill="1" applyBorder="1" applyAlignment="1">
      <alignment horizontal="right" vertical="center" indent="1"/>
    </xf>
    <xf numFmtId="3" fontId="29" fillId="0" borderId="5" xfId="0" applyNumberFormat="1" applyFont="1" applyFill="1" applyBorder="1" applyAlignment="1">
      <alignment horizontal="right" vertical="center" indent="1"/>
    </xf>
    <xf numFmtId="3" fontId="32" fillId="0" borderId="13" xfId="0" applyNumberFormat="1" applyFont="1" applyFill="1" applyBorder="1" applyAlignment="1">
      <alignment horizontal="right" vertical="center" indent="1"/>
    </xf>
    <xf numFmtId="3" fontId="32" fillId="0" borderId="14" xfId="0" applyNumberFormat="1" applyFont="1" applyFill="1" applyBorder="1" applyAlignment="1">
      <alignment horizontal="right" vertical="center" indent="1"/>
    </xf>
    <xf numFmtId="0" fontId="10" fillId="0" borderId="7" xfId="0" applyFont="1" applyFill="1" applyBorder="1" applyAlignment="1">
      <alignment horizontal="right" indent="1"/>
    </xf>
    <xf numFmtId="0" fontId="10" fillId="0" borderId="7" xfId="0" applyFont="1" applyFill="1" applyBorder="1" applyAlignment="1">
      <alignment horizontal="right" vertical="center" indent="1"/>
    </xf>
    <xf numFmtId="9" fontId="28" fillId="0" borderId="5" xfId="1" applyNumberFormat="1" applyFont="1" applyFill="1" applyBorder="1" applyAlignment="1">
      <alignment horizontal="right" indent="1"/>
    </xf>
    <xf numFmtId="0" fontId="28" fillId="0" borderId="0" xfId="0" applyFont="1" applyBorder="1"/>
    <xf numFmtId="0" fontId="22" fillId="0" borderId="0" xfId="0" applyFont="1" applyAlignment="1">
      <alignment horizontal="center"/>
    </xf>
    <xf numFmtId="0" fontId="42" fillId="0" borderId="0" xfId="0" applyFont="1"/>
    <xf numFmtId="0" fontId="21" fillId="0" borderId="0" xfId="0" applyFont="1" applyAlignment="1">
      <alignment horizontal="center"/>
    </xf>
    <xf numFmtId="0" fontId="43" fillId="0" borderId="0" xfId="0" applyFont="1"/>
    <xf numFmtId="0" fontId="46" fillId="0" borderId="0" xfId="0" applyFont="1"/>
    <xf numFmtId="0" fontId="48" fillId="0" borderId="0" xfId="0" applyFont="1"/>
    <xf numFmtId="0" fontId="49" fillId="0" borderId="0" xfId="0" applyFont="1"/>
    <xf numFmtId="0" fontId="50" fillId="0" borderId="0" xfId="0" applyFont="1" applyAlignment="1">
      <alignment horizontal="center"/>
    </xf>
    <xf numFmtId="0" fontId="52" fillId="0" borderId="0" xfId="0" applyFont="1" applyAlignment="1">
      <alignment vertical="center"/>
    </xf>
    <xf numFmtId="0" fontId="50" fillId="0" borderId="0" xfId="0" applyFont="1"/>
    <xf numFmtId="0" fontId="54" fillId="2" borderId="0" xfId="0" applyFont="1" applyFill="1" applyAlignment="1">
      <alignment horizontal="center" vertical="center"/>
    </xf>
    <xf numFmtId="0" fontId="55" fillId="0" borderId="0" xfId="0" applyFont="1" applyAlignment="1">
      <alignment vertical="center"/>
    </xf>
    <xf numFmtId="0" fontId="56" fillId="0" borderId="0" xfId="0" applyFont="1"/>
    <xf numFmtId="0" fontId="58" fillId="2" borderId="0" xfId="0" applyFont="1" applyFill="1" applyAlignment="1">
      <alignment horizontal="center" vertical="center"/>
    </xf>
    <xf numFmtId="0" fontId="58" fillId="2" borderId="0" xfId="0" applyFont="1" applyFill="1" applyAlignment="1">
      <alignment horizontal="left" vertical="center"/>
    </xf>
    <xf numFmtId="0" fontId="54" fillId="0" borderId="0" xfId="0" applyFont="1" applyAlignment="1">
      <alignment vertical="center"/>
    </xf>
    <xf numFmtId="0" fontId="59" fillId="0" borderId="0" xfId="0" applyFont="1"/>
    <xf numFmtId="0" fontId="57" fillId="0" borderId="0" xfId="0" applyFont="1" applyAlignment="1"/>
    <xf numFmtId="0" fontId="53" fillId="0" borderId="0" xfId="0" applyFont="1" applyAlignment="1"/>
    <xf numFmtId="0" fontId="58" fillId="0" borderId="0" xfId="0" applyFont="1" applyAlignment="1">
      <alignment vertical="center"/>
    </xf>
    <xf numFmtId="0" fontId="47" fillId="0" borderId="0" xfId="0" applyFont="1"/>
    <xf numFmtId="0" fontId="60" fillId="2" borderId="0" xfId="0" applyFont="1" applyFill="1" applyAlignment="1">
      <alignment horizontal="center" vertical="center"/>
    </xf>
    <xf numFmtId="0" fontId="16" fillId="3" borderId="11" xfId="0" applyFont="1" applyFill="1" applyBorder="1" applyAlignment="1">
      <alignment horizontal="center" vertical="center"/>
    </xf>
    <xf numFmtId="0" fontId="16" fillId="3" borderId="11"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5" xfId="0" applyFont="1" applyFill="1" applyBorder="1" applyAlignment="1">
      <alignment horizontal="center" vertical="center"/>
    </xf>
    <xf numFmtId="0" fontId="16" fillId="3" borderId="16" xfId="0" applyFont="1" applyFill="1" applyBorder="1" applyAlignment="1">
      <alignment horizontal="center" vertical="center"/>
    </xf>
    <xf numFmtId="0" fontId="12" fillId="0" borderId="0" xfId="0" applyFont="1" applyAlignment="1">
      <alignment horizontal="center"/>
    </xf>
    <xf numFmtId="0" fontId="44" fillId="0" borderId="0" xfId="32"/>
    <xf numFmtId="0" fontId="62" fillId="2" borderId="0" xfId="32" applyFont="1" applyFill="1"/>
    <xf numFmtId="0" fontId="62" fillId="0" borderId="0" xfId="32" applyFont="1"/>
    <xf numFmtId="0" fontId="12" fillId="2" borderId="17" xfId="0" applyFont="1" applyFill="1" applyBorder="1" applyAlignment="1">
      <alignment horizontal="left" vertical="center" indent="1"/>
    </xf>
    <xf numFmtId="3" fontId="12" fillId="2" borderId="25" xfId="0" applyNumberFormat="1" applyFont="1" applyFill="1" applyBorder="1" applyAlignment="1">
      <alignment horizontal="left" vertical="center" indent="1"/>
    </xf>
    <xf numFmtId="3" fontId="12" fillId="2" borderId="24" xfId="0" applyNumberFormat="1" applyFont="1" applyFill="1" applyBorder="1" applyAlignment="1">
      <alignment horizontal="center" vertical="center"/>
    </xf>
    <xf numFmtId="0" fontId="10" fillId="2" borderId="6" xfId="0" applyFont="1" applyFill="1" applyBorder="1" applyAlignment="1">
      <alignment horizontal="right" vertical="center"/>
    </xf>
    <xf numFmtId="0" fontId="10" fillId="2" borderId="8" xfId="0" applyFont="1" applyFill="1" applyBorder="1" applyAlignment="1">
      <alignment horizontal="right" vertical="center"/>
    </xf>
    <xf numFmtId="1" fontId="10" fillId="2" borderId="10" xfId="0" applyNumberFormat="1" applyFont="1" applyFill="1" applyBorder="1" applyAlignment="1">
      <alignment horizontal="right" vertical="center" indent="1"/>
    </xf>
    <xf numFmtId="1" fontId="10" fillId="2" borderId="45" xfId="0" applyNumberFormat="1" applyFont="1" applyFill="1" applyBorder="1" applyAlignment="1">
      <alignment horizontal="right" vertical="center" indent="1"/>
    </xf>
    <xf numFmtId="9" fontId="11" fillId="4" borderId="33" xfId="0" applyNumberFormat="1" applyFont="1" applyFill="1" applyBorder="1" applyAlignment="1">
      <alignment horizontal="right" vertical="center" indent="1"/>
    </xf>
    <xf numFmtId="9" fontId="11" fillId="2" borderId="45" xfId="0" applyNumberFormat="1" applyFont="1" applyFill="1" applyBorder="1" applyAlignment="1">
      <alignment horizontal="right" vertical="center" indent="1"/>
    </xf>
    <xf numFmtId="3" fontId="32" fillId="2" borderId="24" xfId="0" applyNumberFormat="1" applyFont="1" applyFill="1" applyBorder="1" applyAlignment="1">
      <alignment horizontal="right" vertical="center" indent="1"/>
    </xf>
    <xf numFmtId="3" fontId="32" fillId="2" borderId="27" xfId="0" applyNumberFormat="1" applyFont="1" applyFill="1" applyBorder="1" applyAlignment="1">
      <alignment horizontal="right" vertical="center" indent="1"/>
    </xf>
    <xf numFmtId="3" fontId="32" fillId="2" borderId="14" xfId="0" applyNumberFormat="1" applyFont="1" applyFill="1" applyBorder="1" applyAlignment="1">
      <alignment horizontal="right" vertical="center" indent="1"/>
    </xf>
    <xf numFmtId="0" fontId="10" fillId="4" borderId="48" xfId="0" applyFont="1" applyFill="1" applyBorder="1" applyAlignment="1">
      <alignment horizontal="left" indent="1"/>
    </xf>
    <xf numFmtId="0" fontId="10" fillId="4" borderId="48" xfId="0" applyFont="1" applyFill="1" applyBorder="1" applyAlignment="1">
      <alignment horizontal="left" wrapText="1" indent="1"/>
    </xf>
    <xf numFmtId="0" fontId="17" fillId="3" borderId="12"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6" fillId="3" borderId="5" xfId="0" applyFont="1" applyFill="1" applyBorder="1" applyAlignment="1">
      <alignment horizontal="center" vertical="center"/>
    </xf>
    <xf numFmtId="0" fontId="16" fillId="3" borderId="5" xfId="0" applyFont="1" applyFill="1" applyBorder="1" applyAlignment="1">
      <alignment horizontal="center" vertical="center" wrapText="1"/>
    </xf>
    <xf numFmtId="3" fontId="10" fillId="2" borderId="9" xfId="0" applyNumberFormat="1" applyFont="1" applyFill="1" applyBorder="1" applyAlignment="1">
      <alignment horizontal="right" indent="2"/>
    </xf>
    <xf numFmtId="3" fontId="10" fillId="2" borderId="10" xfId="0" applyNumberFormat="1" applyFont="1" applyFill="1" applyBorder="1" applyAlignment="1">
      <alignment horizontal="right" indent="2"/>
    </xf>
    <xf numFmtId="0" fontId="61" fillId="2" borderId="0" xfId="32" applyFont="1" applyFill="1" applyAlignment="1">
      <alignment horizontal="left" vertical="center"/>
    </xf>
    <xf numFmtId="0" fontId="45" fillId="0" borderId="0" xfId="0" applyFont="1" applyAlignment="1">
      <alignment horizontal="center"/>
    </xf>
    <xf numFmtId="0" fontId="47" fillId="0" borderId="0" xfId="0" applyFont="1" applyAlignment="1">
      <alignment horizontal="center"/>
    </xf>
    <xf numFmtId="0" fontId="50" fillId="0" borderId="0" xfId="0" applyFont="1" applyAlignment="1">
      <alignment horizontal="center"/>
    </xf>
    <xf numFmtId="0" fontId="12" fillId="0" borderId="0" xfId="0" applyFont="1" applyAlignment="1">
      <alignment horizontal="center"/>
    </xf>
    <xf numFmtId="0" fontId="51" fillId="2" borderId="0" xfId="0" applyFont="1" applyFill="1" applyAlignment="1">
      <alignment horizontal="center" vertical="center"/>
    </xf>
    <xf numFmtId="0" fontId="61" fillId="0" borderId="0" xfId="32" applyFont="1" applyFill="1"/>
    <xf numFmtId="0" fontId="53" fillId="0" borderId="0" xfId="0" applyFont="1" applyAlignment="1">
      <alignment horizontal="center"/>
    </xf>
    <xf numFmtId="0" fontId="57" fillId="0" borderId="0" xfId="0" applyFont="1" applyAlignment="1">
      <alignment horizontal="center"/>
    </xf>
    <xf numFmtId="0" fontId="16"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7" fillId="3" borderId="9" xfId="0" applyFont="1" applyFill="1" applyBorder="1" applyAlignment="1">
      <alignment horizontal="center" vertical="top" wrapText="1"/>
    </xf>
    <xf numFmtId="0" fontId="17" fillId="3" borderId="0" xfId="0" applyFont="1" applyFill="1" applyBorder="1" applyAlignment="1">
      <alignment horizontal="center" vertical="top" wrapText="1"/>
    </xf>
    <xf numFmtId="0" fontId="17" fillId="3" borderId="10" xfId="0" applyFont="1" applyFill="1" applyBorder="1" applyAlignment="1">
      <alignment horizontal="center" vertical="top" wrapText="1"/>
    </xf>
    <xf numFmtId="0" fontId="13" fillId="2" borderId="10" xfId="0" applyFont="1" applyFill="1" applyBorder="1" applyAlignment="1">
      <alignment horizontal="left" vertical="center"/>
    </xf>
    <xf numFmtId="0" fontId="13" fillId="2" borderId="15" xfId="0" applyFont="1" applyFill="1" applyBorder="1" applyAlignment="1">
      <alignment horizontal="left" vertical="center"/>
    </xf>
    <xf numFmtId="0" fontId="16" fillId="3" borderId="6" xfId="0" applyFont="1" applyFill="1" applyBorder="1" applyAlignment="1">
      <alignment horizontal="center" vertical="center"/>
    </xf>
    <xf numFmtId="0" fontId="16" fillId="3" borderId="7" xfId="0" applyFont="1" applyFill="1" applyBorder="1" applyAlignment="1">
      <alignment horizontal="center" vertical="center"/>
    </xf>
    <xf numFmtId="0" fontId="16" fillId="3" borderId="8" xfId="0" applyFont="1" applyFill="1" applyBorder="1" applyAlignment="1">
      <alignment horizontal="center" vertical="center"/>
    </xf>
    <xf numFmtId="0" fontId="17" fillId="3" borderId="0" xfId="0" applyFont="1" applyFill="1" applyBorder="1" applyAlignment="1">
      <alignment horizontal="center" vertical="top"/>
    </xf>
    <xf numFmtId="0" fontId="16" fillId="3" borderId="11"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7" fillId="3" borderId="16" xfId="0" applyFont="1" applyFill="1" applyBorder="1" applyAlignment="1">
      <alignment horizontal="center" vertical="top" wrapText="1"/>
    </xf>
    <xf numFmtId="0" fontId="16" fillId="3" borderId="11" xfId="0" applyFont="1" applyFill="1" applyBorder="1" applyAlignment="1">
      <alignment horizontal="center" vertical="center"/>
    </xf>
    <xf numFmtId="0" fontId="17" fillId="3" borderId="16" xfId="0" applyFont="1" applyFill="1" applyBorder="1" applyAlignment="1">
      <alignment horizontal="center" vertical="top"/>
    </xf>
    <xf numFmtId="0" fontId="27" fillId="3" borderId="11"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13" fillId="2" borderId="0" xfId="0" applyFont="1" applyFill="1" applyBorder="1" applyAlignment="1">
      <alignment horizontal="left" vertical="center"/>
    </xf>
    <xf numFmtId="0" fontId="17" fillId="3" borderId="17" xfId="0" applyFont="1" applyFill="1" applyBorder="1" applyAlignment="1">
      <alignment horizontal="center" vertical="top"/>
    </xf>
    <xf numFmtId="0" fontId="17" fillId="3" borderId="17" xfId="0" applyFont="1" applyFill="1" applyBorder="1" applyAlignment="1">
      <alignment horizontal="center" vertical="top" wrapText="1"/>
    </xf>
    <xf numFmtId="0" fontId="24" fillId="3" borderId="9" xfId="0" applyFont="1" applyFill="1" applyBorder="1" applyAlignment="1">
      <alignment horizontal="center" vertical="top"/>
    </xf>
    <xf numFmtId="0" fontId="24" fillId="3" borderId="0" xfId="0" applyFont="1" applyFill="1" applyAlignment="1">
      <alignment horizontal="center" vertical="top"/>
    </xf>
    <xf numFmtId="0" fontId="24" fillId="3" borderId="10" xfId="0" applyFont="1" applyFill="1" applyBorder="1" applyAlignment="1">
      <alignment horizontal="center" vertical="top"/>
    </xf>
    <xf numFmtId="0" fontId="24" fillId="3" borderId="19" xfId="0" applyFont="1" applyFill="1" applyBorder="1" applyAlignment="1">
      <alignment horizontal="center" vertical="top"/>
    </xf>
    <xf numFmtId="0" fontId="24" fillId="3" borderId="18" xfId="0" applyFont="1" applyFill="1" applyBorder="1" applyAlignment="1">
      <alignment horizontal="center" vertical="top"/>
    </xf>
    <xf numFmtId="0" fontId="24" fillId="3" borderId="15" xfId="0" applyFont="1" applyFill="1" applyBorder="1" applyAlignment="1">
      <alignment horizontal="center" vertical="top"/>
    </xf>
    <xf numFmtId="0" fontId="23" fillId="3" borderId="9" xfId="0" applyFont="1" applyFill="1" applyBorder="1" applyAlignment="1">
      <alignment horizontal="center" vertical="top"/>
    </xf>
    <xf numFmtId="0" fontId="23" fillId="3" borderId="0" xfId="0" applyFont="1" applyFill="1" applyAlignment="1">
      <alignment horizontal="center" vertical="top"/>
    </xf>
    <xf numFmtId="0" fontId="23" fillId="3" borderId="10" xfId="0" applyFont="1" applyFill="1" applyBorder="1" applyAlignment="1">
      <alignment horizontal="center" vertical="top"/>
    </xf>
    <xf numFmtId="0" fontId="23" fillId="3" borderId="20" xfId="0" applyFont="1" applyFill="1" applyBorder="1" applyAlignment="1">
      <alignment horizontal="center" vertical="center" wrapText="1"/>
    </xf>
    <xf numFmtId="0" fontId="23" fillId="3" borderId="21" xfId="0" applyFont="1" applyFill="1" applyBorder="1" applyAlignment="1">
      <alignment horizontal="center" vertical="center" wrapText="1"/>
    </xf>
    <xf numFmtId="0" fontId="23" fillId="3" borderId="22" xfId="0" applyFont="1" applyFill="1" applyBorder="1" applyAlignment="1">
      <alignment horizontal="center" vertical="center" wrapText="1"/>
    </xf>
    <xf numFmtId="0" fontId="23" fillId="3" borderId="23" xfId="0" applyFont="1" applyFill="1" applyBorder="1" applyAlignment="1">
      <alignment horizontal="center" vertical="center" wrapText="1"/>
    </xf>
    <xf numFmtId="0" fontId="23" fillId="3" borderId="20" xfId="0" applyFont="1" applyFill="1" applyBorder="1" applyAlignment="1">
      <alignment horizontal="center" vertical="center"/>
    </xf>
    <xf numFmtId="0" fontId="23" fillId="3" borderId="21" xfId="0" applyFont="1" applyFill="1" applyBorder="1" applyAlignment="1">
      <alignment horizontal="center" vertical="center"/>
    </xf>
    <xf numFmtId="0" fontId="23" fillId="3" borderId="22" xfId="0" applyFont="1" applyFill="1" applyBorder="1" applyAlignment="1">
      <alignment horizontal="center" vertical="center"/>
    </xf>
    <xf numFmtId="0" fontId="23" fillId="3" borderId="6" xfId="0" applyFont="1" applyFill="1" applyBorder="1" applyAlignment="1">
      <alignment horizontal="center" vertical="center"/>
    </xf>
    <xf numFmtId="0" fontId="23" fillId="3" borderId="7" xfId="0" applyFont="1" applyFill="1" applyBorder="1" applyAlignment="1">
      <alignment horizontal="center" vertical="center"/>
    </xf>
    <xf numFmtId="0" fontId="23" fillId="3" borderId="8" xfId="0" applyFont="1" applyFill="1" applyBorder="1" applyAlignment="1">
      <alignment horizontal="center" vertical="center"/>
    </xf>
    <xf numFmtId="0" fontId="16" fillId="3" borderId="5" xfId="0" applyFont="1" applyFill="1" applyBorder="1" applyAlignment="1">
      <alignment horizontal="center" vertical="center" wrapText="1"/>
    </xf>
    <xf numFmtId="0" fontId="13" fillId="2" borderId="18" xfId="0" applyFont="1" applyFill="1" applyBorder="1" applyAlignment="1">
      <alignment horizontal="left" vertical="center"/>
    </xf>
    <xf numFmtId="0" fontId="16" fillId="3" borderId="5" xfId="0" applyFont="1" applyFill="1" applyBorder="1" applyAlignment="1">
      <alignment horizontal="center" vertical="center"/>
    </xf>
    <xf numFmtId="0" fontId="16" fillId="3" borderId="19" xfId="0" applyFont="1" applyFill="1" applyBorder="1" applyAlignment="1">
      <alignment horizontal="center" vertical="center"/>
    </xf>
    <xf numFmtId="0" fontId="16" fillId="3" borderId="15" xfId="0" applyFont="1" applyFill="1" applyBorder="1" applyAlignment="1">
      <alignment horizontal="center" vertical="center"/>
    </xf>
    <xf numFmtId="0" fontId="21" fillId="2" borderId="0" xfId="0" applyFont="1" applyFill="1" applyAlignment="1">
      <alignment horizontal="left" wrapText="1"/>
    </xf>
    <xf numFmtId="0" fontId="16" fillId="3" borderId="17" xfId="0" applyFont="1" applyFill="1" applyBorder="1" applyAlignment="1">
      <alignment horizontal="center" vertical="center"/>
    </xf>
    <xf numFmtId="0" fontId="16" fillId="3" borderId="12" xfId="0" applyFont="1" applyFill="1" applyBorder="1" applyAlignment="1">
      <alignment horizontal="center" vertical="center"/>
    </xf>
    <xf numFmtId="0" fontId="17" fillId="3" borderId="9" xfId="0" applyFont="1" applyFill="1" applyBorder="1" applyAlignment="1">
      <alignment horizontal="center" vertical="top"/>
    </xf>
    <xf numFmtId="0" fontId="21" fillId="2" borderId="0" xfId="0" applyFont="1" applyFill="1" applyAlignment="1">
      <alignment horizontal="left"/>
    </xf>
    <xf numFmtId="0" fontId="21" fillId="0" borderId="0" xfId="0" applyFont="1" applyFill="1" applyAlignment="1">
      <alignment horizontal="left" wrapText="1"/>
    </xf>
    <xf numFmtId="0" fontId="17" fillId="3" borderId="10" xfId="0" applyFont="1" applyFill="1" applyBorder="1" applyAlignment="1">
      <alignment horizontal="center" vertical="top"/>
    </xf>
    <xf numFmtId="0" fontId="17" fillId="3" borderId="19" xfId="0" applyFont="1" applyFill="1" applyBorder="1" applyAlignment="1">
      <alignment horizontal="center" vertical="top"/>
    </xf>
    <xf numFmtId="0" fontId="17" fillId="3" borderId="18" xfId="0" applyFont="1" applyFill="1" applyBorder="1" applyAlignment="1">
      <alignment horizontal="center" vertical="top"/>
    </xf>
    <xf numFmtId="0" fontId="17" fillId="3" borderId="15" xfId="0" applyFont="1" applyFill="1" applyBorder="1" applyAlignment="1">
      <alignment horizontal="center" vertical="top"/>
    </xf>
    <xf numFmtId="0" fontId="16" fillId="3" borderId="17" xfId="0" applyFont="1" applyFill="1" applyBorder="1" applyAlignment="1">
      <alignment horizontal="right" vertical="center" indent="1"/>
    </xf>
    <xf numFmtId="0" fontId="23" fillId="3" borderId="0" xfId="0" applyFont="1" applyFill="1" applyBorder="1" applyAlignment="1">
      <alignment horizontal="center" vertical="top"/>
    </xf>
    <xf numFmtId="0" fontId="16" fillId="3" borderId="16" xfId="0" applyFont="1" applyFill="1" applyBorder="1" applyAlignment="1">
      <alignment horizontal="center" vertical="center"/>
    </xf>
  </cellXfs>
  <cellStyles count="33">
    <cellStyle name="Comma" xfId="2" builtinId="3"/>
    <cellStyle name="Comma 10" xfId="29" xr:uid="{FE69881E-2E64-4159-99E0-42E322DAF409}"/>
    <cellStyle name="Comma 11" xfId="3" xr:uid="{810390D9-E5AB-4FC2-A747-51B208644095}"/>
    <cellStyle name="Comma 12" xfId="4" xr:uid="{4ECD0676-C685-4801-A7E4-8A4CC30DCD30}"/>
    <cellStyle name="Comma 13" xfId="5" xr:uid="{0C56DC88-259D-4424-9574-8BB192FF76E6}"/>
    <cellStyle name="Comma 17" xfId="18" xr:uid="{6117B174-DB9D-4CB0-9F07-955231A92017}"/>
    <cellStyle name="Comma 18" xfId="19" xr:uid="{9C506F06-08C4-4ECF-AFE3-0E7EAFE2C7B0}"/>
    <cellStyle name="Comma 19" xfId="20" xr:uid="{2AF73146-E7ED-4A19-B9D9-805E51498311}"/>
    <cellStyle name="Comma 2" xfId="7" xr:uid="{55A31F65-9234-45C5-9030-9FC8D8EA6E41}"/>
    <cellStyle name="Comma 20" xfId="22" xr:uid="{8B312234-AAA7-400A-9EB5-6906E2283AA3}"/>
    <cellStyle name="Comma 21" xfId="23" xr:uid="{5DEE667E-1733-4BDB-A37D-745FBC1CA278}"/>
    <cellStyle name="Comma 22" xfId="24" xr:uid="{F338C3AC-99F3-4AA4-B77B-7ACE2F9AE721}"/>
    <cellStyle name="Comma 23" xfId="26" xr:uid="{3645D955-34C5-497A-9C54-89CE2BC55EED}"/>
    <cellStyle name="Comma 24" xfId="27" xr:uid="{C05E78FB-9918-405B-8277-BE3B94F95BFC}"/>
    <cellStyle name="Comma 25" xfId="28" xr:uid="{F7ABE609-DD02-4799-91BA-EB861C6D3257}"/>
    <cellStyle name="Comma 28" xfId="14" xr:uid="{B2B0111E-2E17-4EEB-93EE-790676CF0B06}"/>
    <cellStyle name="Comma 29" xfId="15" xr:uid="{7E7678BC-6DFF-4D21-8234-97991C07C8FA}"/>
    <cellStyle name="Comma 3" xfId="6" xr:uid="{BC87E9A9-FA6E-4447-9EB4-42A80988B0B2}"/>
    <cellStyle name="Comma 30" xfId="16" xr:uid="{1F153DBC-B321-4576-BFFA-C8BDE1CA03D0}"/>
    <cellStyle name="Comma 34" xfId="12" xr:uid="{874A7113-9BDA-4295-BAAA-38F82B2B92D5}"/>
    <cellStyle name="Comma 35" xfId="11" xr:uid="{2D181155-74DA-4765-9A60-A316D2CF229C}"/>
    <cellStyle name="Comma 36" xfId="10" xr:uid="{F1D2D4CE-470F-4958-B5F8-D474668996AF}"/>
    <cellStyle name="Comma 4" xfId="8" xr:uid="{6448B81F-8202-4C19-999B-F26EA035DD7D}"/>
    <cellStyle name="Comma 5" xfId="9" xr:uid="{D858AF79-BF63-4CB7-80D0-4D239AE10266}"/>
    <cellStyle name="Comma 6" xfId="13" xr:uid="{52DEB39E-B30B-4CF4-B3CF-677A07209FAC}"/>
    <cellStyle name="Comma 7" xfId="17" xr:uid="{65438A26-8C3A-43F7-90E9-F439DE0F012F}"/>
    <cellStyle name="Comma 8" xfId="21" xr:uid="{11F92229-E720-4A66-AB2F-CEE900C8F80D}"/>
    <cellStyle name="Comma 9" xfId="25" xr:uid="{3F0000B4-D2E8-4CDC-AA78-12CF275A2883}"/>
    <cellStyle name="Hyperlink" xfId="32" builtinId="8"/>
    <cellStyle name="Milliers 2" xfId="31" xr:uid="{D8D5BA0C-0C87-4F74-B41C-81EB41EF5394}"/>
    <cellStyle name="Normal" xfId="0" builtinId="0"/>
    <cellStyle name="Normal 2" xfId="30" xr:uid="{B299326B-AD84-4E96-8432-877F88DE3C8F}"/>
    <cellStyle name="Percent" xfId="1" builtinId="5"/>
  </cellStyles>
  <dxfs count="0"/>
  <tableStyles count="0" defaultTableStyle="TableStyleMedium2" defaultPivotStyle="PivotStyleLight16"/>
  <colors>
    <mruColors>
      <color rgb="FF145996"/>
      <color rgb="FFEDF5FD"/>
      <color rgb="FF3082B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368300</xdr:colOff>
      <xdr:row>1</xdr:row>
      <xdr:rowOff>35591</xdr:rowOff>
    </xdr:from>
    <xdr:to>
      <xdr:col>3</xdr:col>
      <xdr:colOff>308340</xdr:colOff>
      <xdr:row>7</xdr:row>
      <xdr:rowOff>144741</xdr:rowOff>
    </xdr:to>
    <xdr:pic>
      <xdr:nvPicPr>
        <xdr:cNvPr id="2" name="Image 1">
          <a:extLst>
            <a:ext uri="{FF2B5EF4-FFF2-40B4-BE49-F238E27FC236}">
              <a16:creationId xmlns:a16="http://schemas.microsoft.com/office/drawing/2014/main" id="{70AAE085-DA7F-485B-9443-1DE2C6A818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8300" y="208311"/>
          <a:ext cx="2165080" cy="1145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B20C9686-2BDD-409B-B271-02340A0D35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180975</xdr:colOff>
      <xdr:row>1</xdr:row>
      <xdr:rowOff>28575</xdr:rowOff>
    </xdr:from>
    <xdr:to>
      <xdr:col>1</xdr:col>
      <xdr:colOff>1217844</xdr:colOff>
      <xdr:row>4</xdr:row>
      <xdr:rowOff>133650</xdr:rowOff>
    </xdr:to>
    <xdr:pic>
      <xdr:nvPicPr>
        <xdr:cNvPr id="2" name="Image 1">
          <a:extLst>
            <a:ext uri="{FF2B5EF4-FFF2-40B4-BE49-F238E27FC236}">
              <a16:creationId xmlns:a16="http://schemas.microsoft.com/office/drawing/2014/main" id="{5EE12EE0-E683-4496-821A-20A6D8A649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09550"/>
          <a:ext cx="1227369" cy="648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1</xdr:col>
      <xdr:colOff>1236894</xdr:colOff>
      <xdr:row>4</xdr:row>
      <xdr:rowOff>152700</xdr:rowOff>
    </xdr:to>
    <xdr:pic>
      <xdr:nvPicPr>
        <xdr:cNvPr id="2" name="Image 1">
          <a:extLst>
            <a:ext uri="{FF2B5EF4-FFF2-40B4-BE49-F238E27FC236}">
              <a16:creationId xmlns:a16="http://schemas.microsoft.com/office/drawing/2014/main" id="{AF694009-AF11-474B-8F05-606FF2AED0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28600"/>
          <a:ext cx="1227369" cy="648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47412CE4-C065-4493-9FDE-DC6C3FE796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10886</xdr:colOff>
      <xdr:row>1</xdr:row>
      <xdr:rowOff>54430</xdr:rowOff>
    </xdr:from>
    <xdr:to>
      <xdr:col>1</xdr:col>
      <xdr:colOff>1238255</xdr:colOff>
      <xdr:row>4</xdr:row>
      <xdr:rowOff>147258</xdr:rowOff>
    </xdr:to>
    <xdr:pic>
      <xdr:nvPicPr>
        <xdr:cNvPr id="2" name="Image 1">
          <a:extLst>
            <a:ext uri="{FF2B5EF4-FFF2-40B4-BE49-F238E27FC236}">
              <a16:creationId xmlns:a16="http://schemas.microsoft.com/office/drawing/2014/main" id="{4915671B-2CA9-4FCD-BE53-6FCB0039DE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6829" y="239487"/>
          <a:ext cx="1227369" cy="648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61011F45-1342-4E59-A197-14921B32C6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E6B56B48-8390-4724-B2AA-8E7C490D34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171450</xdr:colOff>
      <xdr:row>1</xdr:row>
      <xdr:rowOff>47625</xdr:rowOff>
    </xdr:from>
    <xdr:to>
      <xdr:col>1</xdr:col>
      <xdr:colOff>1208319</xdr:colOff>
      <xdr:row>4</xdr:row>
      <xdr:rowOff>152700</xdr:rowOff>
    </xdr:to>
    <xdr:pic>
      <xdr:nvPicPr>
        <xdr:cNvPr id="2" name="Image 1">
          <a:extLst>
            <a:ext uri="{FF2B5EF4-FFF2-40B4-BE49-F238E27FC236}">
              <a16:creationId xmlns:a16="http://schemas.microsoft.com/office/drawing/2014/main" id="{539505F3-A41D-422E-BAB4-B7C5D8B8C6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28600"/>
          <a:ext cx="1227369" cy="648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6FEEAB7A-45A0-4024-84E3-EF5F4AC128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F4FC8C14-8F47-4BEB-B2A6-BB5B27A5E7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2C42BA75-15DD-448B-AAB5-7FCE89CBBD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0DE88F3A-A12C-4E68-BABF-03EB9BB1DB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47625</xdr:rowOff>
    </xdr:from>
    <xdr:to>
      <xdr:col>1</xdr:col>
      <xdr:colOff>1227369</xdr:colOff>
      <xdr:row>4</xdr:row>
      <xdr:rowOff>152700</xdr:rowOff>
    </xdr:to>
    <xdr:pic>
      <xdr:nvPicPr>
        <xdr:cNvPr id="2" name="Image 1">
          <a:extLst>
            <a:ext uri="{FF2B5EF4-FFF2-40B4-BE49-F238E27FC236}">
              <a16:creationId xmlns:a16="http://schemas.microsoft.com/office/drawing/2014/main" id="{85B05C43-61C5-44FE-B443-89BEB1516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28600"/>
          <a:ext cx="1227369" cy="648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A0822999-0DC2-47DD-AFFE-F7B2DD9DD8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171450</xdr:colOff>
      <xdr:row>1</xdr:row>
      <xdr:rowOff>28575</xdr:rowOff>
    </xdr:from>
    <xdr:to>
      <xdr:col>1</xdr:col>
      <xdr:colOff>1208319</xdr:colOff>
      <xdr:row>4</xdr:row>
      <xdr:rowOff>133650</xdr:rowOff>
    </xdr:to>
    <xdr:pic>
      <xdr:nvPicPr>
        <xdr:cNvPr id="2" name="Image 1">
          <a:extLst>
            <a:ext uri="{FF2B5EF4-FFF2-40B4-BE49-F238E27FC236}">
              <a16:creationId xmlns:a16="http://schemas.microsoft.com/office/drawing/2014/main" id="{024A7CF0-7490-41C5-8B7D-EA30EF1A0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09550"/>
          <a:ext cx="1227369" cy="648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E7123820-8F6F-4257-BC99-41EC45BE79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6C28E87A-92A1-4235-87AD-E249FECBD0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A71D2021-785F-43C2-AF45-AF4329DE2B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643ACA64-1774-410C-9843-69A3138AA1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180975</xdr:colOff>
      <xdr:row>1</xdr:row>
      <xdr:rowOff>28575</xdr:rowOff>
    </xdr:from>
    <xdr:to>
      <xdr:col>1</xdr:col>
      <xdr:colOff>1217844</xdr:colOff>
      <xdr:row>4</xdr:row>
      <xdr:rowOff>133650</xdr:rowOff>
    </xdr:to>
    <xdr:pic>
      <xdr:nvPicPr>
        <xdr:cNvPr id="2" name="Image 1">
          <a:extLst>
            <a:ext uri="{FF2B5EF4-FFF2-40B4-BE49-F238E27FC236}">
              <a16:creationId xmlns:a16="http://schemas.microsoft.com/office/drawing/2014/main" id="{D66C0BAE-86D4-44C1-9406-15B9A86F1A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09550"/>
          <a:ext cx="1227369" cy="648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531ADEB6-85CA-4725-9E72-F198394549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1</xdr:row>
      <xdr:rowOff>47625</xdr:rowOff>
    </xdr:from>
    <xdr:to>
      <xdr:col>1</xdr:col>
      <xdr:colOff>1198794</xdr:colOff>
      <xdr:row>4</xdr:row>
      <xdr:rowOff>152700</xdr:rowOff>
    </xdr:to>
    <xdr:pic>
      <xdr:nvPicPr>
        <xdr:cNvPr id="2" name="Image 1">
          <a:extLst>
            <a:ext uri="{FF2B5EF4-FFF2-40B4-BE49-F238E27FC236}">
              <a16:creationId xmlns:a16="http://schemas.microsoft.com/office/drawing/2014/main" id="{42D6A4C4-7685-4B4D-AFA3-5C77467711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28600"/>
          <a:ext cx="1227369" cy="648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BE4C320D-9E72-45B8-BC77-C3F2390FED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AA82EE6E-21D3-489F-BAA5-94B3EBF591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180975</xdr:colOff>
      <xdr:row>1</xdr:row>
      <xdr:rowOff>57150</xdr:rowOff>
    </xdr:from>
    <xdr:to>
      <xdr:col>1</xdr:col>
      <xdr:colOff>1217844</xdr:colOff>
      <xdr:row>4</xdr:row>
      <xdr:rowOff>162225</xdr:rowOff>
    </xdr:to>
    <xdr:pic>
      <xdr:nvPicPr>
        <xdr:cNvPr id="2" name="Image 1">
          <a:extLst>
            <a:ext uri="{FF2B5EF4-FFF2-40B4-BE49-F238E27FC236}">
              <a16:creationId xmlns:a16="http://schemas.microsoft.com/office/drawing/2014/main" id="{B7E2E5C1-0DCD-4218-AB02-35A5156EBC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38125"/>
          <a:ext cx="1227369" cy="648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D9DE651F-040E-4E58-B3D4-772FB86515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171450</xdr:colOff>
      <xdr:row>1</xdr:row>
      <xdr:rowOff>38100</xdr:rowOff>
    </xdr:from>
    <xdr:to>
      <xdr:col>1</xdr:col>
      <xdr:colOff>1208319</xdr:colOff>
      <xdr:row>4</xdr:row>
      <xdr:rowOff>143175</xdr:rowOff>
    </xdr:to>
    <xdr:pic>
      <xdr:nvPicPr>
        <xdr:cNvPr id="2" name="Image 1">
          <a:extLst>
            <a:ext uri="{FF2B5EF4-FFF2-40B4-BE49-F238E27FC236}">
              <a16:creationId xmlns:a16="http://schemas.microsoft.com/office/drawing/2014/main" id="{28429305-D6F3-4A55-89FC-046E329B4B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19075"/>
          <a:ext cx="1227369" cy="648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180975</xdr:colOff>
      <xdr:row>1</xdr:row>
      <xdr:rowOff>28575</xdr:rowOff>
    </xdr:from>
    <xdr:to>
      <xdr:col>1</xdr:col>
      <xdr:colOff>1217844</xdr:colOff>
      <xdr:row>4</xdr:row>
      <xdr:rowOff>133650</xdr:rowOff>
    </xdr:to>
    <xdr:pic>
      <xdr:nvPicPr>
        <xdr:cNvPr id="2" name="Image 1">
          <a:extLst>
            <a:ext uri="{FF2B5EF4-FFF2-40B4-BE49-F238E27FC236}">
              <a16:creationId xmlns:a16="http://schemas.microsoft.com/office/drawing/2014/main" id="{693599F7-B978-4C63-A180-326D00C951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09550"/>
          <a:ext cx="1227369" cy="648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782702A9-0C7C-4723-803B-CEF9A63B60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B195CC19-ACEA-44F3-92BD-20255AEDA1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161925</xdr:colOff>
      <xdr:row>1</xdr:row>
      <xdr:rowOff>28575</xdr:rowOff>
    </xdr:from>
    <xdr:to>
      <xdr:col>1</xdr:col>
      <xdr:colOff>1198794</xdr:colOff>
      <xdr:row>4</xdr:row>
      <xdr:rowOff>133650</xdr:rowOff>
    </xdr:to>
    <xdr:pic>
      <xdr:nvPicPr>
        <xdr:cNvPr id="2" name="Image 1">
          <a:extLst>
            <a:ext uri="{FF2B5EF4-FFF2-40B4-BE49-F238E27FC236}">
              <a16:creationId xmlns:a16="http://schemas.microsoft.com/office/drawing/2014/main" id="{40CA6F0E-944F-4471-A420-0A984D23C7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09550"/>
          <a:ext cx="1227369" cy="648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171450</xdr:colOff>
      <xdr:row>1</xdr:row>
      <xdr:rowOff>28575</xdr:rowOff>
    </xdr:from>
    <xdr:to>
      <xdr:col>1</xdr:col>
      <xdr:colOff>1208319</xdr:colOff>
      <xdr:row>4</xdr:row>
      <xdr:rowOff>133650</xdr:rowOff>
    </xdr:to>
    <xdr:pic>
      <xdr:nvPicPr>
        <xdr:cNvPr id="2" name="Image 1">
          <a:extLst>
            <a:ext uri="{FF2B5EF4-FFF2-40B4-BE49-F238E27FC236}">
              <a16:creationId xmlns:a16="http://schemas.microsoft.com/office/drawing/2014/main" id="{26C341E0-DFEF-4365-B541-3C0D1CF46B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09550"/>
          <a:ext cx="1227369" cy="648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47625</xdr:rowOff>
    </xdr:from>
    <xdr:to>
      <xdr:col>1</xdr:col>
      <xdr:colOff>1227369</xdr:colOff>
      <xdr:row>4</xdr:row>
      <xdr:rowOff>152700</xdr:rowOff>
    </xdr:to>
    <xdr:pic>
      <xdr:nvPicPr>
        <xdr:cNvPr id="2" name="Image 1">
          <a:extLst>
            <a:ext uri="{FF2B5EF4-FFF2-40B4-BE49-F238E27FC236}">
              <a16:creationId xmlns:a16="http://schemas.microsoft.com/office/drawing/2014/main" id="{6566C5C5-CD7D-489D-A4C7-7B10573AF5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28600"/>
          <a:ext cx="1227369" cy="6480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B3904921-A5A7-4409-BC9E-54AEDF7390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34E2031B-1D81-4AE2-B410-1F3CF43BE5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C0FC732D-70E9-491B-B06D-2AD8C6F461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171450</xdr:colOff>
      <xdr:row>1</xdr:row>
      <xdr:rowOff>47625</xdr:rowOff>
    </xdr:from>
    <xdr:to>
      <xdr:col>1</xdr:col>
      <xdr:colOff>1208319</xdr:colOff>
      <xdr:row>4</xdr:row>
      <xdr:rowOff>152700</xdr:rowOff>
    </xdr:to>
    <xdr:pic>
      <xdr:nvPicPr>
        <xdr:cNvPr id="2" name="Image 1">
          <a:extLst>
            <a:ext uri="{FF2B5EF4-FFF2-40B4-BE49-F238E27FC236}">
              <a16:creationId xmlns:a16="http://schemas.microsoft.com/office/drawing/2014/main" id="{31DA92B4-047E-4044-ADAB-95F62073CA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28600"/>
          <a:ext cx="1227369" cy="6480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171450</xdr:colOff>
      <xdr:row>1</xdr:row>
      <xdr:rowOff>47625</xdr:rowOff>
    </xdr:from>
    <xdr:to>
      <xdr:col>1</xdr:col>
      <xdr:colOff>1208319</xdr:colOff>
      <xdr:row>4</xdr:row>
      <xdr:rowOff>152700</xdr:rowOff>
    </xdr:to>
    <xdr:pic>
      <xdr:nvPicPr>
        <xdr:cNvPr id="3" name="Image 2">
          <a:extLst>
            <a:ext uri="{FF2B5EF4-FFF2-40B4-BE49-F238E27FC236}">
              <a16:creationId xmlns:a16="http://schemas.microsoft.com/office/drawing/2014/main" id="{3144D6A2-AE65-4655-8B0A-0AD2829597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28600"/>
          <a:ext cx="1227369" cy="6480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171450</xdr:colOff>
      <xdr:row>1</xdr:row>
      <xdr:rowOff>38100</xdr:rowOff>
    </xdr:from>
    <xdr:to>
      <xdr:col>1</xdr:col>
      <xdr:colOff>1208319</xdr:colOff>
      <xdr:row>4</xdr:row>
      <xdr:rowOff>143175</xdr:rowOff>
    </xdr:to>
    <xdr:pic>
      <xdr:nvPicPr>
        <xdr:cNvPr id="2" name="Image 1">
          <a:extLst>
            <a:ext uri="{FF2B5EF4-FFF2-40B4-BE49-F238E27FC236}">
              <a16:creationId xmlns:a16="http://schemas.microsoft.com/office/drawing/2014/main" id="{A085DF73-2152-4E8A-9E07-6D4EB1D979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19075"/>
          <a:ext cx="1227369" cy="64800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FB7DB9A5-9BD8-4034-86E6-6CCFC1649C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4DD06FBB-1B89-49F1-96DF-0EE2C95F18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xdr:col>
      <xdr:colOff>19050</xdr:colOff>
      <xdr:row>1</xdr:row>
      <xdr:rowOff>38100</xdr:rowOff>
    </xdr:from>
    <xdr:to>
      <xdr:col>1</xdr:col>
      <xdr:colOff>1246419</xdr:colOff>
      <xdr:row>4</xdr:row>
      <xdr:rowOff>143175</xdr:rowOff>
    </xdr:to>
    <xdr:pic>
      <xdr:nvPicPr>
        <xdr:cNvPr id="2" name="Image 1">
          <a:extLst>
            <a:ext uri="{FF2B5EF4-FFF2-40B4-BE49-F238E27FC236}">
              <a16:creationId xmlns:a16="http://schemas.microsoft.com/office/drawing/2014/main" id="{1CA28001-BABA-408A-A950-028DCF0BF0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219075"/>
          <a:ext cx="1227369" cy="648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B485DE7E-67E8-48A6-A0C2-73DE3FF88C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0F053B91-0621-46D4-83CE-4F3145D7B0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1227369</xdr:colOff>
      <xdr:row>4</xdr:row>
      <xdr:rowOff>143175</xdr:rowOff>
    </xdr:to>
    <xdr:pic>
      <xdr:nvPicPr>
        <xdr:cNvPr id="2" name="Image 1">
          <a:extLst>
            <a:ext uri="{FF2B5EF4-FFF2-40B4-BE49-F238E27FC236}">
              <a16:creationId xmlns:a16="http://schemas.microsoft.com/office/drawing/2014/main" id="{3FCB81E4-F49D-42F6-9E8F-1C1AB9ED9F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19075"/>
          <a:ext cx="1227369" cy="64800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003842EE-B5CE-43B9-9288-4F0ADDCAB0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C05E8DBF-71DA-4B6C-8AC6-17A5246260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171450</xdr:colOff>
      <xdr:row>1</xdr:row>
      <xdr:rowOff>38100</xdr:rowOff>
    </xdr:from>
    <xdr:to>
      <xdr:col>1</xdr:col>
      <xdr:colOff>1208319</xdr:colOff>
      <xdr:row>4</xdr:row>
      <xdr:rowOff>143175</xdr:rowOff>
    </xdr:to>
    <xdr:pic>
      <xdr:nvPicPr>
        <xdr:cNvPr id="2" name="Image 1">
          <a:extLst>
            <a:ext uri="{FF2B5EF4-FFF2-40B4-BE49-F238E27FC236}">
              <a16:creationId xmlns:a16="http://schemas.microsoft.com/office/drawing/2014/main" id="{094A8202-F155-489D-9093-02FA2E4A90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19075"/>
          <a:ext cx="1227369" cy="64800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6749AFDD-4935-46FB-A50A-96C632FEAC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5C5E9E22-E683-4F5C-B276-70AD611CA2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44A1DA7E-BE17-4DDB-9A6B-99FF54DDF1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180975</xdr:colOff>
      <xdr:row>1</xdr:row>
      <xdr:rowOff>28575</xdr:rowOff>
    </xdr:from>
    <xdr:to>
      <xdr:col>1</xdr:col>
      <xdr:colOff>1217844</xdr:colOff>
      <xdr:row>4</xdr:row>
      <xdr:rowOff>133650</xdr:rowOff>
    </xdr:to>
    <xdr:pic>
      <xdr:nvPicPr>
        <xdr:cNvPr id="2" name="Image 1">
          <a:extLst>
            <a:ext uri="{FF2B5EF4-FFF2-40B4-BE49-F238E27FC236}">
              <a16:creationId xmlns:a16="http://schemas.microsoft.com/office/drawing/2014/main" id="{3B00A07E-8C45-4559-802C-28EA9BAB4A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09550"/>
          <a:ext cx="1227369" cy="64800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171450</xdr:colOff>
      <xdr:row>1</xdr:row>
      <xdr:rowOff>38100</xdr:rowOff>
    </xdr:from>
    <xdr:to>
      <xdr:col>1</xdr:col>
      <xdr:colOff>1208319</xdr:colOff>
      <xdr:row>4</xdr:row>
      <xdr:rowOff>143175</xdr:rowOff>
    </xdr:to>
    <xdr:pic>
      <xdr:nvPicPr>
        <xdr:cNvPr id="2" name="Image 1">
          <a:extLst>
            <a:ext uri="{FF2B5EF4-FFF2-40B4-BE49-F238E27FC236}">
              <a16:creationId xmlns:a16="http://schemas.microsoft.com/office/drawing/2014/main" id="{CFAE7A6C-6769-4381-8B00-557EDCD6B5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19075"/>
          <a:ext cx="1227369" cy="64800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161925</xdr:colOff>
      <xdr:row>1</xdr:row>
      <xdr:rowOff>28575</xdr:rowOff>
    </xdr:from>
    <xdr:to>
      <xdr:col>1</xdr:col>
      <xdr:colOff>1198794</xdr:colOff>
      <xdr:row>4</xdr:row>
      <xdr:rowOff>133650</xdr:rowOff>
    </xdr:to>
    <xdr:pic>
      <xdr:nvPicPr>
        <xdr:cNvPr id="2" name="Image 1">
          <a:extLst>
            <a:ext uri="{FF2B5EF4-FFF2-40B4-BE49-F238E27FC236}">
              <a16:creationId xmlns:a16="http://schemas.microsoft.com/office/drawing/2014/main" id="{A0C84910-337D-4A0F-928B-18AF5AF795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09550"/>
          <a:ext cx="1227369" cy="648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180975</xdr:colOff>
      <xdr:row>1</xdr:row>
      <xdr:rowOff>66675</xdr:rowOff>
    </xdr:from>
    <xdr:to>
      <xdr:col>1</xdr:col>
      <xdr:colOff>1217844</xdr:colOff>
      <xdr:row>4</xdr:row>
      <xdr:rowOff>171750</xdr:rowOff>
    </xdr:to>
    <xdr:pic>
      <xdr:nvPicPr>
        <xdr:cNvPr id="2" name="Image 1">
          <a:extLst>
            <a:ext uri="{FF2B5EF4-FFF2-40B4-BE49-F238E27FC236}">
              <a16:creationId xmlns:a16="http://schemas.microsoft.com/office/drawing/2014/main" id="{0533C12F-458B-4BAE-861A-A064621BB7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47650"/>
          <a:ext cx="1227369" cy="64800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161925</xdr:colOff>
      <xdr:row>1</xdr:row>
      <xdr:rowOff>38100</xdr:rowOff>
    </xdr:from>
    <xdr:to>
      <xdr:col>1</xdr:col>
      <xdr:colOff>1198794</xdr:colOff>
      <xdr:row>4</xdr:row>
      <xdr:rowOff>143175</xdr:rowOff>
    </xdr:to>
    <xdr:pic>
      <xdr:nvPicPr>
        <xdr:cNvPr id="2" name="Image 1">
          <a:extLst>
            <a:ext uri="{FF2B5EF4-FFF2-40B4-BE49-F238E27FC236}">
              <a16:creationId xmlns:a16="http://schemas.microsoft.com/office/drawing/2014/main" id="{5A6B650B-32B5-4750-AF0D-67DD8D6BAB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19075"/>
          <a:ext cx="1227369" cy="64800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xdr:col>
      <xdr:colOff>0</xdr:colOff>
      <xdr:row>1</xdr:row>
      <xdr:rowOff>35860</xdr:rowOff>
    </xdr:from>
    <xdr:to>
      <xdr:col>1</xdr:col>
      <xdr:colOff>1227369</xdr:colOff>
      <xdr:row>4</xdr:row>
      <xdr:rowOff>145978</xdr:rowOff>
    </xdr:to>
    <xdr:pic>
      <xdr:nvPicPr>
        <xdr:cNvPr id="2" name="Image 1">
          <a:extLst>
            <a:ext uri="{FF2B5EF4-FFF2-40B4-BE49-F238E27FC236}">
              <a16:creationId xmlns:a16="http://schemas.microsoft.com/office/drawing/2014/main" id="{7F0F4D9B-BC5E-450F-9120-0AFC6D2C1C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259" y="215154"/>
          <a:ext cx="1227369" cy="64800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E149B2BF-22C3-43B4-84D6-7C28C05E52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73908278-DD76-43FB-BD5F-537949AE6F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D0362DE8-CF9F-40FE-A0DC-7E3D0EB10E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180975</xdr:colOff>
      <xdr:row>1</xdr:row>
      <xdr:rowOff>38100</xdr:rowOff>
    </xdr:from>
    <xdr:to>
      <xdr:col>1</xdr:col>
      <xdr:colOff>1217844</xdr:colOff>
      <xdr:row>4</xdr:row>
      <xdr:rowOff>143175</xdr:rowOff>
    </xdr:to>
    <xdr:pic>
      <xdr:nvPicPr>
        <xdr:cNvPr id="2" name="Image 1">
          <a:extLst>
            <a:ext uri="{FF2B5EF4-FFF2-40B4-BE49-F238E27FC236}">
              <a16:creationId xmlns:a16="http://schemas.microsoft.com/office/drawing/2014/main" id="{234F64A1-1311-4F43-A68A-A7C7B81574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19075"/>
          <a:ext cx="1227369" cy="648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AB079C4C-8E5A-401F-9AC7-F37E7BCEC8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xdr:col>
      <xdr:colOff>1227369</xdr:colOff>
      <xdr:row>4</xdr:row>
      <xdr:rowOff>133650</xdr:rowOff>
    </xdr:to>
    <xdr:pic>
      <xdr:nvPicPr>
        <xdr:cNvPr id="2" name="Image 1">
          <a:extLst>
            <a:ext uri="{FF2B5EF4-FFF2-40B4-BE49-F238E27FC236}">
              <a16:creationId xmlns:a16="http://schemas.microsoft.com/office/drawing/2014/main" id="{8537CB14-D1AF-47E8-AC51-CC62AA568D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09550"/>
          <a:ext cx="1227369" cy="648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xdr:col>
      <xdr:colOff>1236894</xdr:colOff>
      <xdr:row>4</xdr:row>
      <xdr:rowOff>143175</xdr:rowOff>
    </xdr:to>
    <xdr:pic>
      <xdr:nvPicPr>
        <xdr:cNvPr id="2" name="Image 1">
          <a:extLst>
            <a:ext uri="{FF2B5EF4-FFF2-40B4-BE49-F238E27FC236}">
              <a16:creationId xmlns:a16="http://schemas.microsoft.com/office/drawing/2014/main" id="{6D96B507-16AA-4CFA-BCDC-012235A776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219075"/>
          <a:ext cx="1227369" cy="64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rtilizer-my.sharepoint.com/personal/agruere_fertilizer_org/Documents/2020%20FUBC/2018%20FUBC%20Assessment/Report/Ethiopia%20country%20table-dropp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thiopia-droped"/>
      <sheetName val="Feuil2"/>
      <sheetName val="Ethiopia country table-dropped"/>
    </sheetNames>
    <definedNames>
      <definedName name="max_countries" refersTo="#REF!"/>
    </defined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2.xml"/><Relationship Id="rId1" Type="http://schemas.openxmlformats.org/officeDocument/2006/relationships/printerSettings" Target="../printerSettings/printerSettings61.bin"/><Relationship Id="rId4" Type="http://schemas.openxmlformats.org/officeDocument/2006/relationships/comments" Target="../comments2.xm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EBEFC-FFE4-4725-8285-99B5B8D615F4}">
  <sheetPr>
    <tabColor theme="0" tint="-0.14999847407452621"/>
    <pageSetUpPr fitToPage="1"/>
  </sheetPr>
  <dimension ref="A1:Q36"/>
  <sheetViews>
    <sheetView showGridLines="0" zoomScale="75" zoomScaleNormal="75" workbookViewId="0">
      <selection activeCell="B15" sqref="B15:C15"/>
    </sheetView>
  </sheetViews>
  <sheetFormatPr defaultColWidth="11" defaultRowHeight="16.5" x14ac:dyDescent="0.3"/>
  <cols>
    <col min="1" max="1" width="10.7109375" style="522" customWidth="1"/>
    <col min="2" max="2" width="10.7109375" style="525" customWidth="1"/>
    <col min="3" max="12" width="10.7109375" style="522" customWidth="1"/>
    <col min="13" max="13" width="11.7109375" style="522" customWidth="1"/>
    <col min="14" max="16384" width="11" style="522"/>
  </cols>
  <sheetData>
    <row r="1" spans="1:15" s="520" customFormat="1" ht="13.9" customHeight="1" x14ac:dyDescent="0.25">
      <c r="A1" s="536"/>
      <c r="B1" s="569"/>
      <c r="C1" s="569"/>
      <c r="D1" s="569"/>
      <c r="E1" s="569"/>
      <c r="F1" s="569"/>
      <c r="G1" s="569"/>
      <c r="H1" s="569"/>
      <c r="I1" s="569"/>
      <c r="J1" s="569"/>
      <c r="K1" s="569"/>
      <c r="L1" s="569"/>
      <c r="M1" s="569"/>
    </row>
    <row r="2" spans="1:15" s="520" customFormat="1" ht="13.9" customHeight="1" x14ac:dyDescent="0.25">
      <c r="B2" s="570"/>
      <c r="C2" s="570"/>
      <c r="D2" s="570"/>
      <c r="E2" s="570"/>
      <c r="F2" s="570"/>
      <c r="G2" s="570"/>
      <c r="H2" s="570"/>
      <c r="I2" s="570"/>
      <c r="J2" s="570"/>
      <c r="K2" s="570"/>
      <c r="L2" s="570"/>
      <c r="M2" s="570"/>
    </row>
    <row r="3" spans="1:15" ht="13.9" customHeight="1" x14ac:dyDescent="0.3"/>
    <row r="4" spans="1:15" ht="13.9" customHeight="1" x14ac:dyDescent="0.3">
      <c r="B4" s="521"/>
    </row>
    <row r="5" spans="1:15" ht="13.9" customHeight="1" x14ac:dyDescent="0.3">
      <c r="B5" s="521"/>
    </row>
    <row r="6" spans="1:15" ht="13.9" customHeight="1" x14ac:dyDescent="0.3"/>
    <row r="7" spans="1:15" ht="13.9" customHeight="1" x14ac:dyDescent="0.3">
      <c r="B7" s="571"/>
      <c r="C7" s="571"/>
      <c r="D7" s="571"/>
      <c r="E7" s="571"/>
      <c r="F7" s="571"/>
      <c r="G7" s="571"/>
      <c r="H7" s="571"/>
      <c r="I7" s="571"/>
      <c r="J7" s="571"/>
      <c r="K7" s="571"/>
      <c r="L7" s="571"/>
      <c r="M7" s="571"/>
    </row>
    <row r="8" spans="1:15" ht="13.9" customHeight="1" x14ac:dyDescent="0.3">
      <c r="B8" s="523"/>
      <c r="C8" s="523"/>
      <c r="D8" s="523"/>
      <c r="E8" s="523"/>
      <c r="F8" s="523"/>
      <c r="G8" s="523"/>
      <c r="H8" s="523"/>
      <c r="I8" s="523"/>
      <c r="J8" s="523"/>
      <c r="K8" s="523"/>
      <c r="L8" s="523"/>
      <c r="M8" s="523"/>
    </row>
    <row r="9" spans="1:15" ht="13.9" customHeight="1" x14ac:dyDescent="0.3">
      <c r="A9" s="36"/>
      <c r="B9" s="544"/>
      <c r="C9" s="544"/>
      <c r="D9" s="544"/>
      <c r="E9" s="544"/>
      <c r="F9" s="544"/>
      <c r="G9" s="544"/>
      <c r="H9" s="544"/>
      <c r="I9" s="544"/>
      <c r="J9" s="544"/>
      <c r="K9" s="544"/>
      <c r="L9" s="544"/>
      <c r="M9" s="544"/>
    </row>
    <row r="10" spans="1:15" ht="13.9" customHeight="1" x14ac:dyDescent="0.3">
      <c r="A10" s="36"/>
      <c r="B10" s="544"/>
      <c r="C10" s="544"/>
      <c r="D10" s="544"/>
      <c r="E10" s="544"/>
      <c r="F10" s="544"/>
      <c r="G10" s="544"/>
      <c r="H10" s="544"/>
      <c r="I10" s="544"/>
      <c r="J10" s="544"/>
      <c r="K10" s="544"/>
      <c r="L10" s="544"/>
      <c r="M10" s="544"/>
    </row>
    <row r="11" spans="1:15" ht="13.9" customHeight="1" x14ac:dyDescent="0.3">
      <c r="A11" s="36"/>
      <c r="B11" s="572"/>
      <c r="C11" s="572"/>
      <c r="D11" s="572"/>
      <c r="E11" s="572"/>
      <c r="F11" s="572"/>
      <c r="G11" s="572"/>
      <c r="H11" s="572"/>
      <c r="I11" s="572"/>
      <c r="J11" s="572"/>
      <c r="K11" s="572"/>
      <c r="L11" s="572"/>
      <c r="M11" s="572"/>
    </row>
    <row r="12" spans="1:15" ht="13.9" customHeight="1" x14ac:dyDescent="0.3">
      <c r="A12" s="36"/>
      <c r="B12" s="544"/>
      <c r="C12" s="544"/>
      <c r="D12" s="544"/>
      <c r="E12" s="544"/>
      <c r="F12" s="544"/>
      <c r="G12" s="544"/>
      <c r="H12" s="544"/>
      <c r="I12" s="544"/>
      <c r="J12" s="544"/>
      <c r="K12" s="544"/>
      <c r="L12" s="544"/>
      <c r="M12" s="544"/>
    </row>
    <row r="13" spans="1:15" ht="33" x14ac:dyDescent="0.3">
      <c r="A13" s="573" t="s">
        <v>429</v>
      </c>
      <c r="B13" s="573"/>
      <c r="C13" s="573"/>
      <c r="D13" s="573"/>
      <c r="E13" s="573"/>
      <c r="F13" s="573"/>
      <c r="G13" s="573"/>
      <c r="H13" s="573"/>
      <c r="I13" s="573"/>
      <c r="J13" s="573"/>
      <c r="K13" s="573"/>
      <c r="L13" s="573"/>
      <c r="M13" s="524"/>
    </row>
    <row r="14" spans="1:15" ht="18.75" x14ac:dyDescent="0.3">
      <c r="A14" s="537"/>
      <c r="B14" s="537"/>
      <c r="C14" s="537"/>
      <c r="D14" s="537"/>
      <c r="E14" s="537"/>
      <c r="F14" s="537"/>
      <c r="G14" s="537"/>
      <c r="H14" s="537"/>
      <c r="I14" s="537"/>
      <c r="J14" s="537"/>
      <c r="K14" s="537"/>
      <c r="L14" s="537"/>
      <c r="M14" s="535"/>
      <c r="N14" s="536"/>
    </row>
    <row r="15" spans="1:15" ht="19.899999999999999" customHeight="1" x14ac:dyDescent="0.3">
      <c r="A15" s="536"/>
      <c r="B15" s="568" t="s">
        <v>101</v>
      </c>
      <c r="C15" s="568"/>
      <c r="D15" s="529"/>
      <c r="E15" s="568" t="s">
        <v>124</v>
      </c>
      <c r="F15" s="568"/>
      <c r="G15" s="530"/>
      <c r="H15" s="568" t="s">
        <v>138</v>
      </c>
      <c r="I15" s="568"/>
      <c r="J15" s="530"/>
      <c r="K15" s="568" t="s">
        <v>153</v>
      </c>
      <c r="L15" s="568"/>
      <c r="M15" s="535"/>
      <c r="N15" s="536"/>
      <c r="O15" s="520"/>
    </row>
    <row r="16" spans="1:15" ht="19.899999999999999" customHeight="1" x14ac:dyDescent="0.3">
      <c r="A16" s="530"/>
      <c r="B16" s="568" t="s">
        <v>113</v>
      </c>
      <c r="C16" s="568"/>
      <c r="D16" s="529"/>
      <c r="E16" s="568" t="s">
        <v>125</v>
      </c>
      <c r="F16" s="568"/>
      <c r="G16" s="530"/>
      <c r="H16" s="568" t="s">
        <v>139</v>
      </c>
      <c r="I16" s="568"/>
      <c r="J16" s="530"/>
      <c r="K16" s="568" t="s">
        <v>154</v>
      </c>
      <c r="L16" s="568"/>
      <c r="M16" s="535"/>
      <c r="N16" s="536"/>
      <c r="O16" s="520"/>
    </row>
    <row r="17" spans="1:17" ht="19.899999999999999" customHeight="1" x14ac:dyDescent="0.3">
      <c r="A17" s="529"/>
      <c r="B17" s="568" t="s">
        <v>114</v>
      </c>
      <c r="C17" s="568"/>
      <c r="D17" s="529"/>
      <c r="E17" s="568" t="s">
        <v>126</v>
      </c>
      <c r="F17" s="568"/>
      <c r="G17" s="530"/>
      <c r="H17" s="568" t="s">
        <v>140</v>
      </c>
      <c r="I17" s="568"/>
      <c r="J17" s="530"/>
      <c r="K17" s="568" t="s">
        <v>155</v>
      </c>
      <c r="L17" s="568"/>
      <c r="M17" s="535"/>
      <c r="N17" s="536"/>
      <c r="O17" s="520"/>
      <c r="P17" s="528"/>
      <c r="Q17" s="528"/>
    </row>
    <row r="18" spans="1:17" ht="19.899999999999999" customHeight="1" x14ac:dyDescent="0.3">
      <c r="A18" s="529"/>
      <c r="B18" s="568" t="s">
        <v>115</v>
      </c>
      <c r="C18" s="568"/>
      <c r="D18" s="529"/>
      <c r="E18" s="568" t="s">
        <v>127</v>
      </c>
      <c r="F18" s="568"/>
      <c r="G18" s="530"/>
      <c r="H18" s="568" t="s">
        <v>141</v>
      </c>
      <c r="I18" s="568"/>
      <c r="J18" s="530"/>
      <c r="K18" s="568" t="s">
        <v>156</v>
      </c>
      <c r="L18" s="568"/>
      <c r="M18" s="535"/>
      <c r="N18" s="536"/>
      <c r="O18" s="520"/>
      <c r="P18" s="528"/>
      <c r="Q18" s="528"/>
    </row>
    <row r="19" spans="1:17" ht="19.899999999999999" customHeight="1" x14ac:dyDescent="0.3">
      <c r="A19" s="529"/>
      <c r="B19" s="568" t="s">
        <v>116</v>
      </c>
      <c r="C19" s="568"/>
      <c r="D19" s="529"/>
      <c r="E19" s="568" t="s">
        <v>95</v>
      </c>
      <c r="F19" s="568"/>
      <c r="G19" s="530"/>
      <c r="H19" s="568" t="s">
        <v>142</v>
      </c>
      <c r="I19" s="568"/>
      <c r="J19" s="530"/>
      <c r="K19" s="568" t="s">
        <v>157</v>
      </c>
      <c r="L19" s="568"/>
      <c r="M19" s="535"/>
      <c r="N19" s="536"/>
      <c r="O19" s="520"/>
      <c r="P19" s="528"/>
      <c r="Q19" s="528"/>
    </row>
    <row r="20" spans="1:17" ht="19.899999999999999" customHeight="1" x14ac:dyDescent="0.3">
      <c r="A20" s="529"/>
      <c r="B20" s="574" t="s">
        <v>117</v>
      </c>
      <c r="C20" s="574"/>
      <c r="D20" s="574"/>
      <c r="E20" s="568" t="s">
        <v>128</v>
      </c>
      <c r="F20" s="568"/>
      <c r="G20" s="530"/>
      <c r="H20" s="568" t="s">
        <v>143</v>
      </c>
      <c r="I20" s="568"/>
      <c r="J20" s="530"/>
      <c r="K20" s="568" t="s">
        <v>158</v>
      </c>
      <c r="L20" s="568"/>
      <c r="M20" s="535"/>
      <c r="N20" s="536"/>
      <c r="O20" s="520"/>
      <c r="P20" s="528"/>
      <c r="Q20" s="528"/>
    </row>
    <row r="21" spans="1:17" ht="19.899999999999999" customHeight="1" x14ac:dyDescent="0.3">
      <c r="A21" s="529"/>
      <c r="B21" s="568" t="s">
        <v>118</v>
      </c>
      <c r="C21" s="568"/>
      <c r="D21" s="529"/>
      <c r="E21" s="568" t="s">
        <v>129</v>
      </c>
      <c r="F21" s="568"/>
      <c r="G21" s="530"/>
      <c r="H21" s="568" t="s">
        <v>144</v>
      </c>
      <c r="I21" s="568"/>
      <c r="J21" s="530"/>
      <c r="K21" s="568" t="s">
        <v>159</v>
      </c>
      <c r="L21" s="568"/>
      <c r="M21" s="535"/>
      <c r="N21" s="536"/>
      <c r="O21" s="520"/>
      <c r="P21" s="528"/>
      <c r="Q21" s="528"/>
    </row>
    <row r="22" spans="1:17" ht="19.899999999999999" customHeight="1" x14ac:dyDescent="0.3">
      <c r="A22" s="529"/>
      <c r="B22" s="568" t="s">
        <v>119</v>
      </c>
      <c r="C22" s="568"/>
      <c r="D22" s="529"/>
      <c r="E22" s="568" t="s">
        <v>130</v>
      </c>
      <c r="F22" s="568"/>
      <c r="G22" s="530"/>
      <c r="H22" s="568" t="s">
        <v>145</v>
      </c>
      <c r="I22" s="568"/>
      <c r="J22" s="530"/>
      <c r="K22" s="568" t="s">
        <v>160</v>
      </c>
      <c r="L22" s="568"/>
      <c r="M22" s="535"/>
      <c r="N22" s="536"/>
      <c r="O22" s="520"/>
      <c r="P22" s="528"/>
      <c r="Q22" s="528"/>
    </row>
    <row r="23" spans="1:17" ht="19.899999999999999" customHeight="1" x14ac:dyDescent="0.3">
      <c r="A23" s="529"/>
      <c r="B23" s="568" t="s">
        <v>120</v>
      </c>
      <c r="C23" s="568"/>
      <c r="D23" s="529"/>
      <c r="E23" s="568" t="s">
        <v>131</v>
      </c>
      <c r="F23" s="568"/>
      <c r="G23" s="530"/>
      <c r="H23" s="568" t="s">
        <v>146</v>
      </c>
      <c r="I23" s="568"/>
      <c r="J23" s="530"/>
      <c r="K23" s="568" t="s">
        <v>161</v>
      </c>
      <c r="L23" s="568"/>
      <c r="M23" s="535"/>
      <c r="N23" s="536"/>
      <c r="O23" s="520"/>
      <c r="P23" s="528"/>
      <c r="Q23" s="528"/>
    </row>
    <row r="24" spans="1:17" ht="19.899999999999999" customHeight="1" x14ac:dyDescent="0.3">
      <c r="A24" s="529"/>
      <c r="B24" s="568" t="s">
        <v>121</v>
      </c>
      <c r="C24" s="568"/>
      <c r="D24" s="529"/>
      <c r="E24" s="568" t="s">
        <v>132</v>
      </c>
      <c r="F24" s="568"/>
      <c r="G24" s="530"/>
      <c r="H24" s="568" t="s">
        <v>147</v>
      </c>
      <c r="I24" s="568"/>
      <c r="J24" s="530"/>
      <c r="K24" s="568" t="s">
        <v>162</v>
      </c>
      <c r="L24" s="568"/>
      <c r="M24" s="535"/>
      <c r="N24" s="536"/>
      <c r="O24" s="520"/>
      <c r="P24" s="528"/>
      <c r="Q24" s="528"/>
    </row>
    <row r="25" spans="1:17" ht="19.899999999999999" customHeight="1" x14ac:dyDescent="0.3">
      <c r="A25" s="529"/>
      <c r="B25" s="568" t="s">
        <v>98</v>
      </c>
      <c r="C25" s="568"/>
      <c r="D25" s="529"/>
      <c r="E25" s="568" t="s">
        <v>133</v>
      </c>
      <c r="F25" s="568"/>
      <c r="G25" s="530"/>
      <c r="H25" s="568" t="s">
        <v>148</v>
      </c>
      <c r="I25" s="568"/>
      <c r="J25" s="530"/>
      <c r="K25" s="568" t="s">
        <v>163</v>
      </c>
      <c r="L25" s="568"/>
      <c r="M25" s="535"/>
      <c r="N25" s="536"/>
      <c r="O25" s="520"/>
      <c r="P25" s="528"/>
      <c r="Q25" s="528"/>
    </row>
    <row r="26" spans="1:17" ht="19.899999999999999" customHeight="1" x14ac:dyDescent="0.3">
      <c r="A26" s="529"/>
      <c r="B26" s="568" t="s">
        <v>122</v>
      </c>
      <c r="C26" s="568"/>
      <c r="D26" s="529"/>
      <c r="E26" s="568" t="s">
        <v>367</v>
      </c>
      <c r="F26" s="568"/>
      <c r="G26" s="530"/>
      <c r="H26" s="568" t="s">
        <v>149</v>
      </c>
      <c r="I26" s="568"/>
      <c r="J26" s="530"/>
      <c r="K26" s="568" t="s">
        <v>164</v>
      </c>
      <c r="L26" s="568"/>
      <c r="M26" s="535"/>
      <c r="N26" s="536"/>
      <c r="O26" s="520"/>
      <c r="P26" s="528"/>
      <c r="Q26" s="528"/>
    </row>
    <row r="27" spans="1:17" ht="19.899999999999999" customHeight="1" x14ac:dyDescent="0.3">
      <c r="A27" s="529"/>
      <c r="B27" s="568" t="s">
        <v>431</v>
      </c>
      <c r="C27" s="568"/>
      <c r="D27" s="529"/>
      <c r="E27" s="568" t="s">
        <v>134</v>
      </c>
      <c r="F27" s="568"/>
      <c r="G27" s="530"/>
      <c r="H27" s="568" t="s">
        <v>430</v>
      </c>
      <c r="I27" s="568"/>
      <c r="J27" s="530"/>
      <c r="K27" s="568" t="s">
        <v>165</v>
      </c>
      <c r="L27" s="568"/>
      <c r="M27" s="535"/>
      <c r="N27" s="536"/>
      <c r="O27" s="520"/>
      <c r="P27" s="528"/>
      <c r="Q27" s="528"/>
    </row>
    <row r="28" spans="1:17" ht="19.899999999999999" customHeight="1" x14ac:dyDescent="0.3">
      <c r="A28" s="529"/>
      <c r="B28" s="568" t="s">
        <v>292</v>
      </c>
      <c r="C28" s="568"/>
      <c r="D28" s="529"/>
      <c r="E28" s="568" t="s">
        <v>135</v>
      </c>
      <c r="F28" s="568"/>
      <c r="G28" s="530"/>
      <c r="H28" s="568" t="s">
        <v>150</v>
      </c>
      <c r="I28" s="568"/>
      <c r="J28" s="530"/>
      <c r="K28" s="574" t="s">
        <v>166</v>
      </c>
      <c r="L28" s="574"/>
      <c r="M28" s="535"/>
      <c r="N28" s="536"/>
      <c r="O28" s="520"/>
      <c r="P28" s="528"/>
      <c r="Q28" s="528"/>
    </row>
    <row r="29" spans="1:17" ht="19.899999999999999" customHeight="1" x14ac:dyDescent="0.3">
      <c r="A29" s="529"/>
      <c r="B29" s="568" t="s">
        <v>123</v>
      </c>
      <c r="C29" s="568"/>
      <c r="D29" s="529"/>
      <c r="E29" s="568" t="s">
        <v>136</v>
      </c>
      <c r="F29" s="568"/>
      <c r="G29" s="530"/>
      <c r="H29" s="568" t="s">
        <v>151</v>
      </c>
      <c r="I29" s="568"/>
      <c r="J29" s="530"/>
      <c r="K29" s="568" t="s">
        <v>167</v>
      </c>
      <c r="L29" s="568"/>
      <c r="M29" s="535"/>
      <c r="N29" s="536"/>
      <c r="O29" s="520"/>
      <c r="P29" s="528"/>
      <c r="Q29" s="528"/>
    </row>
    <row r="30" spans="1:17" ht="19.899999999999999" customHeight="1" x14ac:dyDescent="0.3">
      <c r="A30" s="529"/>
      <c r="B30" s="574" t="s">
        <v>437</v>
      </c>
      <c r="C30" s="574"/>
      <c r="D30" s="529"/>
      <c r="E30" s="568" t="s">
        <v>137</v>
      </c>
      <c r="F30" s="568"/>
      <c r="G30" s="530"/>
      <c r="H30" s="568" t="s">
        <v>152</v>
      </c>
      <c r="I30" s="568"/>
      <c r="J30" s="530"/>
      <c r="K30" s="574" t="s">
        <v>168</v>
      </c>
      <c r="L30" s="574"/>
      <c r="M30" s="535"/>
      <c r="N30" s="536"/>
      <c r="O30" s="520"/>
      <c r="P30" s="528"/>
      <c r="Q30" s="528"/>
    </row>
    <row r="31" spans="1:17" ht="13.9" customHeight="1" x14ac:dyDescent="0.3">
      <c r="A31" s="529"/>
      <c r="B31" s="529"/>
      <c r="C31" s="529"/>
      <c r="D31" s="529"/>
      <c r="E31" s="529"/>
      <c r="F31" s="529"/>
      <c r="G31" s="529"/>
      <c r="H31" s="529"/>
      <c r="I31" s="529"/>
      <c r="J31" s="529"/>
      <c r="K31" s="529"/>
      <c r="L31" s="529"/>
      <c r="M31" s="535"/>
      <c r="N31" s="536"/>
      <c r="O31" s="520"/>
      <c r="P31" s="528"/>
      <c r="Q31" s="528"/>
    </row>
    <row r="32" spans="1:17" ht="13.9" customHeight="1" x14ac:dyDescent="0.3">
      <c r="A32" s="529"/>
      <c r="B32" s="529"/>
      <c r="C32" s="529"/>
      <c r="D32" s="529"/>
      <c r="E32" s="529"/>
      <c r="F32" s="529"/>
      <c r="G32" s="529"/>
      <c r="H32" s="529"/>
      <c r="I32" s="529"/>
      <c r="J32" s="529"/>
      <c r="K32" s="529"/>
      <c r="L32" s="529"/>
      <c r="M32" s="535"/>
      <c r="N32" s="536"/>
      <c r="O32" s="528"/>
      <c r="P32" s="528"/>
      <c r="Q32" s="528"/>
    </row>
    <row r="33" spans="1:17" ht="13.9" customHeight="1" x14ac:dyDescent="0.3">
      <c r="A33" s="526"/>
      <c r="B33" s="529"/>
      <c r="C33" s="526"/>
      <c r="D33" s="526"/>
      <c r="E33" s="526"/>
      <c r="F33" s="526"/>
      <c r="G33" s="526"/>
      <c r="H33" s="526"/>
      <c r="I33" s="526"/>
      <c r="J33" s="526"/>
      <c r="K33" s="526"/>
      <c r="L33" s="526"/>
      <c r="M33" s="527"/>
      <c r="N33" s="528"/>
      <c r="O33" s="528"/>
      <c r="P33" s="528"/>
      <c r="Q33" s="528"/>
    </row>
    <row r="34" spans="1:17" ht="13.9" customHeight="1" x14ac:dyDescent="0.3">
      <c r="A34" s="526"/>
      <c r="B34" s="529"/>
      <c r="C34" s="526"/>
      <c r="D34" s="526"/>
      <c r="E34" s="526"/>
      <c r="F34" s="526"/>
      <c r="G34" s="526"/>
      <c r="H34" s="526"/>
      <c r="I34" s="526"/>
      <c r="J34" s="526"/>
      <c r="K34" s="526"/>
      <c r="L34" s="526"/>
      <c r="M34" s="531"/>
      <c r="N34" s="532"/>
      <c r="O34" s="528"/>
      <c r="P34" s="528"/>
      <c r="Q34" s="528"/>
    </row>
    <row r="35" spans="1:17" ht="13.9" customHeight="1" x14ac:dyDescent="0.3">
      <c r="A35" s="576" t="s">
        <v>428</v>
      </c>
      <c r="B35" s="576"/>
      <c r="C35" s="576"/>
      <c r="D35" s="576"/>
      <c r="E35" s="576"/>
      <c r="F35" s="576"/>
      <c r="G35" s="576"/>
      <c r="H35" s="576"/>
      <c r="I35" s="576"/>
      <c r="J35" s="576"/>
      <c r="K35" s="576"/>
      <c r="L35" s="576"/>
      <c r="M35" s="533"/>
      <c r="N35" s="532"/>
      <c r="O35" s="528"/>
      <c r="P35" s="528"/>
      <c r="Q35" s="528"/>
    </row>
    <row r="36" spans="1:17" ht="13.9" customHeight="1" x14ac:dyDescent="0.3">
      <c r="A36" s="575" t="s">
        <v>398</v>
      </c>
      <c r="B36" s="575"/>
      <c r="C36" s="575"/>
      <c r="D36" s="575"/>
      <c r="E36" s="575"/>
      <c r="F36" s="575"/>
      <c r="G36" s="575"/>
      <c r="H36" s="575"/>
      <c r="I36" s="575"/>
      <c r="J36" s="575"/>
      <c r="K36" s="575"/>
      <c r="L36" s="575"/>
      <c r="M36" s="534"/>
      <c r="N36" s="36"/>
    </row>
  </sheetData>
  <mergeCells count="71">
    <mergeCell ref="A36:L36"/>
    <mergeCell ref="A35:L35"/>
    <mergeCell ref="K30:L30"/>
    <mergeCell ref="B20:D20"/>
    <mergeCell ref="K24:L24"/>
    <mergeCell ref="K25:L25"/>
    <mergeCell ref="K26:L26"/>
    <mergeCell ref="K27:L27"/>
    <mergeCell ref="K28:L28"/>
    <mergeCell ref="K29:L29"/>
    <mergeCell ref="H30:I30"/>
    <mergeCell ref="K20:L20"/>
    <mergeCell ref="K21:L21"/>
    <mergeCell ref="K22:L22"/>
    <mergeCell ref="K23:L23"/>
    <mergeCell ref="H24:I24"/>
    <mergeCell ref="H25:I25"/>
    <mergeCell ref="H26:I26"/>
    <mergeCell ref="K15:L15"/>
    <mergeCell ref="K16:L16"/>
    <mergeCell ref="K17:L17"/>
    <mergeCell ref="K18:L18"/>
    <mergeCell ref="K19:L19"/>
    <mergeCell ref="H27:I27"/>
    <mergeCell ref="H28:I28"/>
    <mergeCell ref="H29:I29"/>
    <mergeCell ref="E30:F30"/>
    <mergeCell ref="H15:I15"/>
    <mergeCell ref="H16:I16"/>
    <mergeCell ref="H17:I17"/>
    <mergeCell ref="H18:I18"/>
    <mergeCell ref="H19:I19"/>
    <mergeCell ref="H20:I20"/>
    <mergeCell ref="H21:I21"/>
    <mergeCell ref="H22:I22"/>
    <mergeCell ref="H23:I23"/>
    <mergeCell ref="E24:F24"/>
    <mergeCell ref="E25:F25"/>
    <mergeCell ref="E26:F26"/>
    <mergeCell ref="E27:F27"/>
    <mergeCell ref="E28:F28"/>
    <mergeCell ref="E29:F29"/>
    <mergeCell ref="B30:C30"/>
    <mergeCell ref="E15:F15"/>
    <mergeCell ref="E16:F16"/>
    <mergeCell ref="E17:F17"/>
    <mergeCell ref="E18:F18"/>
    <mergeCell ref="E19:F19"/>
    <mergeCell ref="E20:F20"/>
    <mergeCell ref="E21:F21"/>
    <mergeCell ref="E22:F22"/>
    <mergeCell ref="E23:F23"/>
    <mergeCell ref="B22:C22"/>
    <mergeCell ref="B16:C16"/>
    <mergeCell ref="B23:C23"/>
    <mergeCell ref="B1:M1"/>
    <mergeCell ref="B2:M2"/>
    <mergeCell ref="B7:M7"/>
    <mergeCell ref="B11:M11"/>
    <mergeCell ref="B15:C15"/>
    <mergeCell ref="A13:L13"/>
    <mergeCell ref="B17:C17"/>
    <mergeCell ref="B28:C28"/>
    <mergeCell ref="B29:C29"/>
    <mergeCell ref="B18:C18"/>
    <mergeCell ref="B19:C19"/>
    <mergeCell ref="B21:C21"/>
    <mergeCell ref="B25:C25"/>
    <mergeCell ref="B26:C26"/>
    <mergeCell ref="B27:C27"/>
    <mergeCell ref="B24:C24"/>
  </mergeCells>
  <hyperlinks>
    <hyperlink ref="B15:C15" location="Argentina!A1" display="Argentina" xr:uid="{1471B49E-C1BE-4F29-BCBB-00B4E1047595}"/>
    <hyperlink ref="B16:C16" location="Australia!A1" display="Australia" xr:uid="{A6CD5A9D-43C0-42AE-BA32-545B2AF8EBB3}"/>
    <hyperlink ref="B17:C17" location="Austria!A1" display="Austria" xr:uid="{A29056B7-6F40-4DA0-A506-0B1FA209AABE}"/>
    <hyperlink ref="B18:C18" location="Bangladesh!A1" display="Bangladesh" xr:uid="{E1607CA4-A1C7-4D0A-8B1E-995971227452}"/>
    <hyperlink ref="B19:C19" location="Belarus!A1" display="Belarus" xr:uid="{7DFB073D-EE9B-4EAB-854F-85042F28C5EA}"/>
    <hyperlink ref="B21:C21" location="Bolivia!A1" display="Bolivia" xr:uid="{98526439-B488-4487-86A5-308D9B0A9735}"/>
    <hyperlink ref="B22:C22" location="Brazil!A1" display="Brazil" xr:uid="{94FF29F8-7986-46BE-A36C-F32A9416055A}"/>
    <hyperlink ref="B23:C23" location="Bulgaria!A1" display="Bulgaria" xr:uid="{A3EAB639-9251-47B9-82DE-B1366E841715}"/>
    <hyperlink ref="B24:C24" location="'Burkina Faso'!A1" display="Burkina Faso" xr:uid="{A542137C-CA37-4726-9A3B-ED4584DEDA5A}"/>
    <hyperlink ref="B25:C25" location="Canada!A1" display="Canada" xr:uid="{67004E4D-CD62-4524-8EE2-ECB6BA22C88B}"/>
    <hyperlink ref="B26:C26" location="Chile!A1" display="Chile" xr:uid="{A8A23100-985D-4844-8960-43A1C769521A}"/>
    <hyperlink ref="B27:C27" location="China!A1" display="China" xr:uid="{BBC72E82-EE7E-4F34-9E0A-E731770E87F7}"/>
    <hyperlink ref="B28:C28" location="Croatia!A1" display="Croatia" xr:uid="{93D611B7-1560-4250-9A93-C4E3D727C1B5}"/>
    <hyperlink ref="B29:C29" location="Cyprus!A1" display="Cyprus" xr:uid="{1C72299D-7F9D-4C9E-B226-1D2BE18962DF}"/>
    <hyperlink ref="E15:F15" location="Denmark!A1" display="Denmark" xr:uid="{8AD02414-920C-47BB-94A5-807B020F76CE}"/>
    <hyperlink ref="E16:F16" location="Egypt!A1" display="Egypt" xr:uid="{1039F3EB-CA14-46E2-B422-4EDA30B65886}"/>
    <hyperlink ref="E17:F17" location="Estonia!A1" display="Estonia" xr:uid="{14C87EC8-7582-4C56-8303-F335668FD22F}"/>
    <hyperlink ref="E18:F18" location="Finland!A1" display="Finland" xr:uid="{ECBE0AF0-9D87-4A53-9570-9553F32BB3C7}"/>
    <hyperlink ref="E19:F19" location="France!A1" display="France" xr:uid="{C27151BB-DFE9-42AD-A0D0-9C2C3DE63B5E}"/>
    <hyperlink ref="E20:F20" location="Germany!A1" display="Germany" xr:uid="{74AB2ACE-DA62-46BB-A86E-9B0728CA550E}"/>
    <hyperlink ref="E21:F21" location="Greece!A1" display="Greece" xr:uid="{E6D10EB1-4EE5-41A9-872C-AF69D54CFCFA}"/>
    <hyperlink ref="E22:F22" location="Hungary!A1" display="Hungary" xr:uid="{9C99F71A-F4DE-40A0-866F-B90ACE192248}"/>
    <hyperlink ref="E23:F23" location="India!A1" display="India" xr:uid="{A0BE7CDB-6A78-4371-9DDA-63AB75C48E7E}"/>
    <hyperlink ref="E24:F24" location="Indonesia!A1" display="Indonesia" xr:uid="{6C26281D-5B61-4A72-AB1A-3FCCB0E0C58E}"/>
    <hyperlink ref="E25:F25" location="Iran!A1" display="Iran" xr:uid="{DEC39E37-F7C3-480B-9A57-1D5A1E450F8F}"/>
    <hyperlink ref="E26:F26" location="Ireland!A1" display="Ireland" xr:uid="{68C49055-3250-4ADF-9BFB-96063EC35AE0}"/>
    <hyperlink ref="E27:F27" location="Israel!A1" display="Israel" xr:uid="{49B7E35E-C7CD-435B-93D8-B84279556244}"/>
    <hyperlink ref="E28:F28" location="Italy!A1" display="Italy" xr:uid="{E1A83BE4-E7C2-4054-9EB3-98C8F8DEFA1E}"/>
    <hyperlink ref="E29:F29" location="Japan!A1" display="Japan" xr:uid="{941DDE69-12B0-47C3-ABB4-FF15267354F7}"/>
    <hyperlink ref="E30:F30" location="Latvia!A1" display="Latvia" xr:uid="{6E1C87C2-D048-439F-BD55-2EBBD58E6AD9}"/>
    <hyperlink ref="H15:I15" location="Lithuania!A1" display="Lithuania" xr:uid="{7B05CEF0-AF4D-4EA4-B979-2961A0EEDACC}"/>
    <hyperlink ref="H16:I16" location="Malaysia!A1" display="Malaysia" xr:uid="{D527233A-ACEB-432C-AF41-9328F4044C8F}"/>
    <hyperlink ref="H17:I17" location="Mali!A1" display="Mali" xr:uid="{AF3F39E4-E27E-4D57-B7A8-FD19A9A02F7F}"/>
    <hyperlink ref="H18:I18" location="Mexico!A1" display="Mexico" xr:uid="{2715AEFB-4300-4D23-9149-AFCA2DE1500B}"/>
    <hyperlink ref="H19:I19" location="Morocco!A1" display="Morocco" xr:uid="{746202C8-CA68-4745-BFB3-4FF8A8256C9B}"/>
    <hyperlink ref="H20:I20" location="Myanmar!A1" display="Myanmar" xr:uid="{C4C03D87-32B2-41C7-8433-89D4B5E771CC}"/>
    <hyperlink ref="H21:I21" location="Netherlands!A1" display="Netherlands" xr:uid="{6C148F6E-1190-4DFA-AE7F-5BA855A32E79}"/>
    <hyperlink ref="H22:I22" location="'New Zealand'!A1" display="New Zealand" xr:uid="{38B9333F-8296-4CC1-BEAE-A2A30E492C46}"/>
    <hyperlink ref="H23:I23" location="Nigeria!A1" display="Nigeria" xr:uid="{07ABCD1D-C5AC-4D42-AE5F-C53C2CCE981F}"/>
    <hyperlink ref="H24:I24" location="Norway!A1" display="Norway" xr:uid="{1471C7D2-AC0E-46C0-BB50-DE5737369556}"/>
    <hyperlink ref="H25:I25" location="Pakistan!A1" display="Pakistan" xr:uid="{7CFC3A56-491D-414C-8C2A-B17634CE71B6}"/>
    <hyperlink ref="H26:I26" location="Paraguay!A1" display="Paraguay" xr:uid="{5FC2C9E7-F5E3-4DE4-91A1-C276CB709991}"/>
    <hyperlink ref="H27:I27" location="Peru!A1" display="Peru " xr:uid="{C5FBEEDC-44DB-4F23-B46D-EE3781FDD16C}"/>
    <hyperlink ref="H28:I28" location="Philippines!A1" display="Philippines" xr:uid="{247D3DC3-7681-43EF-B7F7-995CB8B9EE8E}"/>
    <hyperlink ref="H29:I29" location="Poland!A1" display="Poland" xr:uid="{4759EA01-732C-452A-824B-ACA4D26D409D}"/>
    <hyperlink ref="H30:I30" location="Portugal!A1" display="Portugal" xr:uid="{06587F53-9210-4A31-BC8A-E1E13B9C358C}"/>
    <hyperlink ref="K15:L15" location="Romania!A1" display="Romania" xr:uid="{169877EC-CDD8-4BB4-A103-7F7B887A222C}"/>
    <hyperlink ref="K16:L16" location="Russia!A1" display="Russia" xr:uid="{480BE5D4-2355-4693-B554-AA9200C1F9B7}"/>
    <hyperlink ref="K17:L17" location="Senegal!A1" display="Senegal" xr:uid="{3E162AFC-E6F4-4B0B-B9E4-88857F813ADD}"/>
    <hyperlink ref="K18:L18" location="Slovakia!A1" display="Slovakia" xr:uid="{959E1CAB-5A5C-41B6-9623-60284E0F6FB4}"/>
    <hyperlink ref="K19:L19" location="Slovenia!A1" display="Slovenia" xr:uid="{B6DD4B38-A4B5-4F94-BA40-9EB339F2BA04}"/>
    <hyperlink ref="K20:L20" location="'South Africa'!A1" display="South Africa" xr:uid="{751484DB-176B-46D8-A580-520A40749827}"/>
    <hyperlink ref="K21:L21" location="Spain!A1" display="Spain" xr:uid="{A1FD2B3F-CF30-4166-B366-A86FE1401322}"/>
    <hyperlink ref="K22:L22" location="Sweden!A1" display="Sweden" xr:uid="{3BC411DD-1F55-4F30-8562-35EFC31E8D9B}"/>
    <hyperlink ref="K23:L23" location="Tanzania!A1" display="Tanzania" xr:uid="{77CCB726-3EFB-4E25-84AD-B5AD294F5891}"/>
    <hyperlink ref="K24:L24" location="Thailand!A1" display="Thailand" xr:uid="{3E678BF5-7CB2-4F19-B230-19AD2710F267}"/>
    <hyperlink ref="K25:L25" location="Turkey!A1" display="Turkey" xr:uid="{C61031B2-B759-48E4-856F-439A4189E3CF}"/>
    <hyperlink ref="K26:L26" location="Ukraine!A1" display="Ukraine" xr:uid="{D67F812B-1F9B-445A-B894-2C37F7DB9DFD}"/>
    <hyperlink ref="K27:L27" location="UK!A1" display="United Kingdom" xr:uid="{11F2E064-79E1-4B3E-8DD4-5BBD19F8C745}"/>
    <hyperlink ref="K29:L29" location="Uruguay!A1" display="Uruguay" xr:uid="{3F04A701-1F32-4810-8FC9-C93105F43BA1}"/>
    <hyperlink ref="B20:D20" location="Belgium!A1" display="Belgium" xr:uid="{F2A07C61-24E2-43E4-9A35-2F9950EBF717}"/>
    <hyperlink ref="B30:C30" location="Czechia!A1" display="Czechia" xr:uid="{4434E07A-1DAE-41EB-B12D-193224767822}"/>
    <hyperlink ref="K30:L30" location="Vietnam!A1" display="Vietnam" xr:uid="{5711FCA2-30CF-402A-A77C-EE605691BB20}"/>
    <hyperlink ref="K28:L28" location="'United States'!A1" display="United States" xr:uid="{ABE82DC2-915D-4E62-964C-76E589E8843D}"/>
  </hyperlinks>
  <pageMargins left="0.7" right="0.7" top="0.75" bottom="0.75" header="0.3" footer="0.3"/>
  <pageSetup paperSize="165" scale="63"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95FB-21A8-45EB-9828-00008C6F25D8}">
  <sheetPr codeName="Feuil57">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271</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175"/>
      <c r="D10" s="98"/>
      <c r="E10" s="97"/>
      <c r="F10" s="98"/>
      <c r="G10" s="98"/>
      <c r="H10" s="98"/>
      <c r="I10" s="98"/>
      <c r="J10" s="98"/>
      <c r="K10" s="98"/>
      <c r="L10" s="98"/>
    </row>
    <row r="11" spans="1:17" x14ac:dyDescent="0.25">
      <c r="B11" s="89" t="s">
        <v>3</v>
      </c>
      <c r="C11" s="172">
        <v>1212000</v>
      </c>
      <c r="D11" s="53">
        <v>151500</v>
      </c>
      <c r="E11" s="164">
        <v>27876</v>
      </c>
      <c r="F11" s="164">
        <v>9696</v>
      </c>
      <c r="G11" s="56">
        <f>IFERROR(D11*1000/C11,"-")</f>
        <v>125</v>
      </c>
      <c r="H11" s="56">
        <f>IFERROR(E11*1000/C11,"-")</f>
        <v>23</v>
      </c>
      <c r="I11" s="56">
        <f>IFERROR(F11*1000/C11,"-")</f>
        <v>8</v>
      </c>
      <c r="J11" s="57">
        <f t="shared" ref="J11:J30" si="0">D11/$D$33</f>
        <v>0.43361659134426866</v>
      </c>
      <c r="K11" s="57">
        <f t="shared" ref="K11:K31" si="1">E11/$E$33</f>
        <v>0.40049997844920476</v>
      </c>
      <c r="L11" s="57">
        <f t="shared" ref="L11:L31" si="2">F11/$F$33</f>
        <v>0.2627001544338779</v>
      </c>
    </row>
    <row r="12" spans="1:17" x14ac:dyDescent="0.25">
      <c r="B12" s="103" t="s">
        <v>27</v>
      </c>
      <c r="C12" s="174">
        <v>104000</v>
      </c>
      <c r="D12" s="71">
        <v>9880</v>
      </c>
      <c r="E12" s="166">
        <v>1664</v>
      </c>
      <c r="F12" s="166">
        <v>520</v>
      </c>
      <c r="G12" s="74">
        <f t="shared" ref="G12:G31" si="3">IFERROR(D12*1000/C12,"-")</f>
        <v>95</v>
      </c>
      <c r="H12" s="74">
        <f t="shared" ref="H12:H31" si="4">IFERROR(E12*1000/C12,"-")</f>
        <v>16</v>
      </c>
      <c r="I12" s="74">
        <f t="shared" ref="I12:I31" si="5">IFERROR(F12*1000/C12,"-")</f>
        <v>5</v>
      </c>
      <c r="J12" s="75">
        <f t="shared" si="0"/>
        <v>2.8278098498226895E-2</v>
      </c>
      <c r="K12" s="75">
        <f t="shared" si="1"/>
        <v>2.3907015502205364E-2</v>
      </c>
      <c r="L12" s="75">
        <f t="shared" si="2"/>
        <v>1.4088704651981901E-2</v>
      </c>
    </row>
    <row r="13" spans="1:17" x14ac:dyDescent="0.25">
      <c r="B13" s="89" t="s">
        <v>28</v>
      </c>
      <c r="C13" s="172">
        <v>46000</v>
      </c>
      <c r="D13" s="53">
        <v>2668</v>
      </c>
      <c r="E13" s="164">
        <v>368</v>
      </c>
      <c r="F13" s="164">
        <v>184</v>
      </c>
      <c r="G13" s="56">
        <f t="shared" si="3"/>
        <v>58</v>
      </c>
      <c r="H13" s="56">
        <f t="shared" si="4"/>
        <v>8</v>
      </c>
      <c r="I13" s="56">
        <f t="shared" si="5"/>
        <v>4</v>
      </c>
      <c r="J13" s="57">
        <f t="shared" si="0"/>
        <v>7.6362314568086389E-3</v>
      </c>
      <c r="K13" s="57">
        <f t="shared" si="1"/>
        <v>5.2871284283723405E-3</v>
      </c>
      <c r="L13" s="57">
        <f t="shared" si="2"/>
        <v>4.9852339537782113E-3</v>
      </c>
    </row>
    <row r="14" spans="1:17" x14ac:dyDescent="0.25">
      <c r="B14" s="103" t="s">
        <v>29</v>
      </c>
      <c r="C14" s="174">
        <v>445000</v>
      </c>
      <c r="D14" s="71">
        <v>57850</v>
      </c>
      <c r="E14" s="71">
        <v>6675</v>
      </c>
      <c r="F14" s="71">
        <v>5785</v>
      </c>
      <c r="G14" s="74">
        <f t="shared" si="3"/>
        <v>130</v>
      </c>
      <c r="H14" s="74">
        <f t="shared" si="4"/>
        <v>15</v>
      </c>
      <c r="I14" s="74">
        <f t="shared" si="5"/>
        <v>13</v>
      </c>
      <c r="J14" s="75">
        <f t="shared" si="0"/>
        <v>0.16557570831198642</v>
      </c>
      <c r="K14" s="75">
        <f t="shared" si="1"/>
        <v>9.5901038748329809E-2</v>
      </c>
      <c r="L14" s="75">
        <f t="shared" si="2"/>
        <v>0.15673683925329865</v>
      </c>
    </row>
    <row r="15" spans="1:17" x14ac:dyDescent="0.25">
      <c r="B15" s="89" t="s">
        <v>30</v>
      </c>
      <c r="C15" s="172">
        <v>12000</v>
      </c>
      <c r="D15" s="53">
        <v>600</v>
      </c>
      <c r="E15" s="53">
        <v>84</v>
      </c>
      <c r="F15" s="53">
        <v>24</v>
      </c>
      <c r="G15" s="56">
        <f t="shared" si="3"/>
        <v>50</v>
      </c>
      <c r="H15" s="56">
        <f t="shared" si="4"/>
        <v>7</v>
      </c>
      <c r="I15" s="56">
        <f t="shared" si="5"/>
        <v>2</v>
      </c>
      <c r="J15" s="57">
        <f t="shared" si="0"/>
        <v>1.7172934310664106E-3</v>
      </c>
      <c r="K15" s="57">
        <f t="shared" si="1"/>
        <v>1.2068445325632516E-3</v>
      </c>
      <c r="L15" s="57">
        <f t="shared" si="2"/>
        <v>6.5024790701454925E-4</v>
      </c>
    </row>
    <row r="16" spans="1:17" x14ac:dyDescent="0.25">
      <c r="B16" s="103" t="s">
        <v>31</v>
      </c>
      <c r="C16" s="174">
        <v>183000</v>
      </c>
      <c r="D16" s="71">
        <v>21045</v>
      </c>
      <c r="E16" s="71">
        <v>4575</v>
      </c>
      <c r="F16" s="71">
        <v>2928</v>
      </c>
      <c r="G16" s="74">
        <f t="shared" si="3"/>
        <v>115</v>
      </c>
      <c r="H16" s="74">
        <f t="shared" si="4"/>
        <v>25</v>
      </c>
      <c r="I16" s="74">
        <f t="shared" si="5"/>
        <v>16</v>
      </c>
      <c r="J16" s="75">
        <f t="shared" si="0"/>
        <v>6.0234067094654349E-2</v>
      </c>
      <c r="K16" s="75">
        <f t="shared" si="1"/>
        <v>6.5729925434248521E-2</v>
      </c>
      <c r="L16" s="75">
        <f t="shared" si="2"/>
        <v>7.9330244655775012E-2</v>
      </c>
    </row>
    <row r="17" spans="2:12" x14ac:dyDescent="0.25">
      <c r="B17" s="89" t="s">
        <v>32</v>
      </c>
      <c r="C17" s="172">
        <v>798000</v>
      </c>
      <c r="D17" s="53">
        <v>71820</v>
      </c>
      <c r="E17" s="53">
        <v>12768</v>
      </c>
      <c r="F17" s="53">
        <v>10374</v>
      </c>
      <c r="G17" s="56">
        <f t="shared" si="3"/>
        <v>90</v>
      </c>
      <c r="H17" s="56">
        <f t="shared" si="4"/>
        <v>16</v>
      </c>
      <c r="I17" s="56">
        <f t="shared" si="5"/>
        <v>13</v>
      </c>
      <c r="J17" s="57">
        <f t="shared" si="0"/>
        <v>0.20556002369864934</v>
      </c>
      <c r="K17" s="57">
        <f t="shared" si="1"/>
        <v>0.18344036894961424</v>
      </c>
      <c r="L17" s="57">
        <f t="shared" si="2"/>
        <v>0.28106965780703891</v>
      </c>
    </row>
    <row r="18" spans="2:12" x14ac:dyDescent="0.25">
      <c r="B18" s="103" t="s">
        <v>33</v>
      </c>
      <c r="C18" s="174">
        <v>96000</v>
      </c>
      <c r="D18" s="71">
        <v>384</v>
      </c>
      <c r="E18" s="71">
        <v>384</v>
      </c>
      <c r="F18" s="71">
        <v>192</v>
      </c>
      <c r="G18" s="74">
        <f t="shared" si="3"/>
        <v>4</v>
      </c>
      <c r="H18" s="74">
        <f t="shared" si="4"/>
        <v>4</v>
      </c>
      <c r="I18" s="74">
        <f t="shared" si="5"/>
        <v>2</v>
      </c>
      <c r="J18" s="75">
        <f t="shared" si="0"/>
        <v>1.0990677958825027E-3</v>
      </c>
      <c r="K18" s="75">
        <f t="shared" si="1"/>
        <v>5.5170035774320071E-3</v>
      </c>
      <c r="L18" s="75">
        <f t="shared" si="2"/>
        <v>5.201983256116394E-3</v>
      </c>
    </row>
    <row r="19" spans="2:12" x14ac:dyDescent="0.25">
      <c r="B19" s="89" t="s">
        <v>26</v>
      </c>
      <c r="C19" s="172">
        <v>14000</v>
      </c>
      <c r="D19" s="53">
        <v>1820</v>
      </c>
      <c r="E19" s="53">
        <v>1204</v>
      </c>
      <c r="F19" s="53">
        <v>924</v>
      </c>
      <c r="G19" s="56">
        <f t="shared" si="3"/>
        <v>130</v>
      </c>
      <c r="H19" s="56">
        <f t="shared" si="4"/>
        <v>86</v>
      </c>
      <c r="I19" s="56">
        <f t="shared" si="5"/>
        <v>66</v>
      </c>
      <c r="J19" s="57">
        <f t="shared" si="0"/>
        <v>5.2091234075681125E-3</v>
      </c>
      <c r="K19" s="57">
        <f t="shared" si="1"/>
        <v>1.729810496673994E-2</v>
      </c>
      <c r="L19" s="57">
        <f t="shared" si="2"/>
        <v>2.5034544420060149E-2</v>
      </c>
    </row>
    <row r="20" spans="2:12" x14ac:dyDescent="0.25">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25">
      <c r="B21" s="89" t="s">
        <v>9</v>
      </c>
      <c r="C21" s="172">
        <v>58000</v>
      </c>
      <c r="D21" s="53">
        <v>7540</v>
      </c>
      <c r="E21" s="53">
        <v>2900</v>
      </c>
      <c r="F21" s="53">
        <v>2204</v>
      </c>
      <c r="G21" s="56">
        <f t="shared" si="3"/>
        <v>130</v>
      </c>
      <c r="H21" s="56">
        <f t="shared" si="4"/>
        <v>50</v>
      </c>
      <c r="I21" s="56">
        <f t="shared" si="5"/>
        <v>38</v>
      </c>
      <c r="J21" s="57">
        <f t="shared" si="0"/>
        <v>2.1580654117067895E-2</v>
      </c>
      <c r="K21" s="57">
        <f t="shared" si="1"/>
        <v>4.1664870767064641E-2</v>
      </c>
      <c r="L21" s="57">
        <f t="shared" si="2"/>
        <v>5.9714432794169443E-2</v>
      </c>
    </row>
    <row r="22" spans="2:12" x14ac:dyDescent="0.25">
      <c r="B22" s="103" t="s">
        <v>35</v>
      </c>
      <c r="C22" s="174">
        <v>77000</v>
      </c>
      <c r="D22" s="71">
        <v>6545</v>
      </c>
      <c r="E22" s="71">
        <v>6160</v>
      </c>
      <c r="F22" s="71">
        <v>308</v>
      </c>
      <c r="G22" s="74">
        <f t="shared" si="3"/>
        <v>85</v>
      </c>
      <c r="H22" s="74">
        <f t="shared" si="4"/>
        <v>80</v>
      </c>
      <c r="I22" s="74">
        <f t="shared" si="5"/>
        <v>4</v>
      </c>
      <c r="J22" s="75">
        <f t="shared" si="0"/>
        <v>1.8732809177216096E-2</v>
      </c>
      <c r="K22" s="75">
        <f t="shared" si="1"/>
        <v>8.8501932387971785E-2</v>
      </c>
      <c r="L22" s="75">
        <f t="shared" si="2"/>
        <v>8.3448481400200496E-3</v>
      </c>
    </row>
    <row r="23" spans="2:12" x14ac:dyDescent="0.25">
      <c r="B23" s="89" t="s">
        <v>36</v>
      </c>
      <c r="C23" s="172">
        <v>95000</v>
      </c>
      <c r="D23" s="53">
        <v>285</v>
      </c>
      <c r="E23" s="53">
        <v>475</v>
      </c>
      <c r="F23" s="53">
        <v>190</v>
      </c>
      <c r="G23" s="56">
        <f t="shared" si="3"/>
        <v>3</v>
      </c>
      <c r="H23" s="56">
        <f t="shared" si="4"/>
        <v>5</v>
      </c>
      <c r="I23" s="56">
        <f t="shared" si="5"/>
        <v>2</v>
      </c>
      <c r="J23" s="57">
        <f t="shared" si="0"/>
        <v>8.1571437975654505E-4</v>
      </c>
      <c r="K23" s="57">
        <f t="shared" si="1"/>
        <v>6.8244184877088634E-3</v>
      </c>
      <c r="L23" s="57">
        <f t="shared" si="2"/>
        <v>5.1477959305318488E-3</v>
      </c>
    </row>
    <row r="24" spans="2:12" x14ac:dyDescent="0.25">
      <c r="B24" s="103" t="s">
        <v>37</v>
      </c>
      <c r="C24" s="174">
        <v>25000</v>
      </c>
      <c r="D24" s="71">
        <v>1500</v>
      </c>
      <c r="E24" s="71">
        <v>150</v>
      </c>
      <c r="F24" s="71">
        <v>50</v>
      </c>
      <c r="G24" s="74">
        <f t="shared" si="3"/>
        <v>60</v>
      </c>
      <c r="H24" s="74">
        <f t="shared" si="4"/>
        <v>6</v>
      </c>
      <c r="I24" s="74">
        <f t="shared" si="5"/>
        <v>2</v>
      </c>
      <c r="J24" s="75">
        <f t="shared" si="0"/>
        <v>4.2932335776660266E-3</v>
      </c>
      <c r="K24" s="75">
        <f t="shared" si="1"/>
        <v>2.1550795224343777E-3</v>
      </c>
      <c r="L24" s="75">
        <f t="shared" si="2"/>
        <v>1.3546831396136444E-3</v>
      </c>
    </row>
    <row r="25" spans="2:12" x14ac:dyDescent="0.25">
      <c r="B25" s="89" t="s">
        <v>38</v>
      </c>
      <c r="C25" s="172">
        <v>27000</v>
      </c>
      <c r="D25" s="53">
        <v>2430</v>
      </c>
      <c r="E25" s="53">
        <v>270</v>
      </c>
      <c r="F25" s="53">
        <v>135</v>
      </c>
      <c r="G25" s="56">
        <f t="shared" si="3"/>
        <v>90</v>
      </c>
      <c r="H25" s="56">
        <f t="shared" si="4"/>
        <v>10</v>
      </c>
      <c r="I25" s="56">
        <f t="shared" si="5"/>
        <v>5</v>
      </c>
      <c r="J25" s="57">
        <f t="shared" si="0"/>
        <v>6.9550383958189629E-3</v>
      </c>
      <c r="K25" s="57">
        <f t="shared" si="1"/>
        <v>3.87914314038188E-3</v>
      </c>
      <c r="L25" s="57">
        <f t="shared" si="2"/>
        <v>3.6576444769568397E-3</v>
      </c>
    </row>
    <row r="26" spans="2:12" x14ac:dyDescent="0.25">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25">
      <c r="B27" s="89" t="s">
        <v>40</v>
      </c>
      <c r="C27" s="172">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25">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25">
      <c r="B29" s="89" t="s">
        <v>42</v>
      </c>
      <c r="C29" s="172">
        <v>150000</v>
      </c>
      <c r="D29" s="53">
        <v>13500</v>
      </c>
      <c r="E29" s="53">
        <v>4050</v>
      </c>
      <c r="F29" s="53">
        <v>3375</v>
      </c>
      <c r="G29" s="56">
        <f t="shared" si="3"/>
        <v>90</v>
      </c>
      <c r="H29" s="56">
        <f t="shared" si="4"/>
        <v>27</v>
      </c>
      <c r="I29" s="56">
        <f t="shared" si="5"/>
        <v>22.5</v>
      </c>
      <c r="J29" s="57">
        <f t="shared" si="0"/>
        <v>3.8639102198994239E-2</v>
      </c>
      <c r="K29" s="57">
        <f t="shared" si="1"/>
        <v>5.8187147105728199E-2</v>
      </c>
      <c r="L29" s="57">
        <f t="shared" si="2"/>
        <v>9.1441111923921001E-2</v>
      </c>
    </row>
    <row r="30" spans="2:12" x14ac:dyDescent="0.25">
      <c r="B30" s="103" t="s">
        <v>10</v>
      </c>
      <c r="C30" s="174">
        <v>1395000</v>
      </c>
      <c r="D30" s="71">
        <v>20</v>
      </c>
      <c r="E30" s="71">
        <v>0</v>
      </c>
      <c r="F30" s="71">
        <v>20</v>
      </c>
      <c r="G30" s="74">
        <f t="shared" si="3"/>
        <v>1.4336917562724014E-2</v>
      </c>
      <c r="H30" s="74">
        <f t="shared" si="4"/>
        <v>0</v>
      </c>
      <c r="I30" s="74">
        <f t="shared" si="5"/>
        <v>1.4336917562724014E-2</v>
      </c>
      <c r="J30" s="75">
        <f t="shared" si="0"/>
        <v>5.7243114368880354E-5</v>
      </c>
      <c r="K30" s="75">
        <f t="shared" si="1"/>
        <v>0</v>
      </c>
      <c r="L30" s="75">
        <f t="shared" si="2"/>
        <v>5.4187325584545778E-4</v>
      </c>
    </row>
    <row r="31" spans="2:12" x14ac:dyDescent="0.25">
      <c r="B31" s="89" t="s">
        <v>43</v>
      </c>
      <c r="C31" s="172">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167"/>
      <c r="D32" s="168"/>
      <c r="E32" s="168"/>
      <c r="F32" s="168"/>
      <c r="G32" s="100"/>
      <c r="H32" s="84"/>
      <c r="I32" s="101"/>
      <c r="J32" s="85"/>
      <c r="K32" s="85"/>
      <c r="L32" s="85"/>
    </row>
    <row r="33" spans="1:17" s="12" customFormat="1" ht="24.95" customHeight="1" thickTop="1" thickBot="1" x14ac:dyDescent="0.3">
      <c r="A33" s="13"/>
      <c r="B33" s="90" t="s">
        <v>13</v>
      </c>
      <c r="C33" s="169">
        <f t="shared" ref="C33" si="6">SUM(C11:C31)</f>
        <v>4737000</v>
      </c>
      <c r="D33" s="169">
        <f>SUM(D11:D31)</f>
        <v>349387</v>
      </c>
      <c r="E33" s="170">
        <f t="shared" ref="E33:F33" si="7">SUM(E11:E31)</f>
        <v>69603</v>
      </c>
      <c r="F33" s="171">
        <f t="shared" si="7"/>
        <v>36909</v>
      </c>
      <c r="G33" s="94"/>
      <c r="H33" s="94"/>
      <c r="I33" s="94"/>
      <c r="J33" s="95">
        <f t="shared" ref="J33:L33" si="8">SUM(J11:J31)</f>
        <v>1</v>
      </c>
      <c r="K33" s="64">
        <f t="shared" si="8"/>
        <v>0.99999999999999978</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270</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ECD4B308-9453-4B65-BF8F-3F7AF861285E}"/>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78834-D75D-4383-93C2-5B3C7AA3F398}">
  <sheetPr>
    <tabColor rgb="FF92D050"/>
    <pageSetUpPr fitToPage="1"/>
  </sheetPr>
  <dimension ref="A1:BM47"/>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24" sqref="B24"/>
    </sheetView>
  </sheetViews>
  <sheetFormatPr defaultColWidth="8.7109375" defaultRowHeight="15" x14ac:dyDescent="0.25"/>
  <cols>
    <col min="1" max="1" width="2.7109375" style="7" customWidth="1"/>
    <col min="2" max="2" width="45.7109375" style="7" customWidth="1"/>
    <col min="3" max="32" width="12.7109375" style="7" customWidth="1"/>
    <col min="33" max="65" width="8.7109375" style="7"/>
  </cols>
  <sheetData>
    <row r="1" spans="1:65" x14ac:dyDescent="0.25">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25">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25">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25">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75" thickBot="1" x14ac:dyDescent="0.3">
      <c r="C5" s="21"/>
    </row>
    <row r="6" spans="1:65" ht="30" customHeight="1" thickTop="1" x14ac:dyDescent="0.25">
      <c r="B6" s="105" t="s">
        <v>387</v>
      </c>
      <c r="C6" s="615" t="s">
        <v>390</v>
      </c>
      <c r="D6" s="616"/>
      <c r="E6" s="617"/>
      <c r="F6" s="615" t="s">
        <v>389</v>
      </c>
      <c r="G6" s="616"/>
      <c r="H6" s="616"/>
      <c r="I6" s="616"/>
      <c r="J6" s="616"/>
      <c r="K6" s="616"/>
      <c r="L6" s="616"/>
      <c r="M6" s="616"/>
      <c r="N6" s="617"/>
      <c r="O6" s="615" t="s">
        <v>392</v>
      </c>
      <c r="P6" s="616"/>
      <c r="Q6" s="616"/>
      <c r="R6" s="616"/>
      <c r="S6" s="616"/>
      <c r="T6" s="616"/>
      <c r="U6" s="616"/>
      <c r="V6" s="616"/>
      <c r="W6" s="617"/>
      <c r="X6" s="615" t="s">
        <v>399</v>
      </c>
      <c r="Y6" s="616"/>
      <c r="Z6" s="616"/>
      <c r="AA6" s="616"/>
      <c r="AB6" s="616"/>
      <c r="AC6" s="616"/>
      <c r="AD6" s="616"/>
      <c r="AE6" s="616"/>
      <c r="AF6" s="617"/>
    </row>
    <row r="7" spans="1:65" ht="25.15" customHeight="1" thickBot="1" x14ac:dyDescent="0.3">
      <c r="B7" s="583" t="s">
        <v>326</v>
      </c>
      <c r="C7" s="599" t="s">
        <v>405</v>
      </c>
      <c r="D7" s="600"/>
      <c r="E7" s="601"/>
      <c r="F7" s="599" t="s">
        <v>14</v>
      </c>
      <c r="G7" s="600"/>
      <c r="H7" s="600"/>
      <c r="I7" s="600"/>
      <c r="J7" s="600"/>
      <c r="K7" s="600"/>
      <c r="L7" s="600"/>
      <c r="M7" s="600"/>
      <c r="N7" s="601"/>
      <c r="O7" s="599" t="s">
        <v>415</v>
      </c>
      <c r="P7" s="600"/>
      <c r="Q7" s="600"/>
      <c r="R7" s="600"/>
      <c r="S7" s="600"/>
      <c r="T7" s="600"/>
      <c r="U7" s="600"/>
      <c r="V7" s="600"/>
      <c r="W7" s="601"/>
      <c r="X7" s="599" t="s">
        <v>0</v>
      </c>
      <c r="Y7" s="600"/>
      <c r="Z7" s="600"/>
      <c r="AA7" s="600"/>
      <c r="AB7" s="600"/>
      <c r="AC7" s="600"/>
      <c r="AD7" s="600"/>
      <c r="AE7" s="600"/>
      <c r="AF7" s="601"/>
    </row>
    <row r="8" spans="1:65" ht="34.15" customHeight="1" thickTop="1" thickBot="1" x14ac:dyDescent="0.3">
      <c r="A8" s="13"/>
      <c r="B8" s="584"/>
      <c r="C8" s="602"/>
      <c r="D8" s="603"/>
      <c r="E8" s="604"/>
      <c r="F8" s="608" t="s">
        <v>388</v>
      </c>
      <c r="G8" s="609"/>
      <c r="H8" s="610"/>
      <c r="I8" s="608" t="s">
        <v>401</v>
      </c>
      <c r="J8" s="609"/>
      <c r="K8" s="610"/>
      <c r="L8" s="608" t="s">
        <v>402</v>
      </c>
      <c r="M8" s="609"/>
      <c r="N8" s="610"/>
      <c r="O8" s="612" t="s">
        <v>388</v>
      </c>
      <c r="P8" s="613"/>
      <c r="Q8" s="614"/>
      <c r="R8" s="612" t="s">
        <v>401</v>
      </c>
      <c r="S8" s="613"/>
      <c r="T8" s="614"/>
      <c r="U8" s="612" t="s">
        <v>402</v>
      </c>
      <c r="V8" s="613"/>
      <c r="W8" s="614"/>
      <c r="X8" s="608" t="s">
        <v>388</v>
      </c>
      <c r="Y8" s="609"/>
      <c r="Z8" s="610"/>
      <c r="AA8" s="608" t="s">
        <v>401</v>
      </c>
      <c r="AB8" s="609"/>
      <c r="AC8" s="610"/>
      <c r="AD8" s="608" t="s">
        <v>402</v>
      </c>
      <c r="AE8" s="609"/>
      <c r="AF8" s="611"/>
      <c r="AG8" s="13"/>
      <c r="AH8" s="13"/>
      <c r="AI8" s="13"/>
      <c r="AJ8" s="13"/>
      <c r="AK8" s="13"/>
      <c r="AL8" s="13"/>
      <c r="AM8" s="13"/>
    </row>
    <row r="9" spans="1:65" ht="34.15" customHeight="1" thickTop="1" thickBot="1" x14ac:dyDescent="0.3">
      <c r="B9" s="106" t="s">
        <v>393</v>
      </c>
      <c r="C9" s="51">
        <v>2015</v>
      </c>
      <c r="D9" s="107">
        <v>2016</v>
      </c>
      <c r="E9" s="51">
        <v>2017</v>
      </c>
      <c r="F9" s="108">
        <v>2015</v>
      </c>
      <c r="G9" s="107">
        <v>2016</v>
      </c>
      <c r="H9" s="52">
        <v>2017</v>
      </c>
      <c r="I9" s="51">
        <v>2015</v>
      </c>
      <c r="J9" s="107">
        <v>2016</v>
      </c>
      <c r="K9" s="110">
        <v>2017</v>
      </c>
      <c r="L9" s="51">
        <v>2015</v>
      </c>
      <c r="M9" s="107">
        <v>2016</v>
      </c>
      <c r="N9" s="51">
        <v>2017</v>
      </c>
      <c r="O9" s="108">
        <v>2015</v>
      </c>
      <c r="P9" s="107">
        <v>2016</v>
      </c>
      <c r="Q9" s="51">
        <v>2017</v>
      </c>
      <c r="R9" s="108">
        <v>2015</v>
      </c>
      <c r="S9" s="107">
        <v>2016</v>
      </c>
      <c r="T9" s="109">
        <v>2017</v>
      </c>
      <c r="U9" s="108">
        <v>2015</v>
      </c>
      <c r="V9" s="107">
        <v>2016</v>
      </c>
      <c r="W9" s="109">
        <v>2017</v>
      </c>
      <c r="X9" s="108">
        <v>2015</v>
      </c>
      <c r="Y9" s="107">
        <v>2016</v>
      </c>
      <c r="Z9" s="109">
        <v>2017</v>
      </c>
      <c r="AA9" s="108">
        <v>2015</v>
      </c>
      <c r="AB9" s="107">
        <v>2016</v>
      </c>
      <c r="AC9" s="110">
        <v>2017</v>
      </c>
      <c r="AD9" s="51">
        <v>2015</v>
      </c>
      <c r="AE9" s="107">
        <v>2016</v>
      </c>
      <c r="AF9" s="110">
        <v>2017</v>
      </c>
    </row>
    <row r="10" spans="1:65" ht="6" customHeight="1" thickTop="1" x14ac:dyDescent="0.25">
      <c r="B10" s="111"/>
      <c r="C10" s="217"/>
      <c r="D10" s="218"/>
      <c r="E10" s="219"/>
      <c r="F10" s="11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25">
      <c r="B11" s="216" t="s">
        <v>327</v>
      </c>
      <c r="C11" s="220">
        <v>651000</v>
      </c>
      <c r="D11" s="122">
        <v>657000</v>
      </c>
      <c r="E11" s="221">
        <v>645000</v>
      </c>
      <c r="F11" s="220">
        <v>31636</v>
      </c>
      <c r="G11" s="122">
        <v>38064</v>
      </c>
      <c r="H11" s="221">
        <v>41050</v>
      </c>
      <c r="I11" s="220">
        <v>19555</v>
      </c>
      <c r="J11" s="122">
        <v>23271</v>
      </c>
      <c r="K11" s="221">
        <v>24390</v>
      </c>
      <c r="L11" s="220">
        <v>19178</v>
      </c>
      <c r="M11" s="122">
        <v>22886</v>
      </c>
      <c r="N11" s="221">
        <v>24390</v>
      </c>
      <c r="O11" s="124">
        <f>IFERROR(F11*1000/C11,"-")</f>
        <v>48.596006144393243</v>
      </c>
      <c r="P11" s="125">
        <f t="shared" ref="P11:Q18" si="0">IFERROR(G11*1000/D11,"-")</f>
        <v>57.93607305936073</v>
      </c>
      <c r="Q11" s="126">
        <f t="shared" si="0"/>
        <v>63.643410852713181</v>
      </c>
      <c r="R11" s="127">
        <f>IFERROR(I11*1000/C11,"-")</f>
        <v>30.038402457757297</v>
      </c>
      <c r="S11" s="128">
        <f t="shared" ref="S11:T18" si="1">IFERROR(J11*1000/D11,"-")</f>
        <v>35.420091324200911</v>
      </c>
      <c r="T11" s="129">
        <f t="shared" si="1"/>
        <v>37.813953488372093</v>
      </c>
      <c r="U11" s="127">
        <f>IFERROR(L11*1000/C11,"-")</f>
        <v>29.459293394777266</v>
      </c>
      <c r="V11" s="128">
        <f t="shared" ref="V11:W18" si="2">IFERROR(M11*1000/D11,"-")</f>
        <v>34.834094368340942</v>
      </c>
      <c r="W11" s="129">
        <f t="shared" si="2"/>
        <v>37.813953488372093</v>
      </c>
      <c r="X11" s="130">
        <f t="shared" ref="X11:AF18" si="3">IFERROR(F11/F$20,"-")</f>
        <v>0.48376047464676741</v>
      </c>
      <c r="Y11" s="131">
        <f t="shared" si="3"/>
        <v>0.52224737600329285</v>
      </c>
      <c r="Z11" s="132">
        <f t="shared" si="3"/>
        <v>0.50005481721504186</v>
      </c>
      <c r="AA11" s="130">
        <f t="shared" si="3"/>
        <v>0.50476239642755738</v>
      </c>
      <c r="AB11" s="131">
        <f t="shared" si="3"/>
        <v>0.53056245867627272</v>
      </c>
      <c r="AC11" s="132">
        <f t="shared" si="3"/>
        <v>0.50730063646574319</v>
      </c>
      <c r="AD11" s="130">
        <f t="shared" si="3"/>
        <v>0.58515896747421736</v>
      </c>
      <c r="AE11" s="131">
        <f t="shared" si="3"/>
        <v>0.61521505376344088</v>
      </c>
      <c r="AF11" s="133">
        <f t="shared" si="3"/>
        <v>0.5927960334435155</v>
      </c>
    </row>
    <row r="12" spans="1:65" x14ac:dyDescent="0.25">
      <c r="B12" s="229" t="s">
        <v>67</v>
      </c>
      <c r="C12" s="230">
        <v>749000</v>
      </c>
      <c r="D12" s="135">
        <v>820000</v>
      </c>
      <c r="E12" s="231">
        <v>911000</v>
      </c>
      <c r="F12" s="230">
        <v>26533</v>
      </c>
      <c r="G12" s="135">
        <v>26973</v>
      </c>
      <c r="H12" s="231">
        <v>32643</v>
      </c>
      <c r="I12" s="230">
        <v>14316</v>
      </c>
      <c r="J12" s="135">
        <v>15219</v>
      </c>
      <c r="K12" s="231">
        <v>17651</v>
      </c>
      <c r="L12" s="230">
        <v>9730</v>
      </c>
      <c r="M12" s="135">
        <v>10342</v>
      </c>
      <c r="N12" s="231">
        <v>12095</v>
      </c>
      <c r="O12" s="137">
        <f t="shared" ref="O12:O18" si="4">IFERROR(F12*1000/C12,"-")</f>
        <v>35.424566088117487</v>
      </c>
      <c r="P12" s="138">
        <f t="shared" si="0"/>
        <v>32.893902439024387</v>
      </c>
      <c r="Q12" s="139">
        <f t="shared" si="0"/>
        <v>35.832052689352359</v>
      </c>
      <c r="R12" s="140">
        <f t="shared" ref="R12:R18" si="5">IFERROR(I12*1000/C12,"-")</f>
        <v>19.113484646194927</v>
      </c>
      <c r="S12" s="141">
        <f t="shared" si="1"/>
        <v>18.559756097560975</v>
      </c>
      <c r="T12" s="142">
        <f t="shared" si="1"/>
        <v>19.375411635565314</v>
      </c>
      <c r="U12" s="140">
        <f t="shared" ref="U12:U18" si="6">IFERROR(L12*1000/C12,"-")</f>
        <v>12.990654205607477</v>
      </c>
      <c r="V12" s="141">
        <f t="shared" si="2"/>
        <v>12.612195121951219</v>
      </c>
      <c r="W12" s="142">
        <f t="shared" si="2"/>
        <v>13.276619099890231</v>
      </c>
      <c r="X12" s="143">
        <f t="shared" si="3"/>
        <v>0.40572817909352255</v>
      </c>
      <c r="Y12" s="144">
        <f t="shared" si="3"/>
        <v>0.37007614735542294</v>
      </c>
      <c r="Z12" s="145">
        <f t="shared" si="3"/>
        <v>0.39764407791353495</v>
      </c>
      <c r="AA12" s="143">
        <f t="shared" si="3"/>
        <v>0.36953098784233757</v>
      </c>
      <c r="AB12" s="144">
        <f t="shared" si="3"/>
        <v>0.3469825129386015</v>
      </c>
      <c r="AC12" s="145">
        <f t="shared" si="3"/>
        <v>0.36713257623029244</v>
      </c>
      <c r="AD12" s="143">
        <f t="shared" si="3"/>
        <v>0.29688167449807773</v>
      </c>
      <c r="AE12" s="144">
        <f t="shared" si="3"/>
        <v>0.27801075268817205</v>
      </c>
      <c r="AF12" s="146">
        <f t="shared" si="3"/>
        <v>0.29396752867975889</v>
      </c>
    </row>
    <row r="13" spans="1:65" x14ac:dyDescent="0.25">
      <c r="B13" s="216" t="s">
        <v>328</v>
      </c>
      <c r="C13" s="220">
        <v>154000</v>
      </c>
      <c r="D13" s="122">
        <v>144000</v>
      </c>
      <c r="E13" s="221">
        <v>173000</v>
      </c>
      <c r="F13" s="220">
        <v>3154</v>
      </c>
      <c r="G13" s="122">
        <v>2816</v>
      </c>
      <c r="H13" s="221">
        <v>3154</v>
      </c>
      <c r="I13" s="220">
        <v>2521</v>
      </c>
      <c r="J13" s="122">
        <v>2552</v>
      </c>
      <c r="K13" s="221">
        <v>2861</v>
      </c>
      <c r="L13" s="220">
        <v>1812</v>
      </c>
      <c r="M13" s="122">
        <v>1846</v>
      </c>
      <c r="N13" s="221">
        <v>2042</v>
      </c>
      <c r="O13" s="124">
        <f t="shared" si="4"/>
        <v>20.480519480519479</v>
      </c>
      <c r="P13" s="125">
        <f t="shared" si="0"/>
        <v>19.555555555555557</v>
      </c>
      <c r="Q13" s="126">
        <f t="shared" si="0"/>
        <v>18.23121387283237</v>
      </c>
      <c r="R13" s="127">
        <f t="shared" si="5"/>
        <v>16.370129870129869</v>
      </c>
      <c r="S13" s="128">
        <f t="shared" si="1"/>
        <v>17.722222222222221</v>
      </c>
      <c r="T13" s="129">
        <f t="shared" si="1"/>
        <v>16.537572254335259</v>
      </c>
      <c r="U13" s="127">
        <f t="shared" si="6"/>
        <v>11.766233766233766</v>
      </c>
      <c r="V13" s="128">
        <f t="shared" si="2"/>
        <v>12.819444444444445</v>
      </c>
      <c r="W13" s="129">
        <f t="shared" si="2"/>
        <v>11.803468208092486</v>
      </c>
      <c r="X13" s="130">
        <f t="shared" si="3"/>
        <v>4.822924949538198E-2</v>
      </c>
      <c r="Y13" s="131">
        <f t="shared" si="3"/>
        <v>3.8636207724497496E-2</v>
      </c>
      <c r="Z13" s="132">
        <f t="shared" si="3"/>
        <v>3.8420776942661196E-2</v>
      </c>
      <c r="AA13" s="130">
        <f t="shared" si="3"/>
        <v>6.5073178286569777E-2</v>
      </c>
      <c r="AB13" s="131">
        <f t="shared" si="3"/>
        <v>5.8183807938715484E-2</v>
      </c>
      <c r="AC13" s="132">
        <f t="shared" si="3"/>
        <v>5.9507467032738466E-2</v>
      </c>
      <c r="AD13" s="130">
        <f t="shared" si="3"/>
        <v>5.5287728077134314E-2</v>
      </c>
      <c r="AE13" s="131">
        <f t="shared" si="3"/>
        <v>4.9623655913978493E-2</v>
      </c>
      <c r="AF13" s="133">
        <f t="shared" si="3"/>
        <v>4.9630565817616178E-2</v>
      </c>
    </row>
    <row r="14" spans="1:65" x14ac:dyDescent="0.25">
      <c r="B14" s="229" t="s">
        <v>329</v>
      </c>
      <c r="C14" s="230">
        <v>1192000</v>
      </c>
      <c r="D14" s="135">
        <v>1160000</v>
      </c>
      <c r="E14" s="231">
        <v>1187000</v>
      </c>
      <c r="F14" s="230">
        <v>1267</v>
      </c>
      <c r="G14" s="135">
        <v>1334</v>
      </c>
      <c r="H14" s="231">
        <v>1235</v>
      </c>
      <c r="I14" s="230">
        <v>869</v>
      </c>
      <c r="J14" s="135">
        <v>815</v>
      </c>
      <c r="K14" s="231">
        <v>943</v>
      </c>
      <c r="L14" s="230">
        <v>597</v>
      </c>
      <c r="M14" s="135">
        <v>608</v>
      </c>
      <c r="N14" s="231">
        <v>673</v>
      </c>
      <c r="O14" s="137">
        <f t="shared" si="4"/>
        <v>1.0629194630872483</v>
      </c>
      <c r="P14" s="138">
        <f t="shared" si="0"/>
        <v>1.1499999999999999</v>
      </c>
      <c r="Q14" s="139">
        <f t="shared" si="0"/>
        <v>1.0404380791912384</v>
      </c>
      <c r="R14" s="140">
        <f t="shared" si="5"/>
        <v>0.72902684563758391</v>
      </c>
      <c r="S14" s="141">
        <f t="shared" si="1"/>
        <v>0.70258620689655171</v>
      </c>
      <c r="T14" s="142">
        <f t="shared" si="1"/>
        <v>0.79443976411120476</v>
      </c>
      <c r="U14" s="140">
        <f t="shared" si="6"/>
        <v>0.50083892617449666</v>
      </c>
      <c r="V14" s="141">
        <f t="shared" si="2"/>
        <v>0.52413793103448281</v>
      </c>
      <c r="W14" s="142">
        <f t="shared" si="2"/>
        <v>0.56697556866048859</v>
      </c>
      <c r="X14" s="143">
        <f t="shared" si="3"/>
        <v>1.9374273655881093E-2</v>
      </c>
      <c r="Y14" s="144">
        <f t="shared" si="3"/>
        <v>1.8302805789943061E-2</v>
      </c>
      <c r="Z14" s="145">
        <f t="shared" si="3"/>
        <v>1.5044280128150468E-2</v>
      </c>
      <c r="AA14" s="143">
        <f t="shared" si="3"/>
        <v>2.2431016236029014E-2</v>
      </c>
      <c r="AB14" s="144">
        <f t="shared" si="3"/>
        <v>1.8581427692027086E-2</v>
      </c>
      <c r="AC14" s="145">
        <f t="shared" si="3"/>
        <v>1.9613960647281502E-2</v>
      </c>
      <c r="AD14" s="143">
        <f t="shared" si="3"/>
        <v>1.8215658753890279E-2</v>
      </c>
      <c r="AE14" s="144">
        <f t="shared" si="3"/>
        <v>1.6344086021505378E-2</v>
      </c>
      <c r="AF14" s="146">
        <f t="shared" si="3"/>
        <v>1.6357184522652148E-2</v>
      </c>
    </row>
    <row r="15" spans="1:65" x14ac:dyDescent="0.25">
      <c r="B15" s="216" t="s">
        <v>16</v>
      </c>
      <c r="C15" s="220">
        <v>144000</v>
      </c>
      <c r="D15" s="122">
        <v>142000</v>
      </c>
      <c r="E15" s="221">
        <v>170000</v>
      </c>
      <c r="F15" s="220">
        <v>1671</v>
      </c>
      <c r="G15" s="122">
        <v>2144</v>
      </c>
      <c r="H15" s="221">
        <v>2924</v>
      </c>
      <c r="I15" s="220">
        <v>902</v>
      </c>
      <c r="J15" s="122">
        <v>849</v>
      </c>
      <c r="K15" s="221">
        <v>1351</v>
      </c>
      <c r="L15" s="220">
        <v>624</v>
      </c>
      <c r="M15" s="122">
        <v>608</v>
      </c>
      <c r="N15" s="221">
        <v>919</v>
      </c>
      <c r="O15" s="124">
        <f t="shared" si="4"/>
        <v>11.604166666666666</v>
      </c>
      <c r="P15" s="125">
        <f t="shared" si="0"/>
        <v>15.098591549295774</v>
      </c>
      <c r="Q15" s="126">
        <f t="shared" si="0"/>
        <v>17.2</v>
      </c>
      <c r="R15" s="127">
        <f t="shared" si="5"/>
        <v>6.2638888888888893</v>
      </c>
      <c r="S15" s="128">
        <f t="shared" si="1"/>
        <v>5.97887323943662</v>
      </c>
      <c r="T15" s="129">
        <f t="shared" si="1"/>
        <v>7.947058823529412</v>
      </c>
      <c r="U15" s="127">
        <f t="shared" si="6"/>
        <v>4.333333333333333</v>
      </c>
      <c r="V15" s="128">
        <f t="shared" si="2"/>
        <v>4.28169014084507</v>
      </c>
      <c r="W15" s="129">
        <f t="shared" si="2"/>
        <v>5.4058823529411768</v>
      </c>
      <c r="X15" s="130">
        <f t="shared" si="3"/>
        <v>2.555202153036883E-2</v>
      </c>
      <c r="Y15" s="131">
        <f t="shared" si="3"/>
        <v>2.941620360842423E-2</v>
      </c>
      <c r="Z15" s="132">
        <f t="shared" si="3"/>
        <v>3.561900817385584E-2</v>
      </c>
      <c r="AA15" s="130">
        <f t="shared" si="3"/>
        <v>2.3282826979169356E-2</v>
      </c>
      <c r="AB15" s="131">
        <f t="shared" si="3"/>
        <v>1.9356603816602449E-2</v>
      </c>
      <c r="AC15" s="132">
        <f t="shared" si="3"/>
        <v>2.8100170556179541E-2</v>
      </c>
      <c r="AD15" s="130">
        <f t="shared" si="3"/>
        <v>1.9039482516629035E-2</v>
      </c>
      <c r="AE15" s="131">
        <f t="shared" si="3"/>
        <v>1.6344086021505378E-2</v>
      </c>
      <c r="AF15" s="133">
        <f t="shared" si="3"/>
        <v>2.233618510596928E-2</v>
      </c>
    </row>
    <row r="16" spans="1:65" x14ac:dyDescent="0.25">
      <c r="B16" s="229" t="s">
        <v>330</v>
      </c>
      <c r="C16" s="230">
        <v>168000</v>
      </c>
      <c r="D16" s="135">
        <v>165000</v>
      </c>
      <c r="E16" s="231">
        <v>228000</v>
      </c>
      <c r="F16" s="230">
        <v>308</v>
      </c>
      <c r="G16" s="135">
        <v>437</v>
      </c>
      <c r="H16" s="231">
        <v>451</v>
      </c>
      <c r="I16" s="230">
        <v>247</v>
      </c>
      <c r="J16" s="135">
        <v>370</v>
      </c>
      <c r="K16" s="231">
        <v>363</v>
      </c>
      <c r="L16" s="230">
        <v>171</v>
      </c>
      <c r="M16" s="135">
        <v>249</v>
      </c>
      <c r="N16" s="231">
        <v>249</v>
      </c>
      <c r="O16" s="137">
        <f t="shared" si="4"/>
        <v>1.8333333333333333</v>
      </c>
      <c r="P16" s="138">
        <f t="shared" si="0"/>
        <v>2.6484848484848484</v>
      </c>
      <c r="Q16" s="139">
        <f t="shared" si="0"/>
        <v>1.9780701754385965</v>
      </c>
      <c r="R16" s="140">
        <f t="shared" si="5"/>
        <v>1.4702380952380953</v>
      </c>
      <c r="S16" s="141">
        <f t="shared" si="1"/>
        <v>2.2424242424242422</v>
      </c>
      <c r="T16" s="142">
        <f t="shared" si="1"/>
        <v>1.5921052631578947</v>
      </c>
      <c r="U16" s="140">
        <f t="shared" si="6"/>
        <v>1.0178571428571428</v>
      </c>
      <c r="V16" s="141">
        <f t="shared" si="2"/>
        <v>1.509090909090909</v>
      </c>
      <c r="W16" s="142">
        <f t="shared" si="2"/>
        <v>1.0921052631578947</v>
      </c>
      <c r="X16" s="143">
        <f t="shared" si="3"/>
        <v>4.7097681815401558E-3</v>
      </c>
      <c r="Y16" s="144">
        <f t="shared" si="3"/>
        <v>5.9957467242916923E-3</v>
      </c>
      <c r="Z16" s="145">
        <f t="shared" si="3"/>
        <v>5.493903107527013E-3</v>
      </c>
      <c r="AA16" s="143">
        <f t="shared" si="3"/>
        <v>6.3756743501716525E-3</v>
      </c>
      <c r="AB16" s="144">
        <f t="shared" si="3"/>
        <v>8.4357401792024798E-3</v>
      </c>
      <c r="AC16" s="145">
        <f t="shared" si="3"/>
        <v>7.550230874828404E-3</v>
      </c>
      <c r="AD16" s="143">
        <f t="shared" si="3"/>
        <v>5.217550497345457E-3</v>
      </c>
      <c r="AE16" s="144">
        <f t="shared" si="3"/>
        <v>6.6935483870967745E-3</v>
      </c>
      <c r="AF16" s="146">
        <f t="shared" si="3"/>
        <v>6.0519152245770954E-3</v>
      </c>
    </row>
    <row r="17" spans="1:65" x14ac:dyDescent="0.25">
      <c r="B17" s="216" t="s">
        <v>331</v>
      </c>
      <c r="C17" s="220">
        <v>50000</v>
      </c>
      <c r="D17" s="122">
        <v>57000</v>
      </c>
      <c r="E17" s="221">
        <v>64000</v>
      </c>
      <c r="F17" s="220">
        <v>322</v>
      </c>
      <c r="G17" s="122">
        <v>458</v>
      </c>
      <c r="H17" s="221">
        <v>472</v>
      </c>
      <c r="I17" s="220">
        <v>203</v>
      </c>
      <c r="J17" s="122">
        <v>306</v>
      </c>
      <c r="K17" s="221">
        <v>299</v>
      </c>
      <c r="L17" s="220">
        <v>164</v>
      </c>
      <c r="M17" s="122">
        <v>239</v>
      </c>
      <c r="N17" s="221">
        <v>238</v>
      </c>
      <c r="O17" s="124">
        <f t="shared" si="4"/>
        <v>6.44</v>
      </c>
      <c r="P17" s="125">
        <f t="shared" si="0"/>
        <v>8.0350877192982448</v>
      </c>
      <c r="Q17" s="126">
        <f t="shared" si="0"/>
        <v>7.375</v>
      </c>
      <c r="R17" s="127">
        <f t="shared" si="5"/>
        <v>4.0599999999999996</v>
      </c>
      <c r="S17" s="128">
        <f t="shared" si="1"/>
        <v>5.3684210526315788</v>
      </c>
      <c r="T17" s="129">
        <f t="shared" si="1"/>
        <v>4.671875</v>
      </c>
      <c r="U17" s="127">
        <f t="shared" si="6"/>
        <v>3.28</v>
      </c>
      <c r="V17" s="128">
        <f t="shared" si="2"/>
        <v>4.192982456140351</v>
      </c>
      <c r="W17" s="129">
        <f t="shared" si="2"/>
        <v>3.71875</v>
      </c>
      <c r="X17" s="130">
        <f t="shared" si="3"/>
        <v>4.9238485534283446E-3</v>
      </c>
      <c r="Y17" s="131">
        <f t="shared" si="3"/>
        <v>6.2838718529189819E-3</v>
      </c>
      <c r="Z17" s="132">
        <f t="shared" si="3"/>
        <v>5.7497167777222835E-3</v>
      </c>
      <c r="AA17" s="130">
        <f t="shared" si="3"/>
        <v>5.2399266926511966E-3</v>
      </c>
      <c r="AB17" s="131">
        <f t="shared" si="3"/>
        <v>6.9765851211782675E-3</v>
      </c>
      <c r="AC17" s="132">
        <f t="shared" si="3"/>
        <v>6.2190606930404759E-3</v>
      </c>
      <c r="AD17" s="130">
        <f t="shared" si="3"/>
        <v>5.0039665588576306E-3</v>
      </c>
      <c r="AE17" s="131">
        <f t="shared" si="3"/>
        <v>6.4247311827956991E-3</v>
      </c>
      <c r="AF17" s="133">
        <f t="shared" si="3"/>
        <v>5.7845615399572236E-3</v>
      </c>
    </row>
    <row r="18" spans="1:65" x14ac:dyDescent="0.25">
      <c r="B18" s="229" t="s">
        <v>309</v>
      </c>
      <c r="C18" s="230">
        <v>4000</v>
      </c>
      <c r="D18" s="135">
        <v>4000</v>
      </c>
      <c r="E18" s="231">
        <v>4000</v>
      </c>
      <c r="F18" s="230">
        <v>505</v>
      </c>
      <c r="G18" s="135">
        <v>659</v>
      </c>
      <c r="H18" s="231">
        <v>162</v>
      </c>
      <c r="I18" s="230">
        <v>128</v>
      </c>
      <c r="J18" s="135">
        <v>479</v>
      </c>
      <c r="K18" s="231">
        <v>220</v>
      </c>
      <c r="L18" s="230">
        <v>498</v>
      </c>
      <c r="M18" s="135">
        <v>422</v>
      </c>
      <c r="N18" s="231">
        <v>538</v>
      </c>
      <c r="O18" s="137">
        <f t="shared" si="4"/>
        <v>126.25</v>
      </c>
      <c r="P18" s="138">
        <f t="shared" si="0"/>
        <v>164.75</v>
      </c>
      <c r="Q18" s="139">
        <f t="shared" si="0"/>
        <v>40.5</v>
      </c>
      <c r="R18" s="140">
        <f t="shared" si="5"/>
        <v>32</v>
      </c>
      <c r="S18" s="141">
        <f t="shared" si="1"/>
        <v>119.75</v>
      </c>
      <c r="T18" s="142">
        <f t="shared" si="1"/>
        <v>55</v>
      </c>
      <c r="U18" s="140">
        <f t="shared" si="6"/>
        <v>124.5</v>
      </c>
      <c r="V18" s="141">
        <f t="shared" si="2"/>
        <v>105.5</v>
      </c>
      <c r="W18" s="142">
        <f t="shared" si="2"/>
        <v>134.5</v>
      </c>
      <c r="X18" s="143">
        <f t="shared" si="3"/>
        <v>7.7221848431096706E-3</v>
      </c>
      <c r="Y18" s="144">
        <f t="shared" si="3"/>
        <v>9.0416409412087534E-3</v>
      </c>
      <c r="Z18" s="145">
        <f t="shared" si="3"/>
        <v>1.9734197415063773E-3</v>
      </c>
      <c r="AA18" s="143">
        <f t="shared" si="3"/>
        <v>3.3039931855140549E-3</v>
      </c>
      <c r="AB18" s="144">
        <f t="shared" si="3"/>
        <v>1.0920863637399967E-2</v>
      </c>
      <c r="AC18" s="145">
        <f t="shared" si="3"/>
        <v>4.575897499896002E-3</v>
      </c>
      <c r="AD18" s="143">
        <f t="shared" si="3"/>
        <v>1.5194971623848173E-2</v>
      </c>
      <c r="AE18" s="144">
        <f t="shared" si="3"/>
        <v>1.1344086021505377E-2</v>
      </c>
      <c r="AF18" s="146">
        <f t="shared" si="3"/>
        <v>1.3076025665953724E-2</v>
      </c>
    </row>
    <row r="19" spans="1:65" ht="6" customHeight="1" thickBot="1" x14ac:dyDescent="0.3">
      <c r="B19" s="121"/>
      <c r="C19" s="222"/>
      <c r="D19" s="223"/>
      <c r="E19" s="224"/>
      <c r="F19" s="225"/>
      <c r="G19" s="226"/>
      <c r="H19" s="227"/>
      <c r="I19" s="228"/>
      <c r="J19" s="226"/>
      <c r="K19" s="228"/>
      <c r="L19" s="225"/>
      <c r="M19" s="226"/>
      <c r="N19" s="227"/>
      <c r="O19" s="124"/>
      <c r="P19" s="125"/>
      <c r="Q19" s="55"/>
      <c r="R19" s="335"/>
      <c r="S19" s="125"/>
      <c r="T19" s="302"/>
      <c r="U19" s="335"/>
      <c r="V19" s="125"/>
      <c r="W19" s="302"/>
      <c r="X19" s="456"/>
      <c r="Y19" s="354"/>
      <c r="Z19" s="358"/>
      <c r="AA19" s="456"/>
      <c r="AB19" s="354"/>
      <c r="AC19" s="358"/>
      <c r="AD19" s="456"/>
      <c r="AE19" s="354"/>
      <c r="AF19" s="355"/>
    </row>
    <row r="20" spans="1:65" ht="24.95" customHeight="1" thickTop="1" thickBot="1" x14ac:dyDescent="0.3">
      <c r="A20" s="13"/>
      <c r="B20" s="61" t="s">
        <v>13</v>
      </c>
      <c r="C20" s="483">
        <f t="shared" ref="C20:N20" si="7">SUM(C11:C18)</f>
        <v>3112000</v>
      </c>
      <c r="D20" s="484">
        <f t="shared" si="7"/>
        <v>3149000</v>
      </c>
      <c r="E20" s="485">
        <f t="shared" si="7"/>
        <v>3382000</v>
      </c>
      <c r="F20" s="483">
        <f t="shared" si="7"/>
        <v>65396</v>
      </c>
      <c r="G20" s="484">
        <f t="shared" si="7"/>
        <v>72885</v>
      </c>
      <c r="H20" s="486">
        <f t="shared" si="7"/>
        <v>82091</v>
      </c>
      <c r="I20" s="487">
        <f t="shared" si="7"/>
        <v>38741</v>
      </c>
      <c r="J20" s="484">
        <f t="shared" si="7"/>
        <v>43861</v>
      </c>
      <c r="K20" s="485">
        <f t="shared" si="7"/>
        <v>48078</v>
      </c>
      <c r="L20" s="483">
        <f t="shared" si="7"/>
        <v>32774</v>
      </c>
      <c r="M20" s="484">
        <f t="shared" si="7"/>
        <v>37200</v>
      </c>
      <c r="N20" s="486">
        <f t="shared" si="7"/>
        <v>41144</v>
      </c>
      <c r="O20" s="478"/>
      <c r="P20" s="478"/>
      <c r="Q20" s="478"/>
      <c r="R20" s="478"/>
      <c r="S20" s="478"/>
      <c r="T20" s="478"/>
      <c r="U20" s="478"/>
      <c r="V20" s="478"/>
      <c r="W20" s="478"/>
      <c r="X20" s="479">
        <f t="shared" ref="X20:AF20" si="8">SUM(X11:X18)</f>
        <v>1</v>
      </c>
      <c r="Y20" s="480">
        <f t="shared" si="8"/>
        <v>1</v>
      </c>
      <c r="Z20" s="481">
        <f t="shared" si="8"/>
        <v>1.0000000000000002</v>
      </c>
      <c r="AA20" s="479">
        <f t="shared" si="8"/>
        <v>1</v>
      </c>
      <c r="AB20" s="480">
        <f t="shared" si="8"/>
        <v>0.99999999999999989</v>
      </c>
      <c r="AC20" s="481">
        <f t="shared" si="8"/>
        <v>1</v>
      </c>
      <c r="AD20" s="479">
        <f t="shared" si="8"/>
        <v>0.99999999999999989</v>
      </c>
      <c r="AE20" s="480">
        <f t="shared" si="8"/>
        <v>1</v>
      </c>
      <c r="AF20" s="482">
        <f t="shared" si="8"/>
        <v>0.99999999999999978</v>
      </c>
      <c r="AG20" s="13"/>
      <c r="AH20" s="13"/>
      <c r="AI20" s="13"/>
      <c r="AJ20" s="13"/>
      <c r="AK20" s="13"/>
      <c r="AL20" s="13"/>
      <c r="AM20" s="13"/>
    </row>
    <row r="21" spans="1:65" ht="16.5" customHeight="1" thickTop="1" x14ac:dyDescent="0.25">
      <c r="B21" s="35"/>
      <c r="C21" s="35"/>
      <c r="D21" s="35"/>
      <c r="E21" s="35"/>
      <c r="F21" s="159"/>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row>
    <row r="22" spans="1:65" x14ac:dyDescent="0.2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row>
    <row r="23" spans="1:65" x14ac:dyDescent="0.25">
      <c r="B23" s="66" t="s">
        <v>416</v>
      </c>
      <c r="C23" s="67"/>
      <c r="D23" s="67"/>
      <c r="E23" s="67"/>
      <c r="F23" s="67"/>
      <c r="G23" s="67"/>
      <c r="H23" s="67"/>
      <c r="I23" s="67"/>
      <c r="J23" s="35"/>
      <c r="K23" s="35"/>
      <c r="L23" s="35"/>
      <c r="M23" s="35"/>
      <c r="N23" s="35"/>
      <c r="O23" s="35"/>
      <c r="P23" s="35"/>
      <c r="Q23" s="35"/>
      <c r="R23" s="35"/>
      <c r="S23" s="35"/>
      <c r="T23" s="35"/>
      <c r="U23" s="35"/>
      <c r="V23" s="35"/>
      <c r="W23" s="35"/>
      <c r="X23" s="35"/>
      <c r="Y23" s="35"/>
      <c r="Z23" s="35"/>
      <c r="AA23" s="35"/>
      <c r="AB23" s="35"/>
      <c r="AC23" s="35"/>
      <c r="AD23" s="35"/>
      <c r="AE23" s="35"/>
      <c r="AF23" s="35"/>
    </row>
    <row r="24" spans="1:65" x14ac:dyDescent="0.25">
      <c r="A24" s="21"/>
      <c r="B24" s="67" t="s">
        <v>374</v>
      </c>
      <c r="C24" s="67"/>
      <c r="D24" s="67"/>
      <c r="E24" s="67"/>
      <c r="F24" s="68"/>
      <c r="G24" s="68"/>
      <c r="H24" s="68"/>
      <c r="I24" s="68"/>
      <c r="J24" s="36"/>
      <c r="K24" s="36"/>
      <c r="L24" s="36"/>
      <c r="M24" s="36"/>
      <c r="N24" s="36"/>
      <c r="O24" s="35"/>
      <c r="P24" s="35"/>
      <c r="Q24" s="35"/>
      <c r="R24" s="35"/>
      <c r="S24" s="35"/>
      <c r="T24" s="36"/>
      <c r="U24" s="36"/>
      <c r="V24" s="36"/>
      <c r="W24" s="36"/>
      <c r="X24" s="36"/>
      <c r="Y24" s="36"/>
      <c r="Z24" s="35"/>
      <c r="AA24" s="36"/>
      <c r="AB24" s="36"/>
      <c r="AC24" s="36"/>
      <c r="AD24" s="36"/>
      <c r="AE24" s="36"/>
      <c r="AF24" s="36"/>
      <c r="AG24"/>
      <c r="AH24"/>
      <c r="AI24"/>
      <c r="AJ24"/>
      <c r="AK24"/>
      <c r="AL24"/>
      <c r="AM24"/>
      <c r="AN24"/>
      <c r="AO24"/>
      <c r="AP24"/>
      <c r="AQ24"/>
      <c r="AR24"/>
      <c r="AS24"/>
      <c r="AT24"/>
      <c r="AU24"/>
      <c r="AV24"/>
      <c r="AW24"/>
      <c r="AX24"/>
      <c r="AY24"/>
      <c r="AZ24"/>
      <c r="BA24"/>
      <c r="BB24"/>
      <c r="BC24"/>
      <c r="BD24"/>
      <c r="BE24"/>
      <c r="BF24"/>
      <c r="BG24"/>
      <c r="BH24"/>
      <c r="BI24"/>
      <c r="BJ24"/>
      <c r="BK24"/>
      <c r="BL24"/>
      <c r="BM24"/>
    </row>
    <row r="25" spans="1:65" x14ac:dyDescent="0.25">
      <c r="A25" s="21"/>
      <c r="B25" s="67" t="s">
        <v>375</v>
      </c>
      <c r="C25" s="67"/>
      <c r="D25" s="67"/>
      <c r="E25" s="67"/>
      <c r="F25" s="68"/>
      <c r="G25" s="68"/>
      <c r="H25" s="68"/>
      <c r="I25" s="68"/>
      <c r="J25" s="36"/>
      <c r="K25" s="36"/>
      <c r="L25" s="36"/>
      <c r="M25" s="36"/>
      <c r="N25" s="36"/>
      <c r="O25" s="35"/>
      <c r="P25" s="35"/>
      <c r="Q25" s="35"/>
      <c r="R25" s="35"/>
      <c r="S25" s="35"/>
      <c r="T25" s="36"/>
      <c r="U25" s="36"/>
      <c r="V25" s="36"/>
      <c r="W25" s="36"/>
      <c r="X25" s="36"/>
      <c r="Y25" s="36"/>
      <c r="Z25" s="35"/>
      <c r="AA25" s="36"/>
      <c r="AB25" s="36"/>
      <c r="AC25" s="36"/>
      <c r="AD25" s="36"/>
      <c r="AE25" s="36"/>
      <c r="AF25" s="36"/>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x14ac:dyDescent="0.25">
      <c r="A26" s="21"/>
      <c r="B26" s="67"/>
      <c r="C26" s="67"/>
      <c r="D26" s="67"/>
      <c r="E26" s="67"/>
      <c r="F26" s="68"/>
      <c r="G26" s="68"/>
      <c r="H26" s="68"/>
      <c r="I26" s="68"/>
      <c r="J26" s="36"/>
      <c r="K26" s="36"/>
      <c r="L26" s="36"/>
      <c r="M26" s="36"/>
      <c r="N26" s="36"/>
      <c r="O26" s="35"/>
      <c r="P26" s="35"/>
      <c r="Q26" s="35"/>
      <c r="R26" s="35"/>
      <c r="S26" s="35"/>
      <c r="T26" s="36"/>
      <c r="U26" s="36"/>
      <c r="V26" s="36"/>
      <c r="W26" s="36"/>
      <c r="X26" s="36"/>
      <c r="Y26" s="36"/>
      <c r="Z26" s="35"/>
      <c r="AA26" s="36"/>
      <c r="AB26" s="36"/>
      <c r="AC26" s="36"/>
      <c r="AD26" s="36"/>
      <c r="AE26" s="36"/>
      <c r="AF26" s="3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x14ac:dyDescent="0.25">
      <c r="A27"/>
      <c r="B27" s="79" t="s">
        <v>397</v>
      </c>
      <c r="C27" s="68"/>
      <c r="D27" s="68"/>
      <c r="E27" s="68"/>
      <c r="F27" s="68"/>
      <c r="G27" s="68"/>
      <c r="H27" s="68"/>
      <c r="I27" s="68"/>
      <c r="J27" s="36"/>
      <c r="K27" s="36"/>
      <c r="L27" s="36"/>
      <c r="M27" s="36"/>
      <c r="N27" s="36"/>
      <c r="O27" s="36"/>
      <c r="P27" s="36"/>
      <c r="Q27" s="36"/>
      <c r="R27" s="36"/>
      <c r="S27" s="36"/>
      <c r="T27" s="36"/>
      <c r="U27" s="36"/>
      <c r="V27" s="36"/>
      <c r="W27" s="36"/>
      <c r="X27" s="36"/>
      <c r="Y27" s="36"/>
      <c r="Z27" s="36"/>
      <c r="AA27" s="36"/>
      <c r="AB27" s="36"/>
      <c r="AC27" s="36"/>
      <c r="AD27" s="36"/>
      <c r="AE27" s="36"/>
      <c r="AF27" s="36"/>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x14ac:dyDescent="0.25">
      <c r="A28" s="21"/>
      <c r="B28" s="68" t="s">
        <v>332</v>
      </c>
      <c r="C28" s="68"/>
      <c r="D28" s="68"/>
      <c r="E28" s="68"/>
      <c r="F28" s="68"/>
      <c r="G28" s="68"/>
      <c r="H28" s="68"/>
      <c r="I28" s="68"/>
      <c r="J28" s="36"/>
      <c r="K28" s="36"/>
      <c r="L28" s="36"/>
      <c r="M28" s="36"/>
      <c r="N28" s="36"/>
      <c r="O28" s="36"/>
      <c r="P28" s="36"/>
      <c r="Q28" s="36"/>
      <c r="R28" s="36"/>
      <c r="S28" s="36"/>
      <c r="T28" s="36"/>
      <c r="U28" s="36"/>
      <c r="V28" s="36"/>
      <c r="W28" s="36"/>
      <c r="X28" s="36"/>
      <c r="Y28" s="36"/>
      <c r="Z28" s="36"/>
      <c r="AA28" s="36"/>
      <c r="AB28" s="36"/>
      <c r="AC28" s="36"/>
      <c r="AD28" s="36"/>
      <c r="AE28" s="36"/>
      <c r="AF28" s="36"/>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x14ac:dyDescent="0.25">
      <c r="B29" s="68" t="s">
        <v>382</v>
      </c>
      <c r="C29" s="67"/>
      <c r="D29" s="67"/>
      <c r="E29" s="67"/>
      <c r="F29" s="67"/>
      <c r="G29" s="67"/>
      <c r="H29" s="67"/>
      <c r="I29" s="67"/>
      <c r="J29" s="35"/>
      <c r="K29" s="35"/>
      <c r="L29" s="35"/>
      <c r="M29" s="35"/>
      <c r="N29" s="35"/>
      <c r="O29" s="35"/>
      <c r="P29" s="35"/>
      <c r="Q29" s="35"/>
      <c r="R29" s="35"/>
      <c r="S29" s="35"/>
      <c r="T29" s="35"/>
      <c r="U29" s="35"/>
      <c r="V29" s="35"/>
      <c r="W29" s="35"/>
      <c r="X29" s="35"/>
      <c r="Y29" s="35"/>
      <c r="Z29" s="35"/>
      <c r="AA29" s="35"/>
      <c r="AB29" s="35"/>
      <c r="AC29" s="35"/>
      <c r="AD29" s="35"/>
      <c r="AE29" s="35"/>
      <c r="AF29" s="35"/>
    </row>
    <row r="30" spans="1:65" x14ac:dyDescent="0.25">
      <c r="B30" s="67"/>
      <c r="C30" s="67"/>
      <c r="D30" s="67"/>
      <c r="E30" s="67"/>
      <c r="F30" s="67"/>
      <c r="G30" s="67"/>
      <c r="H30" s="67"/>
      <c r="I30" s="67"/>
      <c r="J30" s="35"/>
      <c r="K30" s="35"/>
      <c r="L30" s="35"/>
      <c r="M30" s="35"/>
      <c r="N30" s="35"/>
      <c r="O30" s="35"/>
      <c r="P30" s="35"/>
      <c r="Q30" s="35"/>
      <c r="R30" s="35"/>
      <c r="S30" s="35"/>
      <c r="T30" s="35"/>
      <c r="U30" s="35"/>
      <c r="V30" s="35"/>
      <c r="W30" s="35"/>
      <c r="X30" s="35"/>
      <c r="Y30" s="35"/>
      <c r="Z30" s="35"/>
      <c r="AA30" s="35"/>
      <c r="AB30" s="35"/>
      <c r="AC30" s="35"/>
      <c r="AD30" s="35"/>
      <c r="AE30" s="35"/>
      <c r="AF30" s="35"/>
    </row>
    <row r="31" spans="1:65" x14ac:dyDescent="0.25">
      <c r="B31" s="66" t="s">
        <v>398</v>
      </c>
      <c r="C31" s="67"/>
      <c r="D31" s="67"/>
      <c r="E31" s="67"/>
      <c r="F31" s="67"/>
      <c r="G31" s="67"/>
      <c r="H31" s="67"/>
      <c r="I31" s="67"/>
      <c r="J31" s="35"/>
      <c r="K31" s="35"/>
      <c r="L31" s="35"/>
      <c r="M31" s="35"/>
      <c r="N31" s="35"/>
      <c r="O31" s="35"/>
      <c r="P31" s="35"/>
      <c r="Q31" s="35"/>
      <c r="R31" s="35"/>
      <c r="S31" s="35"/>
      <c r="T31" s="35"/>
      <c r="U31" s="35"/>
      <c r="V31" s="35"/>
      <c r="W31" s="35"/>
      <c r="X31" s="35"/>
      <c r="Y31" s="35"/>
      <c r="Z31" s="35"/>
      <c r="AA31" s="35"/>
      <c r="AB31" s="35"/>
      <c r="AC31" s="35"/>
      <c r="AD31" s="35"/>
      <c r="AE31" s="35"/>
      <c r="AF31" s="35"/>
    </row>
    <row r="32" spans="1:65" x14ac:dyDescent="0.2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row>
    <row r="33" spans="2:32" x14ac:dyDescent="0.2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row>
    <row r="34" spans="2:32" x14ac:dyDescent="0.2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row>
    <row r="35" spans="2:32" x14ac:dyDescent="0.2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row>
    <row r="36" spans="2:32" x14ac:dyDescent="0.2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row>
    <row r="37" spans="2:32" x14ac:dyDescent="0.2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row>
    <row r="38" spans="2:32" x14ac:dyDescent="0.2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2:32" x14ac:dyDescent="0.2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2:32" x14ac:dyDescent="0.2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2:32" x14ac:dyDescent="0.2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2:32" s="7" customFormat="1" x14ac:dyDescent="0.2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2:32" s="7" customFormat="1" x14ac:dyDescent="0.2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2:32" s="7" customFormat="1" x14ac:dyDescent="0.2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2:32" s="7" customFormat="1" x14ac:dyDescent="0.2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2:32" s="7" customFormat="1" x14ac:dyDescent="0.2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2:32" s="7" customFormat="1"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sheetData>
  <mergeCells count="18">
    <mergeCell ref="B7:B8"/>
    <mergeCell ref="C7:E8"/>
    <mergeCell ref="F7:N7"/>
    <mergeCell ref="O7:W7"/>
    <mergeCell ref="X7:AF7"/>
    <mergeCell ref="F8:H8"/>
    <mergeCell ref="AA8:AC8"/>
    <mergeCell ref="AD8:AF8"/>
    <mergeCell ref="I8:K8"/>
    <mergeCell ref="L8:N8"/>
    <mergeCell ref="O8:Q8"/>
    <mergeCell ref="R8:T8"/>
    <mergeCell ref="U8:W8"/>
    <mergeCell ref="X8:Z8"/>
    <mergeCell ref="C6:E6"/>
    <mergeCell ref="F6:N6"/>
    <mergeCell ref="O6:W6"/>
    <mergeCell ref="X6:AF6"/>
  </mergeCells>
  <hyperlinks>
    <hyperlink ref="B1" location="Start!A1" display="Back to home page" xr:uid="{548CC837-6416-437D-A61D-078C4A823B3F}"/>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DAFF4-E3AC-45AE-8862-3B77E2C1767F}">
  <sheetPr>
    <tabColor rgb="FF92D050"/>
    <pageSetUpPr fitToPage="1"/>
  </sheetPr>
  <dimension ref="A1:BM5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32" width="12.7109375" style="7" customWidth="1"/>
    <col min="33" max="65" width="8.7109375" style="7"/>
  </cols>
  <sheetData>
    <row r="1" spans="1:65" x14ac:dyDescent="0.25">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25">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25">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25">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75" thickBot="1" x14ac:dyDescent="0.3">
      <c r="C5" s="21"/>
    </row>
    <row r="6" spans="1:65" ht="30" customHeight="1" thickTop="1" x14ac:dyDescent="0.25">
      <c r="B6" s="105" t="s">
        <v>387</v>
      </c>
      <c r="C6" s="615" t="s">
        <v>390</v>
      </c>
      <c r="D6" s="616"/>
      <c r="E6" s="617"/>
      <c r="F6" s="615" t="s">
        <v>389</v>
      </c>
      <c r="G6" s="616"/>
      <c r="H6" s="616"/>
      <c r="I6" s="616"/>
      <c r="J6" s="616"/>
      <c r="K6" s="616"/>
      <c r="L6" s="616"/>
      <c r="M6" s="616"/>
      <c r="N6" s="617"/>
      <c r="O6" s="615" t="s">
        <v>392</v>
      </c>
      <c r="P6" s="616"/>
      <c r="Q6" s="616"/>
      <c r="R6" s="616"/>
      <c r="S6" s="616"/>
      <c r="T6" s="616"/>
      <c r="U6" s="616"/>
      <c r="V6" s="616"/>
      <c r="W6" s="617"/>
      <c r="X6" s="615" t="s">
        <v>399</v>
      </c>
      <c r="Y6" s="616"/>
      <c r="Z6" s="616"/>
      <c r="AA6" s="616"/>
      <c r="AB6" s="616"/>
      <c r="AC6" s="616"/>
      <c r="AD6" s="616"/>
      <c r="AE6" s="616"/>
      <c r="AF6" s="617"/>
    </row>
    <row r="7" spans="1:65" ht="25.15" customHeight="1" thickBot="1" x14ac:dyDescent="0.3">
      <c r="B7" s="583" t="s">
        <v>407</v>
      </c>
      <c r="C7" s="599" t="s">
        <v>405</v>
      </c>
      <c r="D7" s="600"/>
      <c r="E7" s="601"/>
      <c r="F7" s="599" t="s">
        <v>14</v>
      </c>
      <c r="G7" s="600"/>
      <c r="H7" s="600"/>
      <c r="I7" s="600"/>
      <c r="J7" s="600"/>
      <c r="K7" s="600"/>
      <c r="L7" s="600"/>
      <c r="M7" s="600"/>
      <c r="N7" s="601"/>
      <c r="O7" s="599" t="s">
        <v>415</v>
      </c>
      <c r="P7" s="600"/>
      <c r="Q7" s="600"/>
      <c r="R7" s="600"/>
      <c r="S7" s="600"/>
      <c r="T7" s="600"/>
      <c r="U7" s="600"/>
      <c r="V7" s="600"/>
      <c r="W7" s="601"/>
      <c r="X7" s="599" t="s">
        <v>0</v>
      </c>
      <c r="Y7" s="600"/>
      <c r="Z7" s="600"/>
      <c r="AA7" s="600"/>
      <c r="AB7" s="600"/>
      <c r="AC7" s="600"/>
      <c r="AD7" s="600"/>
      <c r="AE7" s="600"/>
      <c r="AF7" s="601"/>
    </row>
    <row r="8" spans="1:65" ht="34.15" customHeight="1" thickTop="1" thickBot="1" x14ac:dyDescent="0.3">
      <c r="A8" s="13"/>
      <c r="B8" s="584"/>
      <c r="C8" s="602"/>
      <c r="D8" s="603"/>
      <c r="E8" s="604"/>
      <c r="F8" s="608" t="s">
        <v>388</v>
      </c>
      <c r="G8" s="609"/>
      <c r="H8" s="610"/>
      <c r="I8" s="608" t="s">
        <v>401</v>
      </c>
      <c r="J8" s="609"/>
      <c r="K8" s="610"/>
      <c r="L8" s="608" t="s">
        <v>402</v>
      </c>
      <c r="M8" s="609"/>
      <c r="N8" s="610"/>
      <c r="O8" s="612" t="s">
        <v>388</v>
      </c>
      <c r="P8" s="613"/>
      <c r="Q8" s="614"/>
      <c r="R8" s="612" t="s">
        <v>401</v>
      </c>
      <c r="S8" s="613"/>
      <c r="T8" s="614"/>
      <c r="U8" s="612" t="s">
        <v>402</v>
      </c>
      <c r="V8" s="613"/>
      <c r="W8" s="614"/>
      <c r="X8" s="608" t="s">
        <v>388</v>
      </c>
      <c r="Y8" s="609"/>
      <c r="Z8" s="610"/>
      <c r="AA8" s="608" t="s">
        <v>401</v>
      </c>
      <c r="AB8" s="609"/>
      <c r="AC8" s="610"/>
      <c r="AD8" s="608" t="s">
        <v>402</v>
      </c>
      <c r="AE8" s="609"/>
      <c r="AF8" s="611"/>
      <c r="AG8" s="13"/>
      <c r="AH8" s="13"/>
      <c r="AI8" s="13"/>
      <c r="AJ8" s="13"/>
      <c r="AK8" s="13"/>
      <c r="AL8" s="13"/>
      <c r="AM8" s="13"/>
    </row>
    <row r="9" spans="1:65" ht="34.15" customHeight="1" thickTop="1" thickBot="1" x14ac:dyDescent="0.3">
      <c r="B9" s="106" t="s">
        <v>393</v>
      </c>
      <c r="C9" s="51" t="s">
        <v>15</v>
      </c>
      <c r="D9" s="107" t="s">
        <v>1</v>
      </c>
      <c r="E9" s="51" t="s">
        <v>2</v>
      </c>
      <c r="F9" s="50" t="s">
        <v>15</v>
      </c>
      <c r="G9" s="109" t="s">
        <v>1</v>
      </c>
      <c r="H9" s="110" t="s">
        <v>2</v>
      </c>
      <c r="I9" s="51" t="s">
        <v>15</v>
      </c>
      <c r="J9" s="107" t="s">
        <v>1</v>
      </c>
      <c r="K9" s="51" t="s">
        <v>2</v>
      </c>
      <c r="L9" s="50" t="s">
        <v>15</v>
      </c>
      <c r="M9" s="107" t="s">
        <v>1</v>
      </c>
      <c r="N9" s="51" t="s">
        <v>2</v>
      </c>
      <c r="O9" s="50" t="s">
        <v>15</v>
      </c>
      <c r="P9" s="107" t="s">
        <v>1</v>
      </c>
      <c r="Q9" s="51" t="s">
        <v>2</v>
      </c>
      <c r="R9" s="108" t="s">
        <v>15</v>
      </c>
      <c r="S9" s="107" t="s">
        <v>1</v>
      </c>
      <c r="T9" s="109" t="s">
        <v>2</v>
      </c>
      <c r="U9" s="108" t="s">
        <v>15</v>
      </c>
      <c r="V9" s="107" t="s">
        <v>1</v>
      </c>
      <c r="W9" s="109" t="s">
        <v>2</v>
      </c>
      <c r="X9" s="108" t="s">
        <v>15</v>
      </c>
      <c r="Y9" s="107" t="s">
        <v>1</v>
      </c>
      <c r="Z9" s="109" t="s">
        <v>2</v>
      </c>
      <c r="AA9" s="108" t="s">
        <v>15</v>
      </c>
      <c r="AB9" s="107" t="s">
        <v>1</v>
      </c>
      <c r="AC9" s="109" t="s">
        <v>2</v>
      </c>
      <c r="AD9" s="108" t="s">
        <v>15</v>
      </c>
      <c r="AE9" s="107" t="s">
        <v>1</v>
      </c>
      <c r="AF9" s="110">
        <v>201819</v>
      </c>
    </row>
    <row r="10" spans="1:65" ht="6" customHeight="1" thickTop="1" x14ac:dyDescent="0.25">
      <c r="B10" s="233"/>
      <c r="C10" s="232"/>
      <c r="D10" s="234"/>
      <c r="E10" s="219"/>
      <c r="F10" s="112"/>
      <c r="G10" s="238"/>
      <c r="H10" s="219"/>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25">
      <c r="B11" s="89" t="s">
        <v>3</v>
      </c>
      <c r="C11" s="176">
        <v>9126200</v>
      </c>
      <c r="D11" s="237">
        <v>10073500</v>
      </c>
      <c r="E11" s="221">
        <v>10125700</v>
      </c>
      <c r="F11" s="172">
        <v>733378</v>
      </c>
      <c r="G11" s="237">
        <v>854754</v>
      </c>
      <c r="H11" s="221">
        <v>864237</v>
      </c>
      <c r="I11" s="220">
        <v>242600</v>
      </c>
      <c r="J11" s="122">
        <v>299916</v>
      </c>
      <c r="K11" s="221">
        <v>319415</v>
      </c>
      <c r="L11" s="220">
        <v>72194</v>
      </c>
      <c r="M11" s="122">
        <v>79687</v>
      </c>
      <c r="N11" s="221">
        <v>81077</v>
      </c>
      <c r="O11" s="124">
        <f>IFERROR(F11*1000/C11,"-")</f>
        <v>80.359623939865443</v>
      </c>
      <c r="P11" s="125">
        <f t="shared" ref="P11:Q25" si="0">IFERROR(G11*1000/D11,"-")</f>
        <v>84.851739713108657</v>
      </c>
      <c r="Q11" s="126">
        <f t="shared" si="0"/>
        <v>85.350839941929934</v>
      </c>
      <c r="R11" s="127">
        <f>IFERROR(I11*1000/C11,"-")</f>
        <v>26.582805548859326</v>
      </c>
      <c r="S11" s="128">
        <f t="shared" ref="S11:T25" si="1">IFERROR(J11*1000/D11,"-")</f>
        <v>29.772770139474861</v>
      </c>
      <c r="T11" s="129">
        <f t="shared" si="1"/>
        <v>31.544979606348203</v>
      </c>
      <c r="U11" s="127">
        <f>IFERROR(L11*1000/C11,"-")</f>
        <v>7.910630930726918</v>
      </c>
      <c r="V11" s="128">
        <f t="shared" ref="V11:W25" si="2">IFERROR(M11*1000/D11,"-")</f>
        <v>7.9105574030873083</v>
      </c>
      <c r="W11" s="129">
        <f t="shared" si="2"/>
        <v>8.0070513643501187</v>
      </c>
      <c r="X11" s="130">
        <f t="shared" ref="X11:X25" si="3">IFERROR(F11/F$27,"-")</f>
        <v>0.30614001546191211</v>
      </c>
      <c r="Y11" s="131">
        <f t="shared" ref="Y11:Y25" si="4">IFERROR(G11/G$27,"-")</f>
        <v>0.32610967382317785</v>
      </c>
      <c r="Z11" s="132">
        <f t="shared" ref="Z11:Z25" si="5">IFERROR(H11/H$27,"-")</f>
        <v>0.33084223344548513</v>
      </c>
      <c r="AA11" s="130">
        <f t="shared" ref="AA11:AA25" si="6">IFERROR(I11/I$27,"-")</f>
        <v>0.25564855805150699</v>
      </c>
      <c r="AB11" s="131">
        <f t="shared" ref="AB11:AB25" si="7">IFERROR(J11/J$27,"-")</f>
        <v>0.27817134589164971</v>
      </c>
      <c r="AC11" s="132">
        <f t="shared" ref="AC11:AC25" si="8">IFERROR(K11/K$27,"-")</f>
        <v>0.28058264281679796</v>
      </c>
      <c r="AD11" s="130">
        <f t="shared" ref="AD11:AD25" si="9">IFERROR(L11/L$27,"-")</f>
        <v>0.17222015477246921</v>
      </c>
      <c r="AE11" s="131">
        <f t="shared" ref="AE11:AE25" si="10">IFERROR(M11/M$27,"-")</f>
        <v>0.19000329043056954</v>
      </c>
      <c r="AF11" s="133">
        <f t="shared" ref="AF11:AF25" si="11">IFERROR(N11/N$27,"-")</f>
        <v>0.19259704442390971</v>
      </c>
    </row>
    <row r="12" spans="1:65" x14ac:dyDescent="0.25">
      <c r="B12" s="103" t="s">
        <v>78</v>
      </c>
      <c r="C12" s="177">
        <v>1447000</v>
      </c>
      <c r="D12" s="244">
        <v>1467600</v>
      </c>
      <c r="E12" s="231">
        <v>1495500</v>
      </c>
      <c r="F12" s="174">
        <v>197524</v>
      </c>
      <c r="G12" s="244">
        <v>211535</v>
      </c>
      <c r="H12" s="231">
        <v>216824</v>
      </c>
      <c r="I12" s="230">
        <v>61040</v>
      </c>
      <c r="J12" s="135">
        <v>69338</v>
      </c>
      <c r="K12" s="231">
        <v>74861</v>
      </c>
      <c r="L12" s="230">
        <v>77896</v>
      </c>
      <c r="M12" s="135">
        <v>79005</v>
      </c>
      <c r="N12" s="231">
        <v>81488</v>
      </c>
      <c r="O12" s="137">
        <f t="shared" ref="O12:O25" si="12">IFERROR(F12*1000/C12,"-")</f>
        <v>136.50587422252937</v>
      </c>
      <c r="P12" s="138">
        <f t="shared" si="0"/>
        <v>144.13668574543473</v>
      </c>
      <c r="Q12" s="139">
        <f t="shared" si="0"/>
        <v>144.98428619190906</v>
      </c>
      <c r="R12" s="140">
        <f t="shared" ref="R12:R25" si="13">IFERROR(I12*1000/C12,"-")</f>
        <v>42.183828610919143</v>
      </c>
      <c r="S12" s="141">
        <f t="shared" si="1"/>
        <v>47.245843554101938</v>
      </c>
      <c r="T12" s="142">
        <f t="shared" si="1"/>
        <v>50.057505850885988</v>
      </c>
      <c r="U12" s="140">
        <f t="shared" ref="U12:U25" si="14">IFERROR(L12*1000/C12,"-")</f>
        <v>53.832757429163784</v>
      </c>
      <c r="V12" s="141">
        <f t="shared" si="2"/>
        <v>53.83278822567457</v>
      </c>
      <c r="W12" s="142">
        <f t="shared" si="2"/>
        <v>54.488799732530929</v>
      </c>
      <c r="X12" s="143">
        <f t="shared" si="3"/>
        <v>8.2454069271369917E-2</v>
      </c>
      <c r="Y12" s="144">
        <f t="shared" si="4"/>
        <v>8.0705805240087705E-2</v>
      </c>
      <c r="Z12" s="145">
        <f t="shared" si="5"/>
        <v>8.3003315554163806E-2</v>
      </c>
      <c r="AA12" s="143">
        <f t="shared" si="6"/>
        <v>6.4323116172563824E-2</v>
      </c>
      <c r="AB12" s="144">
        <f t="shared" si="7"/>
        <v>6.4310822968548564E-2</v>
      </c>
      <c r="AC12" s="145">
        <f t="shared" si="8"/>
        <v>6.5759896134834975E-2</v>
      </c>
      <c r="AD12" s="143">
        <f t="shared" si="9"/>
        <v>0.18582238380137214</v>
      </c>
      <c r="AE12" s="144">
        <f t="shared" si="10"/>
        <v>0.18837715010562758</v>
      </c>
      <c r="AF12" s="146">
        <f t="shared" si="11"/>
        <v>0.19357336798371369</v>
      </c>
    </row>
    <row r="13" spans="1:65" x14ac:dyDescent="0.25">
      <c r="B13" s="89" t="s">
        <v>79</v>
      </c>
      <c r="C13" s="176">
        <v>329200</v>
      </c>
      <c r="D13" s="237">
        <v>397800</v>
      </c>
      <c r="E13" s="221">
        <v>429700</v>
      </c>
      <c r="F13" s="172">
        <v>22469</v>
      </c>
      <c r="G13" s="237">
        <v>28669</v>
      </c>
      <c r="H13" s="221">
        <v>31150</v>
      </c>
      <c r="I13" s="220">
        <v>6943</v>
      </c>
      <c r="J13" s="122">
        <v>9397</v>
      </c>
      <c r="K13" s="221">
        <v>10755</v>
      </c>
      <c r="L13" s="220">
        <v>8861</v>
      </c>
      <c r="M13" s="122">
        <v>10707</v>
      </c>
      <c r="N13" s="221">
        <v>11707</v>
      </c>
      <c r="O13" s="124">
        <f t="shared" si="12"/>
        <v>68.253341433778857</v>
      </c>
      <c r="P13" s="125">
        <f t="shared" si="0"/>
        <v>72.068878833584719</v>
      </c>
      <c r="Q13" s="126">
        <f t="shared" si="0"/>
        <v>72.492436583663022</v>
      </c>
      <c r="R13" s="127">
        <f t="shared" si="13"/>
        <v>21.090522478736329</v>
      </c>
      <c r="S13" s="128">
        <f t="shared" si="1"/>
        <v>23.622423328305683</v>
      </c>
      <c r="T13" s="129">
        <f t="shared" si="1"/>
        <v>25.029090062834534</v>
      </c>
      <c r="U13" s="127">
        <f t="shared" si="14"/>
        <v>26.916767922235724</v>
      </c>
      <c r="V13" s="128">
        <f t="shared" si="2"/>
        <v>26.91553544494721</v>
      </c>
      <c r="W13" s="129">
        <f t="shared" si="2"/>
        <v>27.244589248312778</v>
      </c>
      <c r="X13" s="130">
        <f t="shared" si="3"/>
        <v>9.3794196272777523E-3</v>
      </c>
      <c r="Y13" s="131">
        <f t="shared" si="4"/>
        <v>1.093792861903739E-2</v>
      </c>
      <c r="Z13" s="132">
        <f t="shared" si="5"/>
        <v>1.1924663688116642E-2</v>
      </c>
      <c r="AA13" s="130">
        <f t="shared" si="6"/>
        <v>7.3164383287370686E-3</v>
      </c>
      <c r="AB13" s="131">
        <f t="shared" si="7"/>
        <v>8.7156941855180536E-3</v>
      </c>
      <c r="AC13" s="132">
        <f t="shared" si="8"/>
        <v>9.4474784324301061E-3</v>
      </c>
      <c r="AD13" s="130">
        <f t="shared" si="9"/>
        <v>2.1138083378658194E-2</v>
      </c>
      <c r="AE13" s="131">
        <f t="shared" si="10"/>
        <v>2.55294493535973E-2</v>
      </c>
      <c r="AF13" s="133">
        <f t="shared" si="11"/>
        <v>2.7809780814173082E-2</v>
      </c>
    </row>
    <row r="14" spans="1:65" x14ac:dyDescent="0.25">
      <c r="B14" s="103" t="s">
        <v>5</v>
      </c>
      <c r="C14" s="177">
        <v>4030800</v>
      </c>
      <c r="D14" s="244">
        <v>4307000</v>
      </c>
      <c r="E14" s="231">
        <v>4940100</v>
      </c>
      <c r="F14" s="174">
        <v>276555</v>
      </c>
      <c r="G14" s="174">
        <v>312024</v>
      </c>
      <c r="H14" s="174">
        <v>359995</v>
      </c>
      <c r="I14" s="230">
        <v>99216</v>
      </c>
      <c r="J14" s="135">
        <v>118736</v>
      </c>
      <c r="K14" s="231">
        <v>144296</v>
      </c>
      <c r="L14" s="230">
        <v>24115</v>
      </c>
      <c r="M14" s="135">
        <v>25767</v>
      </c>
      <c r="N14" s="231">
        <v>29915</v>
      </c>
      <c r="O14" s="137">
        <f t="shared" si="12"/>
        <v>68.610449538553141</v>
      </c>
      <c r="P14" s="138">
        <f t="shared" si="0"/>
        <v>72.445785929881595</v>
      </c>
      <c r="Q14" s="139">
        <f t="shared" si="0"/>
        <v>72.872006639541709</v>
      </c>
      <c r="R14" s="140">
        <f t="shared" si="13"/>
        <v>24.614468591842812</v>
      </c>
      <c r="S14" s="141">
        <f t="shared" si="1"/>
        <v>27.568144880427212</v>
      </c>
      <c r="T14" s="142">
        <f t="shared" si="1"/>
        <v>29.20912532134977</v>
      </c>
      <c r="U14" s="140">
        <f t="shared" si="14"/>
        <v>5.9826833382951277</v>
      </c>
      <c r="V14" s="141">
        <f t="shared" si="2"/>
        <v>5.9825864871140002</v>
      </c>
      <c r="W14" s="142">
        <f t="shared" si="2"/>
        <v>6.0555454343029496</v>
      </c>
      <c r="X14" s="143">
        <f t="shared" si="3"/>
        <v>0.1154446301580755</v>
      </c>
      <c r="Y14" s="144">
        <f t="shared" si="4"/>
        <v>0.1190448302845067</v>
      </c>
      <c r="Z14" s="145">
        <f t="shared" si="5"/>
        <v>0.13781121362451207</v>
      </c>
      <c r="AA14" s="143">
        <f t="shared" si="6"/>
        <v>0.10455246222439536</v>
      </c>
      <c r="AB14" s="144">
        <f t="shared" si="7"/>
        <v>0.11012734540935103</v>
      </c>
      <c r="AC14" s="145">
        <f t="shared" si="8"/>
        <v>0.12675344936177912</v>
      </c>
      <c r="AD14" s="143">
        <f t="shared" si="9"/>
        <v>5.7526789377761241E-2</v>
      </c>
      <c r="AE14" s="144">
        <f t="shared" si="10"/>
        <v>6.1438061221083556E-2</v>
      </c>
      <c r="AF14" s="146">
        <f t="shared" si="11"/>
        <v>7.106257735166889E-2</v>
      </c>
    </row>
    <row r="15" spans="1:65" x14ac:dyDescent="0.25">
      <c r="B15" s="89" t="s">
        <v>6</v>
      </c>
      <c r="C15" s="176">
        <v>2946900</v>
      </c>
      <c r="D15" s="237">
        <v>2557700</v>
      </c>
      <c r="E15" s="221">
        <v>2312500</v>
      </c>
      <c r="F15" s="172">
        <v>16236</v>
      </c>
      <c r="G15" s="237">
        <v>14880</v>
      </c>
      <c r="H15" s="221">
        <v>13532</v>
      </c>
      <c r="I15" s="220">
        <v>61280</v>
      </c>
      <c r="J15" s="122">
        <v>59570</v>
      </c>
      <c r="K15" s="221">
        <v>57065</v>
      </c>
      <c r="L15" s="220">
        <v>69068</v>
      </c>
      <c r="M15" s="122">
        <v>59946</v>
      </c>
      <c r="N15" s="221">
        <v>54860</v>
      </c>
      <c r="O15" s="124">
        <f t="shared" si="12"/>
        <v>5.5095184770436729</v>
      </c>
      <c r="P15" s="125">
        <f t="shared" si="0"/>
        <v>5.817726863979356</v>
      </c>
      <c r="Q15" s="126">
        <f t="shared" si="0"/>
        <v>5.8516756756756756</v>
      </c>
      <c r="R15" s="127">
        <f t="shared" si="13"/>
        <v>20.794733448708811</v>
      </c>
      <c r="S15" s="128">
        <f t="shared" si="1"/>
        <v>23.290456269304453</v>
      </c>
      <c r="T15" s="129">
        <f t="shared" si="1"/>
        <v>24.676756756756756</v>
      </c>
      <c r="U15" s="127">
        <f t="shared" si="14"/>
        <v>23.437510604363908</v>
      </c>
      <c r="V15" s="128">
        <f t="shared" si="2"/>
        <v>23.437463345974898</v>
      </c>
      <c r="W15" s="129">
        <f t="shared" si="2"/>
        <v>23.723243243243243</v>
      </c>
      <c r="X15" s="130">
        <f t="shared" si="3"/>
        <v>6.7775271293106761E-3</v>
      </c>
      <c r="Y15" s="131">
        <f t="shared" si="4"/>
        <v>5.6770859761859976E-3</v>
      </c>
      <c r="Z15" s="132">
        <f t="shared" si="5"/>
        <v>5.1802423443850533E-3</v>
      </c>
      <c r="AA15" s="130">
        <f t="shared" si="6"/>
        <v>6.4576024886217429E-2</v>
      </c>
      <c r="AB15" s="131">
        <f t="shared" si="7"/>
        <v>5.525102720350223E-2</v>
      </c>
      <c r="AC15" s="132">
        <f t="shared" si="8"/>
        <v>5.0127415783042674E-2</v>
      </c>
      <c r="AD15" s="130">
        <f t="shared" si="9"/>
        <v>0.16476302254792508</v>
      </c>
      <c r="AE15" s="131">
        <f t="shared" si="10"/>
        <v>0.14293344269643632</v>
      </c>
      <c r="AF15" s="133">
        <f t="shared" si="11"/>
        <v>0.13031900362736271</v>
      </c>
    </row>
    <row r="16" spans="1:65" x14ac:dyDescent="0.25">
      <c r="B16" s="103" t="s">
        <v>18</v>
      </c>
      <c r="C16" s="177">
        <v>9313400</v>
      </c>
      <c r="D16" s="244">
        <v>9232200</v>
      </c>
      <c r="E16" s="231">
        <v>8480600</v>
      </c>
      <c r="F16" s="174">
        <v>943696</v>
      </c>
      <c r="G16" s="244">
        <v>987761</v>
      </c>
      <c r="H16" s="231">
        <v>912684</v>
      </c>
      <c r="I16" s="230">
        <v>277398</v>
      </c>
      <c r="J16" s="135">
        <v>307977</v>
      </c>
      <c r="K16" s="231">
        <v>299743</v>
      </c>
      <c r="L16" s="230">
        <v>72139</v>
      </c>
      <c r="M16" s="135">
        <v>71510</v>
      </c>
      <c r="N16" s="231">
        <v>66490</v>
      </c>
      <c r="O16" s="137">
        <f t="shared" si="12"/>
        <v>101.32669057487061</v>
      </c>
      <c r="P16" s="138">
        <f t="shared" si="0"/>
        <v>106.9908580836637</v>
      </c>
      <c r="Q16" s="139">
        <f t="shared" si="0"/>
        <v>107.6202155507865</v>
      </c>
      <c r="R16" s="140">
        <f t="shared" si="13"/>
        <v>29.784826164451221</v>
      </c>
      <c r="S16" s="141">
        <f t="shared" si="1"/>
        <v>33.35900435432508</v>
      </c>
      <c r="T16" s="142">
        <f t="shared" si="1"/>
        <v>35.344551093083034</v>
      </c>
      <c r="U16" s="140">
        <f t="shared" si="14"/>
        <v>7.7457212188889129</v>
      </c>
      <c r="V16" s="141">
        <f t="shared" si="2"/>
        <v>7.7457160806741623</v>
      </c>
      <c r="W16" s="142">
        <f t="shared" si="2"/>
        <v>7.8402471523241282</v>
      </c>
      <c r="X16" s="143">
        <f t="shared" si="3"/>
        <v>0.39393478946920224</v>
      </c>
      <c r="Y16" s="144">
        <f t="shared" si="4"/>
        <v>0.37685511565345814</v>
      </c>
      <c r="Z16" s="145">
        <f t="shared" si="5"/>
        <v>0.34938843510513801</v>
      </c>
      <c r="AA16" s="143">
        <f t="shared" si="6"/>
        <v>0.2923182139586642</v>
      </c>
      <c r="AB16" s="144">
        <f t="shared" si="7"/>
        <v>0.28564790339185842</v>
      </c>
      <c r="AC16" s="145">
        <f t="shared" si="8"/>
        <v>0.2633022341024544</v>
      </c>
      <c r="AD16" s="143">
        <f t="shared" si="9"/>
        <v>0.17208895123045068</v>
      </c>
      <c r="AE16" s="144">
        <f t="shared" si="10"/>
        <v>0.17050629712111168</v>
      </c>
      <c r="AF16" s="146">
        <f t="shared" si="11"/>
        <v>0.15794587224176718</v>
      </c>
    </row>
    <row r="17" spans="1:65" x14ac:dyDescent="0.25">
      <c r="B17" s="89" t="s">
        <v>19</v>
      </c>
      <c r="C17" s="176">
        <v>604900</v>
      </c>
      <c r="D17" s="237">
        <v>596000</v>
      </c>
      <c r="E17" s="221">
        <v>608000</v>
      </c>
      <c r="F17" s="172">
        <v>35989</v>
      </c>
      <c r="G17" s="237">
        <v>37442</v>
      </c>
      <c r="H17" s="221">
        <v>38420</v>
      </c>
      <c r="I17" s="220">
        <v>11685</v>
      </c>
      <c r="J17" s="122">
        <v>12894</v>
      </c>
      <c r="K17" s="221">
        <v>13937</v>
      </c>
      <c r="L17" s="220">
        <v>1666</v>
      </c>
      <c r="M17" s="122">
        <v>1642</v>
      </c>
      <c r="N17" s="221">
        <v>1695</v>
      </c>
      <c r="O17" s="124">
        <f t="shared" si="12"/>
        <v>59.495784427178044</v>
      </c>
      <c r="P17" s="125">
        <f t="shared" si="0"/>
        <v>62.822147651006709</v>
      </c>
      <c r="Q17" s="126">
        <f t="shared" si="0"/>
        <v>63.190789473684212</v>
      </c>
      <c r="R17" s="127">
        <f t="shared" si="13"/>
        <v>19.317242519424699</v>
      </c>
      <c r="S17" s="128">
        <f t="shared" si="1"/>
        <v>21.634228187919462</v>
      </c>
      <c r="T17" s="129">
        <f t="shared" si="1"/>
        <v>22.922697368421051</v>
      </c>
      <c r="U17" s="127">
        <f t="shared" si="14"/>
        <v>2.754174243676641</v>
      </c>
      <c r="V17" s="128">
        <f t="shared" si="2"/>
        <v>2.7550335570469797</v>
      </c>
      <c r="W17" s="129">
        <f t="shared" si="2"/>
        <v>2.7878289473684212</v>
      </c>
      <c r="X17" s="130">
        <f t="shared" si="3"/>
        <v>1.5023184519386666E-2</v>
      </c>
      <c r="Y17" s="131">
        <f t="shared" si="4"/>
        <v>1.4285043892497051E-2</v>
      </c>
      <c r="Z17" s="132">
        <f t="shared" si="5"/>
        <v>1.470772323908319E-2</v>
      </c>
      <c r="AA17" s="130">
        <f t="shared" si="6"/>
        <v>1.2313492996009312E-2</v>
      </c>
      <c r="AB17" s="131">
        <f t="shared" si="7"/>
        <v>1.1959153009265699E-2</v>
      </c>
      <c r="AC17" s="132">
        <f t="shared" si="8"/>
        <v>1.2242631977013332E-2</v>
      </c>
      <c r="AD17" s="130">
        <f t="shared" si="9"/>
        <v>3.9742745636885844E-3</v>
      </c>
      <c r="AE17" s="131">
        <f t="shared" si="10"/>
        <v>3.9151355037458455E-3</v>
      </c>
      <c r="AF17" s="133">
        <f t="shared" si="11"/>
        <v>4.026443878023693E-3</v>
      </c>
    </row>
    <row r="18" spans="1:65" x14ac:dyDescent="0.25">
      <c r="B18" s="103" t="s">
        <v>44</v>
      </c>
      <c r="C18" s="177">
        <v>10500</v>
      </c>
      <c r="D18" s="244">
        <v>18900</v>
      </c>
      <c r="E18" s="231">
        <v>16700</v>
      </c>
      <c r="F18" s="174">
        <v>1325</v>
      </c>
      <c r="G18" s="244">
        <v>1325</v>
      </c>
      <c r="H18" s="231">
        <v>1325</v>
      </c>
      <c r="I18" s="230">
        <v>663</v>
      </c>
      <c r="J18" s="135">
        <v>663</v>
      </c>
      <c r="K18" s="231">
        <v>663</v>
      </c>
      <c r="L18" s="230">
        <v>884</v>
      </c>
      <c r="M18" s="135">
        <v>884</v>
      </c>
      <c r="N18" s="231">
        <v>884</v>
      </c>
      <c r="O18" s="137">
        <f t="shared" si="12"/>
        <v>126.19047619047619</v>
      </c>
      <c r="P18" s="138">
        <f t="shared" si="0"/>
        <v>70.105820105820101</v>
      </c>
      <c r="Q18" s="139">
        <f t="shared" si="0"/>
        <v>79.341317365269461</v>
      </c>
      <c r="R18" s="140">
        <f t="shared" si="13"/>
        <v>63.142857142857146</v>
      </c>
      <c r="S18" s="141">
        <f t="shared" si="1"/>
        <v>35.079365079365083</v>
      </c>
      <c r="T18" s="142">
        <f t="shared" si="1"/>
        <v>39.700598802395213</v>
      </c>
      <c r="U18" s="140">
        <f t="shared" si="14"/>
        <v>84.19047619047619</v>
      </c>
      <c r="V18" s="141">
        <f t="shared" si="2"/>
        <v>46.772486772486772</v>
      </c>
      <c r="W18" s="142">
        <f t="shared" si="2"/>
        <v>52.934131736526943</v>
      </c>
      <c r="X18" s="143">
        <f t="shared" si="3"/>
        <v>5.5310565695594019E-4</v>
      </c>
      <c r="Y18" s="144">
        <f t="shared" si="4"/>
        <v>5.0552008860527196E-4</v>
      </c>
      <c r="Z18" s="145">
        <f t="shared" si="5"/>
        <v>5.0722887276900646E-4</v>
      </c>
      <c r="AA18" s="143">
        <f t="shared" si="6"/>
        <v>6.9866032146805078E-4</v>
      </c>
      <c r="AB18" s="144">
        <f t="shared" si="7"/>
        <v>6.1493085505996269E-4</v>
      </c>
      <c r="AC18" s="145">
        <f t="shared" si="8"/>
        <v>5.823968573408796E-4</v>
      </c>
      <c r="AD18" s="143">
        <f t="shared" si="9"/>
        <v>2.1087987480796571E-3</v>
      </c>
      <c r="AE18" s="144">
        <f t="shared" si="10"/>
        <v>2.1077830604819287E-3</v>
      </c>
      <c r="AF18" s="146">
        <f t="shared" si="11"/>
        <v>2.099927072668404E-3</v>
      </c>
    </row>
    <row r="19" spans="1:65" x14ac:dyDescent="0.25">
      <c r="B19" s="89" t="s">
        <v>8</v>
      </c>
      <c r="C19" s="176">
        <v>139210</v>
      </c>
      <c r="D19" s="237">
        <v>141057</v>
      </c>
      <c r="E19" s="221">
        <v>146538</v>
      </c>
      <c r="F19" s="172">
        <v>22501</v>
      </c>
      <c r="G19" s="237">
        <v>24074</v>
      </c>
      <c r="H19" s="221">
        <v>25156</v>
      </c>
      <c r="I19" s="220">
        <v>10300</v>
      </c>
      <c r="J19" s="122">
        <v>11690</v>
      </c>
      <c r="K19" s="221">
        <v>12867</v>
      </c>
      <c r="L19" s="220">
        <v>25655</v>
      </c>
      <c r="M19" s="122">
        <v>25996</v>
      </c>
      <c r="N19" s="221">
        <v>27335</v>
      </c>
      <c r="O19" s="124">
        <f t="shared" si="12"/>
        <v>161.63350334027729</v>
      </c>
      <c r="P19" s="125">
        <f t="shared" si="0"/>
        <v>170.66859496515593</v>
      </c>
      <c r="Q19" s="126">
        <f t="shared" si="0"/>
        <v>171.66878215889395</v>
      </c>
      <c r="R19" s="127">
        <f t="shared" si="13"/>
        <v>73.988937576323536</v>
      </c>
      <c r="S19" s="128">
        <f t="shared" si="1"/>
        <v>82.874299042231158</v>
      </c>
      <c r="T19" s="129">
        <f t="shared" si="1"/>
        <v>87.806575768742576</v>
      </c>
      <c r="U19" s="127">
        <f t="shared" si="14"/>
        <v>184.28992170102723</v>
      </c>
      <c r="V19" s="128">
        <f t="shared" si="2"/>
        <v>184.29429237825843</v>
      </c>
      <c r="W19" s="129">
        <f t="shared" si="2"/>
        <v>186.53864526607433</v>
      </c>
      <c r="X19" s="130">
        <f t="shared" si="3"/>
        <v>9.3927776506910268E-3</v>
      </c>
      <c r="Y19" s="131">
        <f t="shared" si="4"/>
        <v>9.184823104213825E-3</v>
      </c>
      <c r="Z19" s="132">
        <f t="shared" si="5"/>
        <v>9.6300751119827374E-3</v>
      </c>
      <c r="AA19" s="130">
        <f t="shared" si="6"/>
        <v>1.0853998960966702E-2</v>
      </c>
      <c r="AB19" s="131">
        <f t="shared" si="7"/>
        <v>1.084244599645696E-2</v>
      </c>
      <c r="AC19" s="132">
        <f t="shared" si="8"/>
        <v>1.1302715480249016E-2</v>
      </c>
      <c r="AD19" s="130">
        <f t="shared" si="9"/>
        <v>6.1200488554280098E-2</v>
      </c>
      <c r="AE19" s="131">
        <f t="shared" si="10"/>
        <v>6.1984081946027399E-2</v>
      </c>
      <c r="AF19" s="133">
        <f t="shared" si="11"/>
        <v>6.4933830917862922E-2</v>
      </c>
    </row>
    <row r="20" spans="1:65" x14ac:dyDescent="0.25">
      <c r="B20" s="103" t="s">
        <v>20</v>
      </c>
      <c r="C20" s="177">
        <v>131247</v>
      </c>
      <c r="D20" s="244">
        <v>129967</v>
      </c>
      <c r="E20" s="231">
        <v>128597</v>
      </c>
      <c r="F20" s="174">
        <v>10607</v>
      </c>
      <c r="G20" s="244">
        <v>11090</v>
      </c>
      <c r="H20" s="231">
        <v>11038</v>
      </c>
      <c r="I20" s="230">
        <v>4856</v>
      </c>
      <c r="J20" s="135">
        <v>5385</v>
      </c>
      <c r="K20" s="231">
        <v>5646</v>
      </c>
      <c r="L20" s="230">
        <v>12094</v>
      </c>
      <c r="M20" s="135">
        <v>11976</v>
      </c>
      <c r="N20" s="231">
        <v>11994</v>
      </c>
      <c r="O20" s="137">
        <f t="shared" si="12"/>
        <v>80.81708534290307</v>
      </c>
      <c r="P20" s="138">
        <f t="shared" si="0"/>
        <v>85.329352835719831</v>
      </c>
      <c r="Q20" s="139">
        <f t="shared" si="0"/>
        <v>85.834039674331436</v>
      </c>
      <c r="R20" s="140">
        <f t="shared" si="13"/>
        <v>36.998940928173596</v>
      </c>
      <c r="S20" s="141">
        <f t="shared" si="1"/>
        <v>41.433594681726902</v>
      </c>
      <c r="T20" s="142">
        <f t="shared" si="1"/>
        <v>43.904601195984355</v>
      </c>
      <c r="U20" s="140">
        <f t="shared" si="14"/>
        <v>92.146868118890339</v>
      </c>
      <c r="V20" s="141">
        <f t="shared" si="2"/>
        <v>92.146467949556424</v>
      </c>
      <c r="W20" s="142">
        <f t="shared" si="2"/>
        <v>93.268116674572497</v>
      </c>
      <c r="X20" s="143">
        <f t="shared" si="3"/>
        <v>4.4277673232691762E-3</v>
      </c>
      <c r="Y20" s="144">
        <f t="shared" si="4"/>
        <v>4.2311077604773335E-3</v>
      </c>
      <c r="Z20" s="145">
        <f t="shared" si="5"/>
        <v>4.225503620848523E-3</v>
      </c>
      <c r="AA20" s="143">
        <f t="shared" si="6"/>
        <v>5.117186306257699E-3</v>
      </c>
      <c r="AB20" s="144">
        <f t="shared" si="7"/>
        <v>4.994574139514177E-3</v>
      </c>
      <c r="AC20" s="145">
        <f t="shared" si="8"/>
        <v>4.959596767038622E-3</v>
      </c>
      <c r="AD20" s="143">
        <f t="shared" si="9"/>
        <v>2.8850466130402007E-2</v>
      </c>
      <c r="AE20" s="144">
        <f t="shared" si="10"/>
        <v>2.8555214855578711E-2</v>
      </c>
      <c r="AF20" s="146">
        <f t="shared" si="11"/>
        <v>2.849154446785615E-2</v>
      </c>
    </row>
    <row r="21" spans="1:65" x14ac:dyDescent="0.25">
      <c r="B21" s="89" t="s">
        <v>9</v>
      </c>
      <c r="C21" s="176">
        <v>103943</v>
      </c>
      <c r="D21" s="237">
        <v>103912</v>
      </c>
      <c r="E21" s="221">
        <v>101684</v>
      </c>
      <c r="F21" s="172">
        <v>8400</v>
      </c>
      <c r="G21" s="237">
        <v>8867</v>
      </c>
      <c r="H21" s="221">
        <v>8728</v>
      </c>
      <c r="I21" s="220">
        <v>3845</v>
      </c>
      <c r="J21" s="122">
        <v>4306</v>
      </c>
      <c r="K21" s="221">
        <v>4464</v>
      </c>
      <c r="L21" s="220">
        <v>9578</v>
      </c>
      <c r="M21" s="122">
        <v>9575</v>
      </c>
      <c r="N21" s="221">
        <v>9484</v>
      </c>
      <c r="O21" s="124">
        <f t="shared" si="12"/>
        <v>80.813522796147893</v>
      </c>
      <c r="P21" s="125">
        <f t="shared" si="0"/>
        <v>85.331819231657562</v>
      </c>
      <c r="Q21" s="126">
        <f t="shared" si="0"/>
        <v>85.834546241296565</v>
      </c>
      <c r="R21" s="127">
        <f t="shared" si="13"/>
        <v>36.991427994189124</v>
      </c>
      <c r="S21" s="128">
        <f t="shared" si="1"/>
        <v>41.438909846793443</v>
      </c>
      <c r="T21" s="129">
        <f t="shared" si="1"/>
        <v>43.900712009755715</v>
      </c>
      <c r="U21" s="127">
        <f t="shared" si="14"/>
        <v>92.146657302560058</v>
      </c>
      <c r="V21" s="128">
        <f t="shared" si="2"/>
        <v>92.145276772653787</v>
      </c>
      <c r="W21" s="129">
        <f t="shared" si="2"/>
        <v>93.269344242948748</v>
      </c>
      <c r="X21" s="130">
        <f t="shared" si="3"/>
        <v>3.5064811459848285E-3</v>
      </c>
      <c r="Y21" s="131">
        <f t="shared" si="4"/>
        <v>3.3829785854059976E-3</v>
      </c>
      <c r="Z21" s="132">
        <f t="shared" si="5"/>
        <v>3.3412027181342553E-3</v>
      </c>
      <c r="AA21" s="130">
        <f t="shared" si="6"/>
        <v>4.0518083499919387E-3</v>
      </c>
      <c r="AB21" s="131">
        <f t="shared" si="7"/>
        <v>3.9938043165734533E-3</v>
      </c>
      <c r="AC21" s="132">
        <f t="shared" si="8"/>
        <v>3.9212964874354248E-3</v>
      </c>
      <c r="AD21" s="130">
        <f t="shared" si="9"/>
        <v>2.2848500462790675E-2</v>
      </c>
      <c r="AE21" s="131">
        <f t="shared" si="10"/>
        <v>2.2830342538591029E-2</v>
      </c>
      <c r="AF21" s="133">
        <f t="shared" si="11"/>
        <v>2.2529081852021654E-2</v>
      </c>
    </row>
    <row r="22" spans="1:65" x14ac:dyDescent="0.25">
      <c r="B22" s="103" t="s">
        <v>21</v>
      </c>
      <c r="C22" s="177">
        <v>3676700</v>
      </c>
      <c r="D22" s="244">
        <v>3342800</v>
      </c>
      <c r="E22" s="231">
        <v>3639500</v>
      </c>
      <c r="F22" s="174">
        <v>30714</v>
      </c>
      <c r="G22" s="244">
        <v>29486</v>
      </c>
      <c r="H22" s="231">
        <v>32292</v>
      </c>
      <c r="I22" s="230">
        <v>88543</v>
      </c>
      <c r="J22" s="135">
        <v>90162</v>
      </c>
      <c r="K22" s="231">
        <v>104008</v>
      </c>
      <c r="L22" s="230">
        <v>19076</v>
      </c>
      <c r="M22" s="135">
        <v>17344</v>
      </c>
      <c r="N22" s="231">
        <v>19113</v>
      </c>
      <c r="O22" s="137">
        <f t="shared" si="12"/>
        <v>8.3536867299480519</v>
      </c>
      <c r="P22" s="138">
        <f t="shared" si="0"/>
        <v>8.8207490726337205</v>
      </c>
      <c r="Q22" s="139">
        <f t="shared" si="0"/>
        <v>8.8726473416678111</v>
      </c>
      <c r="R22" s="140">
        <f t="shared" si="13"/>
        <v>24.082193271139882</v>
      </c>
      <c r="S22" s="141">
        <f t="shared" si="1"/>
        <v>26.97199952135934</v>
      </c>
      <c r="T22" s="142">
        <f t="shared" si="1"/>
        <v>28.577551861519439</v>
      </c>
      <c r="U22" s="140">
        <f t="shared" si="14"/>
        <v>5.1883482470693831</v>
      </c>
      <c r="V22" s="141">
        <f t="shared" si="2"/>
        <v>5.1884647600813691</v>
      </c>
      <c r="W22" s="142">
        <f t="shared" si="2"/>
        <v>5.2515455419700512</v>
      </c>
      <c r="X22" s="143">
        <f t="shared" si="3"/>
        <v>1.2821197847354526E-2</v>
      </c>
      <c r="Y22" s="144">
        <f t="shared" si="4"/>
        <v>1.1249634213294377E-2</v>
      </c>
      <c r="Z22" s="145">
        <f t="shared" si="5"/>
        <v>1.2361837554306986E-2</v>
      </c>
      <c r="AA22" s="143">
        <f t="shared" si="6"/>
        <v>9.3305400970958699E-2</v>
      </c>
      <c r="AB22" s="144">
        <f t="shared" si="7"/>
        <v>8.3625031303041261E-2</v>
      </c>
      <c r="AC22" s="145">
        <f t="shared" si="8"/>
        <v>9.1363397192021426E-2</v>
      </c>
      <c r="AD22" s="143">
        <f t="shared" si="9"/>
        <v>4.5506159409918034E-2</v>
      </c>
      <c r="AE22" s="144">
        <f t="shared" si="10"/>
        <v>4.1354512897057209E-2</v>
      </c>
      <c r="AF22" s="146">
        <f t="shared" si="11"/>
        <v>4.5402608755555664E-2</v>
      </c>
    </row>
    <row r="23" spans="1:65" x14ac:dyDescent="0.25">
      <c r="B23" s="89" t="s">
        <v>10</v>
      </c>
      <c r="C23" s="176">
        <v>5081309</v>
      </c>
      <c r="D23" s="237">
        <v>5081309</v>
      </c>
      <c r="E23" s="221">
        <v>5081309</v>
      </c>
      <c r="F23" s="172">
        <v>7659</v>
      </c>
      <c r="G23" s="237">
        <v>8087</v>
      </c>
      <c r="H23" s="221">
        <v>8135</v>
      </c>
      <c r="I23" s="220">
        <v>6418</v>
      </c>
      <c r="J23" s="122">
        <v>7188</v>
      </c>
      <c r="K23" s="221">
        <v>7616</v>
      </c>
      <c r="L23" s="220">
        <v>2068</v>
      </c>
      <c r="M23" s="122">
        <v>2068</v>
      </c>
      <c r="N23" s="221">
        <v>2093</v>
      </c>
      <c r="O23" s="124">
        <f t="shared" si="12"/>
        <v>1.5072887714563314</v>
      </c>
      <c r="P23" s="125">
        <f t="shared" si="0"/>
        <v>1.5915190357445297</v>
      </c>
      <c r="Q23" s="126">
        <f t="shared" si="0"/>
        <v>1.6009654205245145</v>
      </c>
      <c r="R23" s="127">
        <f t="shared" si="13"/>
        <v>1.2630603649571399</v>
      </c>
      <c r="S23" s="128">
        <f t="shared" si="1"/>
        <v>1.4145961208027302</v>
      </c>
      <c r="T23" s="129">
        <f t="shared" si="1"/>
        <v>1.4988263850909282</v>
      </c>
      <c r="U23" s="127">
        <f t="shared" si="14"/>
        <v>0.40698174427101363</v>
      </c>
      <c r="V23" s="128">
        <f t="shared" si="2"/>
        <v>0.40698174427101363</v>
      </c>
      <c r="W23" s="129">
        <f t="shared" si="2"/>
        <v>0.41190173634392241</v>
      </c>
      <c r="X23" s="130">
        <f t="shared" si="3"/>
        <v>3.197159416321167E-3</v>
      </c>
      <c r="Y23" s="131">
        <f t="shared" si="4"/>
        <v>3.0853894011704411E-3</v>
      </c>
      <c r="Z23" s="132">
        <f t="shared" si="5"/>
        <v>3.1141938716799E-3</v>
      </c>
      <c r="AA23" s="130">
        <f t="shared" si="6"/>
        <v>6.7632005176198337E-3</v>
      </c>
      <c r="AB23" s="131">
        <f t="shared" si="7"/>
        <v>6.6668521661704559E-3</v>
      </c>
      <c r="AC23" s="132">
        <f t="shared" si="8"/>
        <v>6.6900972330439503E-3</v>
      </c>
      <c r="AD23" s="130">
        <f t="shared" si="9"/>
        <v>4.9332531798967549E-3</v>
      </c>
      <c r="AE23" s="131">
        <f t="shared" si="10"/>
        <v>4.9308771143400775E-3</v>
      </c>
      <c r="AF23" s="133">
        <f t="shared" si="11"/>
        <v>4.9718861573472507E-3</v>
      </c>
    </row>
    <row r="24" spans="1:65" x14ac:dyDescent="0.25">
      <c r="B24" s="103" t="s">
        <v>22</v>
      </c>
      <c r="C24" s="177">
        <v>5872300</v>
      </c>
      <c r="D24" s="244">
        <v>5722100</v>
      </c>
      <c r="E24" s="231">
        <v>5541760</v>
      </c>
      <c r="F24" s="174">
        <v>88511</v>
      </c>
      <c r="G24" s="244">
        <v>91069</v>
      </c>
      <c r="H24" s="231">
        <v>88717</v>
      </c>
      <c r="I24" s="230">
        <v>74172</v>
      </c>
      <c r="J24" s="135">
        <v>80948</v>
      </c>
      <c r="K24" s="231">
        <v>83063</v>
      </c>
      <c r="L24" s="230">
        <v>23902</v>
      </c>
      <c r="M24" s="135">
        <v>23291</v>
      </c>
      <c r="N24" s="231">
        <v>22832</v>
      </c>
      <c r="O24" s="137">
        <f t="shared" si="12"/>
        <v>15.072629123171501</v>
      </c>
      <c r="P24" s="138">
        <f t="shared" si="0"/>
        <v>15.915310812463956</v>
      </c>
      <c r="Q24" s="139">
        <f t="shared" si="0"/>
        <v>16.008813084651809</v>
      </c>
      <c r="R24" s="140">
        <f t="shared" si="13"/>
        <v>12.630826081773751</v>
      </c>
      <c r="S24" s="141">
        <f t="shared" si="1"/>
        <v>14.146554586602822</v>
      </c>
      <c r="T24" s="142">
        <f t="shared" si="1"/>
        <v>14.988559591176811</v>
      </c>
      <c r="U24" s="140">
        <f t="shared" si="14"/>
        <v>4.070296136096589</v>
      </c>
      <c r="V24" s="141">
        <f t="shared" si="2"/>
        <v>4.0703587843623845</v>
      </c>
      <c r="W24" s="142">
        <f t="shared" si="2"/>
        <v>4.119990761057859</v>
      </c>
      <c r="X24" s="143">
        <f t="shared" si="3"/>
        <v>3.6947875322888471E-2</v>
      </c>
      <c r="Y24" s="144">
        <f t="shared" si="4"/>
        <v>3.4745063357881897E-2</v>
      </c>
      <c r="Z24" s="145">
        <f t="shared" si="5"/>
        <v>3.3962131249394678E-2</v>
      </c>
      <c r="AA24" s="143">
        <f t="shared" si="6"/>
        <v>7.8161437954642934E-2</v>
      </c>
      <c r="AB24" s="144">
        <f t="shared" si="7"/>
        <v>7.5079069163489984E-2</v>
      </c>
      <c r="AC24" s="145">
        <f t="shared" si="8"/>
        <v>7.2964751374518078E-2</v>
      </c>
      <c r="AD24" s="143">
        <f t="shared" si="9"/>
        <v>5.7018673842307653E-2</v>
      </c>
      <c r="AE24" s="144">
        <f t="shared" si="10"/>
        <v>5.5534361155751819E-2</v>
      </c>
      <c r="AF24" s="146">
        <f t="shared" si="11"/>
        <v>5.4237030456069001E-2</v>
      </c>
    </row>
    <row r="25" spans="1:65" x14ac:dyDescent="0.25">
      <c r="B25" s="89" t="s">
        <v>64</v>
      </c>
      <c r="C25" s="176">
        <v>952391</v>
      </c>
      <c r="D25" s="237">
        <v>594155</v>
      </c>
      <c r="E25" s="221">
        <v>717812</v>
      </c>
      <c r="F25" s="172">
        <v>0</v>
      </c>
      <c r="G25" s="237">
        <v>0</v>
      </c>
      <c r="H25" s="221">
        <v>0</v>
      </c>
      <c r="I25" s="220">
        <v>0</v>
      </c>
      <c r="J25" s="122">
        <v>0</v>
      </c>
      <c r="K25" s="221">
        <v>0</v>
      </c>
      <c r="L25" s="220">
        <v>0</v>
      </c>
      <c r="M25" s="122">
        <v>0</v>
      </c>
      <c r="N25" s="221">
        <v>0</v>
      </c>
      <c r="O25" s="124">
        <f t="shared" si="12"/>
        <v>0</v>
      </c>
      <c r="P25" s="125">
        <f>IFERROR(G25*1000/D25,"-")</f>
        <v>0</v>
      </c>
      <c r="Q25" s="126">
        <f t="shared" si="0"/>
        <v>0</v>
      </c>
      <c r="R25" s="127">
        <f t="shared" si="13"/>
        <v>0</v>
      </c>
      <c r="S25" s="128">
        <f t="shared" si="1"/>
        <v>0</v>
      </c>
      <c r="T25" s="129">
        <f t="shared" si="1"/>
        <v>0</v>
      </c>
      <c r="U25" s="127">
        <f t="shared" si="14"/>
        <v>0</v>
      </c>
      <c r="V25" s="128">
        <f t="shared" si="2"/>
        <v>0</v>
      </c>
      <c r="W25" s="129">
        <f t="shared" si="2"/>
        <v>0</v>
      </c>
      <c r="X25" s="130">
        <f t="shared" si="3"/>
        <v>0</v>
      </c>
      <c r="Y25" s="131">
        <f t="shared" si="4"/>
        <v>0</v>
      </c>
      <c r="Z25" s="132">
        <f t="shared" si="5"/>
        <v>0</v>
      </c>
      <c r="AA25" s="130">
        <f t="shared" si="6"/>
        <v>0</v>
      </c>
      <c r="AB25" s="131">
        <f t="shared" si="7"/>
        <v>0</v>
      </c>
      <c r="AC25" s="132">
        <f t="shared" si="8"/>
        <v>0</v>
      </c>
      <c r="AD25" s="130">
        <f t="shared" si="9"/>
        <v>0</v>
      </c>
      <c r="AE25" s="131">
        <f t="shared" si="10"/>
        <v>0</v>
      </c>
      <c r="AF25" s="133">
        <f t="shared" si="11"/>
        <v>0</v>
      </c>
    </row>
    <row r="26" spans="1:65" ht="6" customHeight="1" thickBot="1" x14ac:dyDescent="0.3">
      <c r="B26" s="376"/>
      <c r="C26" s="235"/>
      <c r="D26" s="236"/>
      <c r="E26" s="224"/>
      <c r="F26" s="239"/>
      <c r="G26" s="240"/>
      <c r="H26" s="241"/>
      <c r="I26" s="228"/>
      <c r="J26" s="226"/>
      <c r="K26" s="228"/>
      <c r="L26" s="239"/>
      <c r="M26" s="242"/>
      <c r="N26" s="243"/>
      <c r="O26" s="124"/>
      <c r="P26" s="125"/>
      <c r="Q26" s="55"/>
      <c r="R26" s="335"/>
      <c r="S26" s="125"/>
      <c r="T26" s="302"/>
      <c r="U26" s="335"/>
      <c r="V26" s="125"/>
      <c r="W26" s="302"/>
      <c r="X26" s="456"/>
      <c r="Y26" s="354"/>
      <c r="Z26" s="358"/>
      <c r="AA26" s="456"/>
      <c r="AB26" s="354"/>
      <c r="AC26" s="358"/>
      <c r="AD26" s="456"/>
      <c r="AE26" s="354"/>
      <c r="AF26" s="355"/>
    </row>
    <row r="27" spans="1:65" ht="24.95" customHeight="1" thickTop="1" thickBot="1" x14ac:dyDescent="0.3">
      <c r="A27" s="13"/>
      <c r="B27" s="61" t="s">
        <v>13</v>
      </c>
      <c r="C27" s="457">
        <f t="shared" ref="C27:N27" si="15">SUM(C11:C25)</f>
        <v>43766000</v>
      </c>
      <c r="D27" s="461">
        <f t="shared" si="15"/>
        <v>43766000</v>
      </c>
      <c r="E27" s="460">
        <f t="shared" si="15"/>
        <v>43766000</v>
      </c>
      <c r="F27" s="488">
        <f t="shared" si="15"/>
        <v>2395564</v>
      </c>
      <c r="G27" s="489">
        <f t="shared" si="15"/>
        <v>2621063</v>
      </c>
      <c r="H27" s="490">
        <f t="shared" si="15"/>
        <v>2612233</v>
      </c>
      <c r="I27" s="457">
        <f t="shared" si="15"/>
        <v>948959</v>
      </c>
      <c r="J27" s="461">
        <f t="shared" si="15"/>
        <v>1078170</v>
      </c>
      <c r="K27" s="460">
        <f t="shared" si="15"/>
        <v>1138399</v>
      </c>
      <c r="L27" s="457">
        <f t="shared" si="15"/>
        <v>419196</v>
      </c>
      <c r="M27" s="461">
        <f t="shared" si="15"/>
        <v>419398</v>
      </c>
      <c r="N27" s="460">
        <f t="shared" si="15"/>
        <v>420967</v>
      </c>
      <c r="O27" s="478"/>
      <c r="P27" s="478"/>
      <c r="Q27" s="478"/>
      <c r="R27" s="478"/>
      <c r="S27" s="478"/>
      <c r="T27" s="478"/>
      <c r="U27" s="478"/>
      <c r="V27" s="478"/>
      <c r="W27" s="478"/>
      <c r="X27" s="479">
        <f t="shared" ref="X27:AF27" si="16">SUM(X11:X25)</f>
        <v>1</v>
      </c>
      <c r="Y27" s="480">
        <f t="shared" si="16"/>
        <v>1.0000000000000002</v>
      </c>
      <c r="Z27" s="481">
        <f t="shared" si="16"/>
        <v>1</v>
      </c>
      <c r="AA27" s="479">
        <f t="shared" si="16"/>
        <v>1.0000000000000002</v>
      </c>
      <c r="AB27" s="480">
        <f t="shared" si="16"/>
        <v>0.99999999999999989</v>
      </c>
      <c r="AC27" s="481">
        <f t="shared" si="16"/>
        <v>1</v>
      </c>
      <c r="AD27" s="479">
        <f t="shared" si="16"/>
        <v>1</v>
      </c>
      <c r="AE27" s="480">
        <f t="shared" si="16"/>
        <v>1</v>
      </c>
      <c r="AF27" s="482">
        <f t="shared" si="16"/>
        <v>0.99999999999999978</v>
      </c>
      <c r="AG27" s="13"/>
      <c r="AH27" s="13"/>
      <c r="AI27" s="13"/>
      <c r="AJ27" s="13"/>
      <c r="AK27" s="13"/>
      <c r="AL27" s="13"/>
      <c r="AM27" s="13"/>
    </row>
    <row r="28" spans="1:65" ht="16.5" customHeight="1" thickTop="1" x14ac:dyDescent="0.25">
      <c r="B28" s="35"/>
      <c r="C28" s="35"/>
      <c r="D28" s="35"/>
      <c r="E28" s="35"/>
      <c r="F28" s="159"/>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row>
    <row r="29" spans="1:65" x14ac:dyDescent="0.2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row>
    <row r="30" spans="1:65" x14ac:dyDescent="0.25">
      <c r="B30" s="66" t="s">
        <v>396</v>
      </c>
      <c r="C30" s="67"/>
      <c r="D30" s="67"/>
      <c r="E30" s="67"/>
      <c r="F30" s="67"/>
      <c r="G30" s="67"/>
      <c r="H30" s="67"/>
      <c r="I30" s="67"/>
      <c r="J30" s="35"/>
      <c r="K30" s="35"/>
      <c r="L30" s="35"/>
      <c r="M30" s="35"/>
      <c r="N30" s="35"/>
      <c r="O30" s="35"/>
      <c r="P30" s="35"/>
      <c r="Q30" s="35"/>
      <c r="R30" s="35"/>
      <c r="S30" s="35"/>
      <c r="T30" s="35"/>
      <c r="U30" s="35"/>
      <c r="V30" s="35"/>
      <c r="W30" s="35"/>
      <c r="X30" s="35"/>
      <c r="Y30" s="35"/>
      <c r="Z30" s="35"/>
      <c r="AA30" s="35"/>
      <c r="AB30" s="35"/>
      <c r="AC30" s="35"/>
      <c r="AD30" s="35"/>
      <c r="AE30" s="35"/>
      <c r="AF30" s="35"/>
    </row>
    <row r="31" spans="1:65" x14ac:dyDescent="0.25">
      <c r="A31" s="21"/>
      <c r="B31" s="67" t="s">
        <v>99</v>
      </c>
      <c r="C31" s="67"/>
      <c r="D31" s="67"/>
      <c r="E31" s="67"/>
      <c r="F31" s="68"/>
      <c r="G31" s="68"/>
      <c r="H31" s="68"/>
      <c r="I31" s="68"/>
      <c r="J31" s="36"/>
      <c r="K31" s="36"/>
      <c r="L31" s="36"/>
      <c r="M31" s="36"/>
      <c r="N31" s="36"/>
      <c r="O31" s="35"/>
      <c r="P31" s="35"/>
      <c r="Q31" s="35"/>
      <c r="R31" s="35"/>
      <c r="S31" s="35"/>
      <c r="T31" s="36"/>
      <c r="U31" s="36"/>
      <c r="V31" s="36"/>
      <c r="W31" s="36"/>
      <c r="X31" s="36"/>
      <c r="Y31" s="36"/>
      <c r="Z31" s="35"/>
      <c r="AA31" s="36"/>
      <c r="AB31" s="36"/>
      <c r="AC31" s="36"/>
      <c r="AD31" s="36"/>
      <c r="AE31" s="36"/>
      <c r="AF31" s="36"/>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x14ac:dyDescent="0.25">
      <c r="A32" s="21"/>
      <c r="B32" s="67"/>
      <c r="C32" s="67"/>
      <c r="D32" s="67"/>
      <c r="E32" s="67"/>
      <c r="F32" s="68"/>
      <c r="G32" s="68"/>
      <c r="H32" s="68"/>
      <c r="I32" s="68"/>
      <c r="J32" s="36"/>
      <c r="K32" s="36"/>
      <c r="L32" s="36"/>
      <c r="M32" s="36"/>
      <c r="N32" s="36"/>
      <c r="O32" s="35"/>
      <c r="P32" s="35"/>
      <c r="Q32" s="35"/>
      <c r="R32" s="35"/>
      <c r="S32" s="35"/>
      <c r="T32" s="36"/>
      <c r="U32" s="36"/>
      <c r="V32" s="36"/>
      <c r="W32" s="36"/>
      <c r="X32" s="36"/>
      <c r="Y32" s="36"/>
      <c r="Z32" s="35"/>
      <c r="AA32" s="36"/>
      <c r="AB32" s="36"/>
      <c r="AC32" s="36"/>
      <c r="AD32" s="36"/>
      <c r="AE32" s="36"/>
      <c r="AF32" s="36"/>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1:65" x14ac:dyDescent="0.25">
      <c r="A33"/>
      <c r="B33" s="79" t="s">
        <v>397</v>
      </c>
      <c r="C33" s="68"/>
      <c r="D33" s="68"/>
      <c r="E33" s="68"/>
      <c r="F33" s="68"/>
      <c r="G33" s="68"/>
      <c r="H33" s="68"/>
      <c r="I33" s="68"/>
      <c r="J33" s="36"/>
      <c r="K33" s="36"/>
      <c r="L33" s="36"/>
      <c r="M33" s="36"/>
      <c r="N33" s="36"/>
      <c r="O33" s="36"/>
      <c r="P33" s="36"/>
      <c r="Q33" s="36"/>
      <c r="R33" s="36"/>
      <c r="S33" s="36"/>
      <c r="T33" s="36"/>
      <c r="U33" s="36"/>
      <c r="V33" s="36"/>
      <c r="W33" s="36"/>
      <c r="X33" s="36"/>
      <c r="Y33" s="36"/>
      <c r="Z33" s="36"/>
      <c r="AA33" s="36"/>
      <c r="AB33" s="36"/>
      <c r="AC33" s="36"/>
      <c r="AD33" s="36"/>
      <c r="AE33" s="36"/>
      <c r="AF33" s="36"/>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x14ac:dyDescent="0.25">
      <c r="A34" s="21"/>
      <c r="B34" s="68" t="s">
        <v>100</v>
      </c>
      <c r="C34" s="68"/>
      <c r="D34" s="68"/>
      <c r="E34" s="68"/>
      <c r="F34" s="68"/>
      <c r="G34" s="68"/>
      <c r="H34" s="68"/>
      <c r="I34" s="68"/>
      <c r="J34" s="36"/>
      <c r="K34" s="36"/>
      <c r="L34" s="36"/>
      <c r="M34" s="36"/>
      <c r="N34" s="36"/>
      <c r="O34" s="36"/>
      <c r="P34" s="36"/>
      <c r="Q34" s="36"/>
      <c r="R34" s="36"/>
      <c r="S34" s="36"/>
      <c r="T34" s="36"/>
      <c r="U34" s="36"/>
      <c r="V34" s="36"/>
      <c r="W34" s="36"/>
      <c r="X34" s="36"/>
      <c r="Y34" s="36"/>
      <c r="Z34" s="36"/>
      <c r="AA34" s="36"/>
      <c r="AB34" s="36"/>
      <c r="AC34" s="36"/>
      <c r="AD34" s="36"/>
      <c r="AE34" s="36"/>
      <c r="AF34" s="36"/>
      <c r="AG34"/>
      <c r="AH34"/>
      <c r="AI34"/>
      <c r="AJ34"/>
      <c r="AK34"/>
      <c r="AL34"/>
      <c r="AM34"/>
      <c r="AN34"/>
      <c r="AO34"/>
      <c r="AP34"/>
      <c r="AQ34"/>
      <c r="AR34"/>
      <c r="AS34"/>
      <c r="AT34"/>
      <c r="AU34"/>
      <c r="AV34"/>
      <c r="AW34"/>
      <c r="AX34"/>
      <c r="AY34"/>
      <c r="AZ34"/>
      <c r="BA34"/>
      <c r="BB34"/>
      <c r="BC34"/>
      <c r="BD34"/>
      <c r="BE34"/>
      <c r="BF34"/>
      <c r="BG34"/>
      <c r="BH34"/>
      <c r="BI34"/>
      <c r="BJ34"/>
      <c r="BK34"/>
      <c r="BL34"/>
      <c r="BM34"/>
    </row>
    <row r="35" spans="1:65" x14ac:dyDescent="0.25">
      <c r="B35" s="68" t="s">
        <v>382</v>
      </c>
      <c r="C35" s="67"/>
      <c r="D35" s="67"/>
      <c r="E35" s="67"/>
      <c r="F35" s="67"/>
      <c r="G35" s="67"/>
      <c r="H35" s="67"/>
      <c r="I35" s="67"/>
      <c r="J35" s="35"/>
      <c r="K35" s="35"/>
      <c r="L35" s="35"/>
      <c r="M35" s="35"/>
      <c r="N35" s="35"/>
      <c r="O35" s="35"/>
      <c r="P35" s="35"/>
      <c r="Q35" s="35"/>
      <c r="R35" s="35"/>
      <c r="S35" s="35"/>
      <c r="T35" s="35"/>
      <c r="U35" s="35"/>
      <c r="V35" s="35"/>
      <c r="W35" s="35"/>
      <c r="X35" s="35"/>
      <c r="Y35" s="35"/>
      <c r="Z35" s="35"/>
      <c r="AA35" s="35"/>
      <c r="AB35" s="35"/>
      <c r="AC35" s="35"/>
      <c r="AD35" s="35"/>
      <c r="AE35" s="35"/>
      <c r="AF35" s="35"/>
    </row>
    <row r="36" spans="1:65" x14ac:dyDescent="0.25">
      <c r="B36" s="67"/>
      <c r="C36" s="67"/>
      <c r="D36" s="67"/>
      <c r="E36" s="67"/>
      <c r="F36" s="67"/>
      <c r="G36" s="67"/>
      <c r="H36" s="67"/>
      <c r="I36" s="67"/>
      <c r="J36" s="35"/>
      <c r="K36" s="35"/>
      <c r="L36" s="35"/>
      <c r="M36" s="35"/>
      <c r="N36" s="35"/>
      <c r="O36" s="35"/>
      <c r="P36" s="35"/>
      <c r="Q36" s="35"/>
      <c r="R36" s="35"/>
      <c r="S36" s="35"/>
      <c r="T36" s="35"/>
      <c r="U36" s="35"/>
      <c r="V36" s="35"/>
      <c r="W36" s="35"/>
      <c r="X36" s="35"/>
      <c r="Y36" s="35"/>
      <c r="Z36" s="35"/>
      <c r="AA36" s="35"/>
      <c r="AB36" s="35"/>
      <c r="AC36" s="35"/>
      <c r="AD36" s="35"/>
      <c r="AE36" s="35"/>
      <c r="AF36" s="35"/>
    </row>
    <row r="37" spans="1:65" x14ac:dyDescent="0.25">
      <c r="B37" s="66" t="s">
        <v>398</v>
      </c>
      <c r="C37" s="67"/>
      <c r="D37" s="67"/>
      <c r="E37" s="67"/>
      <c r="F37" s="67"/>
      <c r="G37" s="67"/>
      <c r="H37" s="67"/>
      <c r="I37" s="67"/>
      <c r="J37" s="35"/>
      <c r="K37" s="35"/>
      <c r="L37" s="35"/>
      <c r="M37" s="35"/>
      <c r="N37" s="35"/>
      <c r="O37" s="35"/>
      <c r="P37" s="35"/>
      <c r="Q37" s="35"/>
      <c r="R37" s="35"/>
      <c r="S37" s="35"/>
      <c r="T37" s="35"/>
      <c r="U37" s="35"/>
      <c r="V37" s="35"/>
      <c r="W37" s="35"/>
      <c r="X37" s="35"/>
      <c r="Y37" s="35"/>
      <c r="Z37" s="35"/>
      <c r="AA37" s="35"/>
      <c r="AB37" s="35"/>
      <c r="AC37" s="35"/>
      <c r="AD37" s="35"/>
      <c r="AE37" s="35"/>
      <c r="AF37" s="35"/>
    </row>
    <row r="38" spans="1:65" x14ac:dyDescent="0.2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1:65" x14ac:dyDescent="0.2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1:65" x14ac:dyDescent="0.2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1:65" x14ac:dyDescent="0.2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1:65" x14ac:dyDescent="0.2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1:65" x14ac:dyDescent="0.2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1:65" x14ac:dyDescent="0.2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1:65" x14ac:dyDescent="0.2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1:65" x14ac:dyDescent="0.2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1:6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row r="48" spans="1:65" s="7" customFormat="1" x14ac:dyDescent="0.2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row>
    <row r="49" spans="2:32" s="7" customFormat="1" x14ac:dyDescent="0.2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row>
    <row r="50" spans="2:32" s="7" customFormat="1" x14ac:dyDescent="0.2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row>
    <row r="51" spans="2:32" s="7" customFormat="1" x14ac:dyDescent="0.2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row>
    <row r="52" spans="2:32" s="7" customFormat="1" x14ac:dyDescent="0.2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row>
    <row r="53" spans="2:32" s="7" customFormat="1" x14ac:dyDescent="0.2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row>
  </sheetData>
  <mergeCells count="18">
    <mergeCell ref="B7:B8"/>
    <mergeCell ref="C7:E8"/>
    <mergeCell ref="F7:N7"/>
    <mergeCell ref="O7:W7"/>
    <mergeCell ref="X7:AF7"/>
    <mergeCell ref="F8:H8"/>
    <mergeCell ref="AA8:AC8"/>
    <mergeCell ref="AD8:AF8"/>
    <mergeCell ref="I8:K8"/>
    <mergeCell ref="L8:N8"/>
    <mergeCell ref="O8:Q8"/>
    <mergeCell ref="R8:T8"/>
    <mergeCell ref="U8:W8"/>
    <mergeCell ref="X8:Z8"/>
    <mergeCell ref="C6:E6"/>
    <mergeCell ref="F6:N6"/>
    <mergeCell ref="O6:W6"/>
    <mergeCell ref="X6:AF6"/>
  </mergeCells>
  <hyperlinks>
    <hyperlink ref="B1" location="Start!A1" display="Back to home page" xr:uid="{CF621647-B659-4993-83E4-BE2A089948F7}"/>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9577-AFCC-4EEE-936B-855DD546659A}">
  <sheetPr>
    <tabColor rgb="FF92D050"/>
  </sheetPr>
  <dimension ref="A1:Q3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G30" sqref="G30"/>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180</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185" t="s">
        <v>388</v>
      </c>
      <c r="E8" s="185" t="s">
        <v>394</v>
      </c>
      <c r="F8" s="185" t="s">
        <v>395</v>
      </c>
      <c r="G8" s="181" t="s">
        <v>388</v>
      </c>
      <c r="H8" s="181" t="s">
        <v>394</v>
      </c>
      <c r="I8" s="181" t="s">
        <v>404</v>
      </c>
      <c r="J8" s="185" t="s">
        <v>388</v>
      </c>
      <c r="K8" s="185" t="s">
        <v>394</v>
      </c>
      <c r="L8" s="185"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96"/>
      <c r="C10" s="97"/>
      <c r="D10" s="98"/>
      <c r="E10" s="98"/>
      <c r="F10" s="98"/>
      <c r="G10" s="98"/>
      <c r="H10" s="98"/>
      <c r="I10" s="98"/>
      <c r="J10" s="98"/>
      <c r="K10" s="98"/>
      <c r="L10" s="98"/>
    </row>
    <row r="11" spans="1:17" x14ac:dyDescent="0.25">
      <c r="B11" s="89" t="s">
        <v>3</v>
      </c>
      <c r="C11" s="53">
        <v>270000</v>
      </c>
      <c r="D11" s="53">
        <v>54000</v>
      </c>
      <c r="E11" s="53">
        <v>22500</v>
      </c>
      <c r="F11" s="53">
        <v>6000</v>
      </c>
      <c r="G11" s="56">
        <f>IFERROR(D11*1000/C11,"-")</f>
        <v>200</v>
      </c>
      <c r="H11" s="56">
        <f>IFERROR(E11*1000/C11,"-")</f>
        <v>83.333333333333329</v>
      </c>
      <c r="I11" s="56">
        <f>IFERROR(F11*1000/C11,"-")</f>
        <v>22.222222222222221</v>
      </c>
      <c r="J11" s="57">
        <f t="shared" ref="J11:J22" si="0">D11/$D$24</f>
        <v>0.2206783816918676</v>
      </c>
      <c r="K11" s="57">
        <f t="shared" ref="K11:K22" si="1">E11/$E$24</f>
        <v>0.15734265734265734</v>
      </c>
      <c r="L11" s="57">
        <f t="shared" ref="L11:L22" si="2">F11/$F$24</f>
        <v>5.3879310344827583E-2</v>
      </c>
    </row>
    <row r="12" spans="1:17" x14ac:dyDescent="0.25">
      <c r="B12" s="103" t="s">
        <v>16</v>
      </c>
      <c r="C12" s="71">
        <v>18000</v>
      </c>
      <c r="D12" s="71">
        <v>1700</v>
      </c>
      <c r="E12" s="71">
        <v>1500</v>
      </c>
      <c r="F12" s="173">
        <v>360</v>
      </c>
      <c r="G12" s="74">
        <f t="shared" ref="G12:G22" si="3">IFERROR(D12*1000/C12,"-")</f>
        <v>94.444444444444443</v>
      </c>
      <c r="H12" s="74">
        <f t="shared" ref="H12:H22" si="4">IFERROR(E12*1000/C12,"-")</f>
        <v>83.333333333333329</v>
      </c>
      <c r="I12" s="74">
        <f t="shared" ref="I12:I22" si="5">IFERROR(F12*1000/C12,"-")</f>
        <v>20</v>
      </c>
      <c r="J12" s="75">
        <f t="shared" si="0"/>
        <v>6.9472823865958317E-3</v>
      </c>
      <c r="K12" s="75">
        <f t="shared" si="1"/>
        <v>1.048951048951049E-2</v>
      </c>
      <c r="L12" s="75">
        <f t="shared" si="2"/>
        <v>3.2327586206896551E-3</v>
      </c>
    </row>
    <row r="13" spans="1:17" x14ac:dyDescent="0.25">
      <c r="B13" s="89" t="s">
        <v>51</v>
      </c>
      <c r="C13" s="53">
        <v>105000</v>
      </c>
      <c r="D13" s="53">
        <v>30000</v>
      </c>
      <c r="E13" s="53">
        <v>11500</v>
      </c>
      <c r="F13" s="163">
        <v>11000</v>
      </c>
      <c r="G13" s="56">
        <f t="shared" si="3"/>
        <v>285.71428571428572</v>
      </c>
      <c r="H13" s="56">
        <f t="shared" si="4"/>
        <v>109.52380952380952</v>
      </c>
      <c r="I13" s="56">
        <f t="shared" si="5"/>
        <v>104.76190476190476</v>
      </c>
      <c r="J13" s="57">
        <f t="shared" si="0"/>
        <v>0.12259910093992644</v>
      </c>
      <c r="K13" s="57">
        <f t="shared" si="1"/>
        <v>8.0419580419580416E-2</v>
      </c>
      <c r="L13" s="57">
        <f t="shared" si="2"/>
        <v>9.8778735632183909E-2</v>
      </c>
    </row>
    <row r="14" spans="1:17" x14ac:dyDescent="0.25">
      <c r="B14" s="103" t="s">
        <v>52</v>
      </c>
      <c r="C14" s="71">
        <v>15000</v>
      </c>
      <c r="D14" s="71">
        <v>3500</v>
      </c>
      <c r="E14" s="71">
        <v>2000</v>
      </c>
      <c r="F14" s="173">
        <v>2500</v>
      </c>
      <c r="G14" s="74">
        <f t="shared" si="3"/>
        <v>233.33333333333334</v>
      </c>
      <c r="H14" s="74">
        <f t="shared" si="4"/>
        <v>133.33333333333334</v>
      </c>
      <c r="I14" s="74">
        <f t="shared" si="5"/>
        <v>166.66666666666666</v>
      </c>
      <c r="J14" s="75">
        <f t="shared" si="0"/>
        <v>1.4303228442991417E-2</v>
      </c>
      <c r="K14" s="75">
        <f t="shared" si="1"/>
        <v>1.3986013986013986E-2</v>
      </c>
      <c r="L14" s="75">
        <f t="shared" si="2"/>
        <v>2.244971264367816E-2</v>
      </c>
    </row>
    <row r="15" spans="1:17" x14ac:dyDescent="0.25">
      <c r="B15" s="89" t="s">
        <v>5</v>
      </c>
      <c r="C15" s="53">
        <v>150000</v>
      </c>
      <c r="D15" s="53">
        <v>25000</v>
      </c>
      <c r="E15" s="53">
        <v>20000</v>
      </c>
      <c r="F15" s="163">
        <v>8000</v>
      </c>
      <c r="G15" s="56">
        <f t="shared" si="3"/>
        <v>166.66666666666666</v>
      </c>
      <c r="H15" s="56">
        <f t="shared" si="4"/>
        <v>133.33333333333334</v>
      </c>
      <c r="I15" s="56">
        <f t="shared" si="5"/>
        <v>53.333333333333336</v>
      </c>
      <c r="J15" s="57">
        <f t="shared" si="0"/>
        <v>0.10216591744993871</v>
      </c>
      <c r="K15" s="57">
        <f t="shared" si="1"/>
        <v>0.13986013986013987</v>
      </c>
      <c r="L15" s="57">
        <f t="shared" si="2"/>
        <v>7.183908045977011E-2</v>
      </c>
    </row>
    <row r="16" spans="1:17" x14ac:dyDescent="0.25">
      <c r="B16" s="103" t="s">
        <v>56</v>
      </c>
      <c r="C16" s="71">
        <v>40000</v>
      </c>
      <c r="D16" s="71">
        <v>7500</v>
      </c>
      <c r="E16" s="71">
        <v>5000</v>
      </c>
      <c r="F16" s="173">
        <v>1500</v>
      </c>
      <c r="G16" s="74">
        <f t="shared" si="3"/>
        <v>187.5</v>
      </c>
      <c r="H16" s="74">
        <f t="shared" si="4"/>
        <v>125</v>
      </c>
      <c r="I16" s="74">
        <f t="shared" si="5"/>
        <v>37.5</v>
      </c>
      <c r="J16" s="75">
        <f t="shared" si="0"/>
        <v>3.0649775234981611E-2</v>
      </c>
      <c r="K16" s="75">
        <f t="shared" si="1"/>
        <v>3.4965034965034968E-2</v>
      </c>
      <c r="L16" s="75">
        <f t="shared" si="2"/>
        <v>1.3469827586206896E-2</v>
      </c>
    </row>
    <row r="17" spans="1:17" x14ac:dyDescent="0.25">
      <c r="B17" s="89" t="s">
        <v>44</v>
      </c>
      <c r="C17" s="53">
        <v>15000</v>
      </c>
      <c r="D17" s="53">
        <v>3000</v>
      </c>
      <c r="E17" s="53">
        <v>2500</v>
      </c>
      <c r="F17" s="163">
        <v>2000</v>
      </c>
      <c r="G17" s="56">
        <f t="shared" si="3"/>
        <v>200</v>
      </c>
      <c r="H17" s="56">
        <f t="shared" si="4"/>
        <v>166.66666666666666</v>
      </c>
      <c r="I17" s="56">
        <f t="shared" si="5"/>
        <v>133.33333333333334</v>
      </c>
      <c r="J17" s="57">
        <f t="shared" si="0"/>
        <v>1.2259910093992644E-2</v>
      </c>
      <c r="K17" s="57">
        <f t="shared" si="1"/>
        <v>1.7482517482517484E-2</v>
      </c>
      <c r="L17" s="57">
        <f t="shared" si="2"/>
        <v>1.7959770114942528E-2</v>
      </c>
    </row>
    <row r="18" spans="1:17" x14ac:dyDescent="0.25">
      <c r="B18" s="103" t="s">
        <v>8</v>
      </c>
      <c r="C18" s="71">
        <v>45000</v>
      </c>
      <c r="D18" s="71">
        <v>7000</v>
      </c>
      <c r="E18" s="71">
        <v>9000</v>
      </c>
      <c r="F18" s="173">
        <v>7000</v>
      </c>
      <c r="G18" s="74">
        <f t="shared" si="3"/>
        <v>155.55555555555554</v>
      </c>
      <c r="H18" s="74">
        <f t="shared" si="4"/>
        <v>200</v>
      </c>
      <c r="I18" s="74">
        <f t="shared" si="5"/>
        <v>155.55555555555554</v>
      </c>
      <c r="J18" s="75">
        <f t="shared" si="0"/>
        <v>2.8606456885982835E-2</v>
      </c>
      <c r="K18" s="75">
        <f t="shared" si="1"/>
        <v>6.2937062937062943E-2</v>
      </c>
      <c r="L18" s="75">
        <f t="shared" si="2"/>
        <v>6.2859195402298854E-2</v>
      </c>
    </row>
    <row r="19" spans="1:17" x14ac:dyDescent="0.25">
      <c r="B19" s="89" t="s">
        <v>20</v>
      </c>
      <c r="C19" s="53">
        <v>475000</v>
      </c>
      <c r="D19" s="53">
        <v>45000</v>
      </c>
      <c r="E19" s="53">
        <v>9000</v>
      </c>
      <c r="F19" s="163">
        <v>35000</v>
      </c>
      <c r="G19" s="56">
        <f t="shared" si="3"/>
        <v>94.736842105263165</v>
      </c>
      <c r="H19" s="56">
        <f t="shared" si="4"/>
        <v>18.94736842105263</v>
      </c>
      <c r="I19" s="56">
        <f t="shared" si="5"/>
        <v>73.684210526315795</v>
      </c>
      <c r="J19" s="57">
        <f t="shared" si="0"/>
        <v>0.18389865140988967</v>
      </c>
      <c r="K19" s="57">
        <f t="shared" si="1"/>
        <v>6.2937062937062943E-2</v>
      </c>
      <c r="L19" s="57">
        <f t="shared" si="2"/>
        <v>0.31429597701149425</v>
      </c>
    </row>
    <row r="20" spans="1:17" x14ac:dyDescent="0.25">
      <c r="B20" s="103" t="s">
        <v>9</v>
      </c>
      <c r="C20" s="71">
        <v>80000</v>
      </c>
      <c r="D20" s="71">
        <v>13000</v>
      </c>
      <c r="E20" s="71">
        <v>10000</v>
      </c>
      <c r="F20" s="173">
        <v>8000</v>
      </c>
      <c r="G20" s="74">
        <f t="shared" si="3"/>
        <v>162.5</v>
      </c>
      <c r="H20" s="74">
        <f t="shared" si="4"/>
        <v>125</v>
      </c>
      <c r="I20" s="74">
        <f t="shared" si="5"/>
        <v>100</v>
      </c>
      <c r="J20" s="75">
        <f t="shared" si="0"/>
        <v>5.3126277073968123E-2</v>
      </c>
      <c r="K20" s="75">
        <f t="shared" si="1"/>
        <v>6.9930069930069935E-2</v>
      </c>
      <c r="L20" s="75">
        <f t="shared" si="2"/>
        <v>7.183908045977011E-2</v>
      </c>
    </row>
    <row r="21" spans="1:17" x14ac:dyDescent="0.25">
      <c r="B21" s="89" t="s">
        <v>62</v>
      </c>
      <c r="C21" s="53">
        <v>1000000</v>
      </c>
      <c r="D21" s="53">
        <v>25000</v>
      </c>
      <c r="E21" s="53">
        <v>20000</v>
      </c>
      <c r="F21" s="163">
        <v>10000</v>
      </c>
      <c r="G21" s="56">
        <f t="shared" si="3"/>
        <v>25</v>
      </c>
      <c r="H21" s="56">
        <f t="shared" si="4"/>
        <v>20</v>
      </c>
      <c r="I21" s="56">
        <f t="shared" si="5"/>
        <v>10</v>
      </c>
      <c r="J21" s="57">
        <f t="shared" si="0"/>
        <v>0.10216591744993871</v>
      </c>
      <c r="K21" s="57">
        <f t="shared" si="1"/>
        <v>0.13986013986013987</v>
      </c>
      <c r="L21" s="57">
        <f t="shared" si="2"/>
        <v>8.9798850574712638E-2</v>
      </c>
    </row>
    <row r="22" spans="1:17" x14ac:dyDescent="0.25">
      <c r="B22" s="103" t="s">
        <v>63</v>
      </c>
      <c r="C22" s="71">
        <v>300000</v>
      </c>
      <c r="D22" s="71">
        <v>30000</v>
      </c>
      <c r="E22" s="71">
        <v>30000</v>
      </c>
      <c r="F22" s="173">
        <v>20000</v>
      </c>
      <c r="G22" s="74">
        <f t="shared" si="3"/>
        <v>100</v>
      </c>
      <c r="H22" s="74">
        <f t="shared" si="4"/>
        <v>100</v>
      </c>
      <c r="I22" s="74">
        <f t="shared" si="5"/>
        <v>66.666666666666671</v>
      </c>
      <c r="J22" s="75">
        <f t="shared" si="0"/>
        <v>0.12259910093992644</v>
      </c>
      <c r="K22" s="75">
        <f t="shared" si="1"/>
        <v>0.20979020979020979</v>
      </c>
      <c r="L22" s="75">
        <f t="shared" si="2"/>
        <v>0.17959770114942528</v>
      </c>
    </row>
    <row r="23" spans="1:17" s="7" customFormat="1" ht="6" customHeight="1" thickBot="1" x14ac:dyDescent="0.3">
      <c r="B23" s="165"/>
      <c r="C23" s="245"/>
      <c r="D23" s="99"/>
      <c r="E23" s="93"/>
      <c r="F23" s="92"/>
      <c r="G23" s="100"/>
      <c r="H23" s="84"/>
      <c r="I23" s="101"/>
      <c r="J23" s="85"/>
      <c r="K23" s="85"/>
      <c r="L23" s="85"/>
    </row>
    <row r="24" spans="1:17" s="12" customFormat="1" ht="24.95" customHeight="1" thickTop="1" thickBot="1" x14ac:dyDescent="0.3">
      <c r="A24" s="13"/>
      <c r="B24" s="90" t="s">
        <v>13</v>
      </c>
      <c r="C24" s="63">
        <f>SUM(C11:C22)</f>
        <v>2513000</v>
      </c>
      <c r="D24" s="63">
        <f>SUM(D11:D22)</f>
        <v>244700</v>
      </c>
      <c r="E24" s="62">
        <f>SUM(E11:E22)</f>
        <v>143000</v>
      </c>
      <c r="F24" s="102">
        <f>SUM(F11:F22)</f>
        <v>111360</v>
      </c>
      <c r="G24" s="94"/>
      <c r="H24" s="94"/>
      <c r="I24" s="94"/>
      <c r="J24" s="95">
        <f>SUM(J11:J22)</f>
        <v>1.0000000000000002</v>
      </c>
      <c r="K24" s="64">
        <f>SUM(K11:K22)</f>
        <v>1</v>
      </c>
      <c r="L24" s="65">
        <f>SUM(L11:L22)</f>
        <v>1</v>
      </c>
      <c r="M24" s="13"/>
      <c r="N24" s="13"/>
      <c r="O24" s="13"/>
      <c r="P24" s="13"/>
      <c r="Q24" s="13"/>
    </row>
    <row r="25" spans="1:17" ht="15.75" thickTop="1" x14ac:dyDescent="0.25">
      <c r="B25" s="15"/>
    </row>
    <row r="26" spans="1:17" x14ac:dyDescent="0.25">
      <c r="B26" s="15"/>
    </row>
    <row r="27" spans="1:17" x14ac:dyDescent="0.25">
      <c r="B27" s="66" t="s">
        <v>396</v>
      </c>
      <c r="C27" s="67"/>
      <c r="D27" s="67"/>
      <c r="E27" s="67"/>
      <c r="F27" s="67"/>
    </row>
    <row r="28" spans="1:17" x14ac:dyDescent="0.25">
      <c r="A28" s="21"/>
      <c r="B28" s="67" t="s">
        <v>181</v>
      </c>
      <c r="C28" s="68"/>
      <c r="D28" s="68"/>
      <c r="E28" s="68"/>
      <c r="F28" s="68"/>
      <c r="G28" s="87"/>
      <c r="H28" s="88"/>
      <c r="I28"/>
      <c r="J28"/>
      <c r="K28"/>
      <c r="L28"/>
      <c r="M28"/>
      <c r="N28"/>
      <c r="O28"/>
      <c r="P28"/>
      <c r="Q28"/>
    </row>
    <row r="29" spans="1:17" ht="14.45" customHeight="1" x14ac:dyDescent="0.25">
      <c r="A29" s="21"/>
      <c r="B29" s="67"/>
      <c r="C29" s="68"/>
      <c r="D29" s="68"/>
      <c r="E29" s="68"/>
      <c r="F29" s="68"/>
      <c r="G29" s="87"/>
      <c r="H29" s="88"/>
      <c r="I29"/>
      <c r="J29"/>
      <c r="K29"/>
      <c r="L29"/>
      <c r="M29"/>
      <c r="N29"/>
      <c r="O29"/>
      <c r="P29"/>
      <c r="Q29"/>
    </row>
    <row r="30" spans="1:17" x14ac:dyDescent="0.25">
      <c r="A30"/>
      <c r="B30" s="79" t="s">
        <v>397</v>
      </c>
      <c r="C30" s="68"/>
      <c r="D30" s="68"/>
      <c r="E30" s="68"/>
      <c r="F30" s="68"/>
      <c r="G30" s="88"/>
      <c r="H30" s="88"/>
      <c r="I30"/>
      <c r="J30"/>
      <c r="K30"/>
      <c r="L30"/>
      <c r="M30"/>
      <c r="N30"/>
      <c r="O30"/>
      <c r="P30"/>
      <c r="Q30"/>
    </row>
    <row r="31" spans="1:17" x14ac:dyDescent="0.25">
      <c r="A31" s="21"/>
      <c r="B31" s="69" t="s">
        <v>182</v>
      </c>
      <c r="C31" s="68"/>
      <c r="D31" s="68"/>
      <c r="E31" s="68"/>
      <c r="F31" s="68"/>
      <c r="G31" s="88"/>
      <c r="H31" s="88"/>
      <c r="I31"/>
      <c r="J31"/>
      <c r="K31"/>
      <c r="L31"/>
      <c r="M31"/>
      <c r="N31"/>
      <c r="O31"/>
      <c r="P31"/>
      <c r="Q31"/>
    </row>
    <row r="32" spans="1:17" x14ac:dyDescent="0.25">
      <c r="B32" s="67" t="s">
        <v>382</v>
      </c>
      <c r="C32" s="67"/>
      <c r="D32" s="67"/>
      <c r="E32" s="67"/>
      <c r="F32" s="67"/>
      <c r="G32" s="87"/>
      <c r="H32" s="87"/>
    </row>
    <row r="33" spans="2:8" x14ac:dyDescent="0.25">
      <c r="B33" s="69"/>
      <c r="C33" s="67"/>
      <c r="D33" s="67"/>
      <c r="E33" s="67"/>
      <c r="F33" s="67"/>
      <c r="G33" s="87"/>
      <c r="H33" s="87"/>
    </row>
    <row r="34" spans="2:8" x14ac:dyDescent="0.25">
      <c r="B34" s="66" t="s">
        <v>398</v>
      </c>
    </row>
  </sheetData>
  <mergeCells count="8">
    <mergeCell ref="C6:C7"/>
    <mergeCell ref="D6:F6"/>
    <mergeCell ref="G6:I6"/>
    <mergeCell ref="J6:L6"/>
    <mergeCell ref="B7:B8"/>
    <mergeCell ref="D7:F7"/>
    <mergeCell ref="G7:I7"/>
    <mergeCell ref="J7:L7"/>
  </mergeCells>
  <hyperlinks>
    <hyperlink ref="B1" location="Start!A1" display="Back to home page" xr:uid="{8FF77685-A158-4549-8B5D-FEEE37E44926}"/>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C3366-7632-423A-B9C8-81D6596E40CB}">
  <sheetPr>
    <tabColor rgb="FF92D050"/>
  </sheetPr>
  <dimension ref="A1:R51"/>
  <sheetViews>
    <sheetView showGridLines="0" zoomScale="70" zoomScaleNormal="70" workbookViewId="0">
      <pane xSplit="2" ySplit="9" topLeftCell="C10" activePane="bottomRight" state="frozen"/>
      <selection pane="topRight" activeCell="C1" sqref="C1"/>
      <selection pane="bottomLeft" activeCell="A10" sqref="A10"/>
      <selection pane="bottomRight"/>
    </sheetView>
  </sheetViews>
  <sheetFormatPr defaultColWidth="8.7109375" defaultRowHeight="15" x14ac:dyDescent="0.25"/>
  <cols>
    <col min="1" max="1" width="2.7109375" style="7" customWidth="1"/>
    <col min="2" max="2" width="45.7109375" style="7" customWidth="1"/>
    <col min="3" max="10" width="15.7109375" style="7" customWidth="1"/>
    <col min="11" max="13" width="16.7109375" style="7" customWidth="1"/>
    <col min="14" max="14" width="10" style="7" bestFit="1" customWidth="1"/>
    <col min="15" max="18" width="8.7109375" style="7"/>
  </cols>
  <sheetData>
    <row r="1" spans="1:18" x14ac:dyDescent="0.25">
      <c r="A1" s="21"/>
      <c r="B1" s="546" t="s">
        <v>432</v>
      </c>
      <c r="E1"/>
      <c r="G1"/>
      <c r="M1"/>
      <c r="N1"/>
      <c r="O1"/>
      <c r="P1"/>
      <c r="Q1"/>
      <c r="R1"/>
    </row>
    <row r="2" spans="1:18" x14ac:dyDescent="0.25">
      <c r="A2" s="21"/>
      <c r="E2"/>
      <c r="G2"/>
      <c r="M2"/>
      <c r="N2"/>
      <c r="O2"/>
      <c r="P2"/>
      <c r="Q2"/>
      <c r="R2"/>
    </row>
    <row r="3" spans="1:18" x14ac:dyDescent="0.25">
      <c r="A3" s="21"/>
      <c r="E3"/>
      <c r="G3"/>
      <c r="M3"/>
      <c r="N3"/>
      <c r="O3"/>
      <c r="P3"/>
      <c r="Q3"/>
      <c r="R3"/>
    </row>
    <row r="4" spans="1:18" x14ac:dyDescent="0.25">
      <c r="A4" s="21"/>
      <c r="E4"/>
      <c r="G4"/>
      <c r="M4"/>
      <c r="N4"/>
      <c r="O4"/>
      <c r="P4"/>
      <c r="Q4"/>
      <c r="R4"/>
    </row>
    <row r="5" spans="1:18" ht="15.75" thickBot="1" x14ac:dyDescent="0.3"/>
    <row r="6" spans="1:18" s="2" customFormat="1" ht="30" customHeight="1" thickTop="1" thickBot="1" x14ac:dyDescent="0.35">
      <c r="A6" s="14"/>
      <c r="B6" s="38" t="s">
        <v>387</v>
      </c>
      <c r="C6" s="618" t="s">
        <v>400</v>
      </c>
      <c r="D6" s="618" t="s">
        <v>408</v>
      </c>
      <c r="E6" s="592" t="s">
        <v>389</v>
      </c>
      <c r="F6" s="592"/>
      <c r="G6" s="592"/>
      <c r="H6" s="589" t="s">
        <v>392</v>
      </c>
      <c r="I6" s="589"/>
      <c r="J6" s="589"/>
      <c r="K6" s="589" t="s">
        <v>399</v>
      </c>
      <c r="L6" s="589"/>
      <c r="M6" s="589"/>
      <c r="N6" s="14"/>
      <c r="O6" s="14"/>
      <c r="P6" s="14"/>
      <c r="Q6" s="14"/>
      <c r="R6" s="14"/>
    </row>
    <row r="7" spans="1:18" s="2" customFormat="1" ht="25.15" customHeight="1" thickTop="1" thickBot="1" x14ac:dyDescent="0.3">
      <c r="A7" s="14"/>
      <c r="B7" s="596" t="s">
        <v>363</v>
      </c>
      <c r="C7" s="618"/>
      <c r="D7" s="618"/>
      <c r="E7" s="597" t="s">
        <v>14</v>
      </c>
      <c r="F7" s="597"/>
      <c r="G7" s="597"/>
      <c r="H7" s="598" t="s">
        <v>415</v>
      </c>
      <c r="I7" s="598"/>
      <c r="J7" s="598"/>
      <c r="K7" s="598" t="s">
        <v>0</v>
      </c>
      <c r="L7" s="598"/>
      <c r="M7" s="598"/>
      <c r="N7" s="14"/>
      <c r="O7" s="14"/>
      <c r="P7" s="14"/>
      <c r="Q7" s="14"/>
      <c r="R7" s="14"/>
    </row>
    <row r="8" spans="1:18" s="1" customFormat="1" ht="34.15" customHeight="1" thickTop="1" thickBot="1" x14ac:dyDescent="0.3">
      <c r="A8" s="8"/>
      <c r="B8" s="596"/>
      <c r="C8" s="249" t="s">
        <v>405</v>
      </c>
      <c r="D8" s="249" t="s">
        <v>405</v>
      </c>
      <c r="E8" s="539" t="s">
        <v>388</v>
      </c>
      <c r="F8" s="539" t="s">
        <v>394</v>
      </c>
      <c r="G8" s="539" t="s">
        <v>395</v>
      </c>
      <c r="H8" s="538" t="s">
        <v>388</v>
      </c>
      <c r="I8" s="538" t="s">
        <v>394</v>
      </c>
      <c r="J8" s="538" t="s">
        <v>395</v>
      </c>
      <c r="K8" s="539" t="s">
        <v>388</v>
      </c>
      <c r="L8" s="539" t="s">
        <v>394</v>
      </c>
      <c r="M8" s="539" t="s">
        <v>395</v>
      </c>
      <c r="N8" s="8"/>
      <c r="O8" s="8"/>
      <c r="P8" s="8"/>
      <c r="Q8" s="8"/>
      <c r="R8" s="8"/>
    </row>
    <row r="9" spans="1:18" ht="34.15" customHeight="1" thickTop="1" thickBot="1" x14ac:dyDescent="0.3">
      <c r="B9" s="183" t="s">
        <v>409</v>
      </c>
      <c r="C9" s="49">
        <v>2018</v>
      </c>
      <c r="D9" s="49">
        <v>2015</v>
      </c>
      <c r="E9" s="49">
        <v>2018</v>
      </c>
      <c r="F9" s="49">
        <v>2018</v>
      </c>
      <c r="G9" s="49">
        <v>2018</v>
      </c>
      <c r="H9" s="49">
        <v>2018</v>
      </c>
      <c r="I9" s="49">
        <v>2018</v>
      </c>
      <c r="J9" s="49">
        <v>2018</v>
      </c>
      <c r="K9" s="49">
        <v>2018</v>
      </c>
      <c r="L9" s="49">
        <v>2018</v>
      </c>
      <c r="M9" s="49">
        <v>2018</v>
      </c>
    </row>
    <row r="10" spans="1:18" ht="6" customHeight="1" thickTop="1" x14ac:dyDescent="0.25">
      <c r="B10" s="248"/>
      <c r="C10" s="188"/>
      <c r="D10" s="98"/>
      <c r="E10" s="98"/>
      <c r="F10" s="98"/>
      <c r="G10" s="98"/>
      <c r="H10" s="98"/>
      <c r="I10" s="98"/>
      <c r="J10" s="98"/>
      <c r="K10" s="98"/>
      <c r="L10" s="98"/>
      <c r="M10" s="98"/>
    </row>
    <row r="11" spans="1:18" x14ac:dyDescent="0.25">
      <c r="B11" s="89" t="s">
        <v>3</v>
      </c>
      <c r="C11" s="53" t="s">
        <v>377</v>
      </c>
      <c r="D11" s="53">
        <v>22889000</v>
      </c>
      <c r="E11" s="53">
        <f>D11*H11/1000</f>
        <v>4854756.9000000004</v>
      </c>
      <c r="F11" s="53">
        <f>D11*I11/1000</f>
        <v>2856547.2</v>
      </c>
      <c r="G11" s="53">
        <f>D11*J11/1000</f>
        <v>1702941.6000000003</v>
      </c>
      <c r="H11" s="56">
        <v>212.1</v>
      </c>
      <c r="I11" s="56">
        <v>124.8</v>
      </c>
      <c r="J11" s="56">
        <v>74.400000000000006</v>
      </c>
      <c r="K11" s="57">
        <f t="shared" ref="K11:M22" si="0">E11/E$24</f>
        <v>0.15931674619427066</v>
      </c>
      <c r="L11" s="57">
        <f t="shared" si="0"/>
        <v>0.15866877529415538</v>
      </c>
      <c r="M11" s="57">
        <f t="shared" si="0"/>
        <v>0.12650213867730761</v>
      </c>
      <c r="N11" s="246"/>
    </row>
    <row r="12" spans="1:18" x14ac:dyDescent="0.25">
      <c r="B12" s="103" t="s">
        <v>16</v>
      </c>
      <c r="C12" s="71" t="s">
        <v>377</v>
      </c>
      <c r="D12" s="71">
        <v>28336000</v>
      </c>
      <c r="E12" s="71">
        <f t="shared" ref="E12:E13" si="1">D12*H12/1000</f>
        <v>5032473.5999999996</v>
      </c>
      <c r="F12" s="71">
        <f t="shared" ref="F12:F13" si="2">D12*I12/1000</f>
        <v>2204540.7999999998</v>
      </c>
      <c r="G12" s="71">
        <f t="shared" ref="G12:G13" si="3">D12*J12/1000</f>
        <v>2349054.4</v>
      </c>
      <c r="H12" s="74">
        <v>177.6</v>
      </c>
      <c r="I12" s="74">
        <v>77.8</v>
      </c>
      <c r="J12" s="74">
        <v>82.9</v>
      </c>
      <c r="K12" s="75">
        <f t="shared" si="0"/>
        <v>0.16514880884366578</v>
      </c>
      <c r="L12" s="75">
        <f t="shared" si="0"/>
        <v>0.1224526550172171</v>
      </c>
      <c r="M12" s="75">
        <f t="shared" si="0"/>
        <v>0.17449829487361138</v>
      </c>
      <c r="N12" s="246"/>
    </row>
    <row r="13" spans="1:18" x14ac:dyDescent="0.25">
      <c r="B13" s="89" t="s">
        <v>68</v>
      </c>
      <c r="C13" s="53" t="s">
        <v>377</v>
      </c>
      <c r="D13" s="53">
        <v>37348000</v>
      </c>
      <c r="E13" s="53">
        <f t="shared" si="1"/>
        <v>7081180.7999999998</v>
      </c>
      <c r="F13" s="53">
        <f t="shared" si="2"/>
        <v>4130688.8</v>
      </c>
      <c r="G13" s="53">
        <f t="shared" si="3"/>
        <v>2662912.4</v>
      </c>
      <c r="H13" s="56">
        <v>189.6</v>
      </c>
      <c r="I13" s="56">
        <v>110.6</v>
      </c>
      <c r="J13" s="56">
        <v>71.3</v>
      </c>
      <c r="K13" s="57">
        <f t="shared" si="0"/>
        <v>0.2323804687870864</v>
      </c>
      <c r="L13" s="57">
        <f t="shared" si="0"/>
        <v>0.22944180058263494</v>
      </c>
      <c r="M13" s="57">
        <f t="shared" si="0"/>
        <v>0.1978130745706852</v>
      </c>
      <c r="N13" s="246"/>
    </row>
    <row r="14" spans="1:18" x14ac:dyDescent="0.25">
      <c r="B14" s="103" t="s">
        <v>6</v>
      </c>
      <c r="C14" s="71">
        <v>8412770</v>
      </c>
      <c r="D14" s="71"/>
      <c r="E14" s="71">
        <f t="shared" ref="E14:E22" si="4">C14*H14/1000</f>
        <v>408019.34499999997</v>
      </c>
      <c r="F14" s="71">
        <f t="shared" ref="F14:F22" si="5">C14*I14/1000</f>
        <v>413067.00699999998</v>
      </c>
      <c r="G14" s="71">
        <f t="shared" ref="G14:G22" si="6">C14*J14/1000</f>
        <v>248176.715</v>
      </c>
      <c r="H14" s="74">
        <v>48.5</v>
      </c>
      <c r="I14" s="74">
        <v>49.1</v>
      </c>
      <c r="J14" s="74">
        <v>29.5</v>
      </c>
      <c r="K14" s="75">
        <f t="shared" si="0"/>
        <v>1.3389818639470403E-2</v>
      </c>
      <c r="L14" s="75">
        <f t="shared" si="0"/>
        <v>2.2944076021258215E-2</v>
      </c>
      <c r="M14" s="75">
        <f t="shared" si="0"/>
        <v>1.843567930773941E-2</v>
      </c>
      <c r="N14" s="246"/>
    </row>
    <row r="15" spans="1:18" x14ac:dyDescent="0.25">
      <c r="B15" s="89" t="s">
        <v>56</v>
      </c>
      <c r="C15" s="53">
        <v>6550610</v>
      </c>
      <c r="D15" s="53"/>
      <c r="E15" s="53">
        <f t="shared" si="4"/>
        <v>831272.40899999999</v>
      </c>
      <c r="F15" s="53">
        <f t="shared" si="5"/>
        <v>419894.10099999997</v>
      </c>
      <c r="G15" s="53">
        <f t="shared" si="6"/>
        <v>298707.81599999999</v>
      </c>
      <c r="H15" s="56">
        <v>126.9</v>
      </c>
      <c r="I15" s="56">
        <v>64.099999999999994</v>
      </c>
      <c r="J15" s="56">
        <v>45.6</v>
      </c>
      <c r="K15" s="57">
        <f t="shared" si="0"/>
        <v>2.7279556552657239E-2</v>
      </c>
      <c r="L15" s="57">
        <f t="shared" si="0"/>
        <v>2.3323291405410829E-2</v>
      </c>
      <c r="M15" s="57">
        <f t="shared" si="0"/>
        <v>2.2189356090442373E-2</v>
      </c>
      <c r="N15" s="246"/>
    </row>
    <row r="16" spans="1:18" x14ac:dyDescent="0.25">
      <c r="B16" s="103" t="s">
        <v>25</v>
      </c>
      <c r="C16" s="71">
        <v>3354410</v>
      </c>
      <c r="D16" s="71"/>
      <c r="E16" s="71">
        <f t="shared" si="4"/>
        <v>986867.42200000002</v>
      </c>
      <c r="F16" s="71">
        <f t="shared" si="5"/>
        <v>663837.73899999994</v>
      </c>
      <c r="G16" s="71">
        <f t="shared" si="6"/>
        <v>167385.05900000001</v>
      </c>
      <c r="H16" s="74">
        <v>294.2</v>
      </c>
      <c r="I16" s="74">
        <v>197.9</v>
      </c>
      <c r="J16" s="74">
        <v>49.9</v>
      </c>
      <c r="K16" s="75">
        <f t="shared" si="0"/>
        <v>3.2385660051931373E-2</v>
      </c>
      <c r="L16" s="75">
        <f t="shared" si="0"/>
        <v>3.687329970993343E-2</v>
      </c>
      <c r="M16" s="75">
        <f t="shared" si="0"/>
        <v>1.2434112799949989E-2</v>
      </c>
      <c r="N16" s="246"/>
    </row>
    <row r="17" spans="1:18" x14ac:dyDescent="0.25">
      <c r="B17" s="89" t="s">
        <v>44</v>
      </c>
      <c r="C17" s="53">
        <v>216130</v>
      </c>
      <c r="D17" s="53"/>
      <c r="E17" s="53">
        <f t="shared" si="4"/>
        <v>72317.097999999998</v>
      </c>
      <c r="F17" s="53">
        <f t="shared" si="5"/>
        <v>41345.669000000002</v>
      </c>
      <c r="G17" s="53">
        <f t="shared" si="6"/>
        <v>8731.652</v>
      </c>
      <c r="H17" s="56">
        <v>334.6</v>
      </c>
      <c r="I17" s="56">
        <v>191.3</v>
      </c>
      <c r="J17" s="56">
        <v>40.4</v>
      </c>
      <c r="K17" s="57">
        <f t="shared" si="0"/>
        <v>2.3732032282753842E-3</v>
      </c>
      <c r="L17" s="57">
        <f t="shared" si="0"/>
        <v>2.2965721217375738E-3</v>
      </c>
      <c r="M17" s="57">
        <f t="shared" si="0"/>
        <v>6.4862626656486059E-4</v>
      </c>
      <c r="N17" s="246"/>
    </row>
    <row r="18" spans="1:18" x14ac:dyDescent="0.25">
      <c r="B18" s="103" t="s">
        <v>55</v>
      </c>
      <c r="C18" s="71">
        <v>1405840</v>
      </c>
      <c r="D18" s="71"/>
      <c r="E18" s="71">
        <f t="shared" si="4"/>
        <v>608447.55200000003</v>
      </c>
      <c r="F18" s="71">
        <f t="shared" si="5"/>
        <v>258112.22399999999</v>
      </c>
      <c r="G18" s="71">
        <f t="shared" si="6"/>
        <v>324046.12</v>
      </c>
      <c r="H18" s="74">
        <v>432.8</v>
      </c>
      <c r="I18" s="74">
        <v>183.6</v>
      </c>
      <c r="J18" s="74">
        <v>230.5</v>
      </c>
      <c r="K18" s="75">
        <f t="shared" si="0"/>
        <v>1.9967196341903196E-2</v>
      </c>
      <c r="L18" s="75">
        <f t="shared" si="0"/>
        <v>1.4337011644873466E-2</v>
      </c>
      <c r="M18" s="75">
        <f t="shared" si="0"/>
        <v>2.4071598938027856E-2</v>
      </c>
      <c r="N18" s="246"/>
    </row>
    <row r="19" spans="1:18" x14ac:dyDescent="0.25">
      <c r="B19" s="89" t="s">
        <v>7</v>
      </c>
      <c r="C19" s="53">
        <v>2985800</v>
      </c>
      <c r="D19" s="53"/>
      <c r="E19" s="53">
        <f t="shared" si="4"/>
        <v>1325695.2</v>
      </c>
      <c r="F19" s="53">
        <f t="shared" si="5"/>
        <v>343367</v>
      </c>
      <c r="G19" s="53">
        <f t="shared" si="6"/>
        <v>355310.2</v>
      </c>
      <c r="H19" s="56">
        <v>444</v>
      </c>
      <c r="I19" s="56">
        <v>115</v>
      </c>
      <c r="J19" s="56">
        <v>119</v>
      </c>
      <c r="K19" s="57">
        <f t="shared" si="0"/>
        <v>4.3504844848021716E-2</v>
      </c>
      <c r="L19" s="57">
        <f t="shared" si="0"/>
        <v>1.9072543722165082E-2</v>
      </c>
      <c r="M19" s="57">
        <f t="shared" si="0"/>
        <v>2.6394035000297075E-2</v>
      </c>
      <c r="N19" s="246"/>
    </row>
    <row r="20" spans="1:18" x14ac:dyDescent="0.25">
      <c r="B20" s="103" t="s">
        <v>8</v>
      </c>
      <c r="C20" s="71">
        <v>7523380</v>
      </c>
      <c r="D20" s="71"/>
      <c r="E20" s="71">
        <f t="shared" si="4"/>
        <v>1108946.2120000001</v>
      </c>
      <c r="F20" s="71">
        <f t="shared" si="5"/>
        <v>659649.95840000012</v>
      </c>
      <c r="G20" s="71">
        <f t="shared" si="6"/>
        <v>584190.45700000005</v>
      </c>
      <c r="H20" s="74">
        <v>147.4</v>
      </c>
      <c r="I20" s="74">
        <v>87.68</v>
      </c>
      <c r="J20" s="74">
        <v>77.650000000000006</v>
      </c>
      <c r="K20" s="75">
        <f t="shared" si="0"/>
        <v>3.6391874163730395E-2</v>
      </c>
      <c r="L20" s="75">
        <f t="shared" si="0"/>
        <v>3.6640686708123898E-2</v>
      </c>
      <c r="M20" s="75">
        <f t="shared" si="0"/>
        <v>4.3396286875236181E-2</v>
      </c>
      <c r="N20" s="246"/>
    </row>
    <row r="21" spans="1:18" x14ac:dyDescent="0.25">
      <c r="B21" s="89" t="s">
        <v>365</v>
      </c>
      <c r="C21" s="83">
        <v>5062032</v>
      </c>
      <c r="D21" s="83"/>
      <c r="E21" s="53">
        <f t="shared" si="4"/>
        <v>1624912.2720000001</v>
      </c>
      <c r="F21" s="53">
        <f t="shared" si="5"/>
        <v>1366748.64</v>
      </c>
      <c r="G21" s="53">
        <f t="shared" si="6"/>
        <v>1219949.7120000001</v>
      </c>
      <c r="H21" s="56">
        <v>321</v>
      </c>
      <c r="I21" s="56">
        <v>270</v>
      </c>
      <c r="J21" s="56">
        <v>241</v>
      </c>
      <c r="K21" s="57">
        <f t="shared" si="0"/>
        <v>5.3324139881479896E-2</v>
      </c>
      <c r="L21" s="57">
        <f t="shared" si="0"/>
        <v>7.5916943659727523E-2</v>
      </c>
      <c r="M21" s="57">
        <f t="shared" si="0"/>
        <v>9.062333531975815E-2</v>
      </c>
      <c r="N21" s="246"/>
    </row>
    <row r="22" spans="1:18" x14ac:dyDescent="0.25">
      <c r="B22" s="103" t="s">
        <v>9</v>
      </c>
      <c r="C22" s="71">
        <v>23215444</v>
      </c>
      <c r="D22" s="71"/>
      <c r="E22" s="71">
        <f t="shared" si="4"/>
        <v>6537469.0304000005</v>
      </c>
      <c r="F22" s="71">
        <f t="shared" si="5"/>
        <v>4645410.3443999998</v>
      </c>
      <c r="G22" s="71">
        <f t="shared" si="6"/>
        <v>3540355.21</v>
      </c>
      <c r="H22" s="74">
        <v>281.60000000000002</v>
      </c>
      <c r="I22" s="74">
        <v>200.1</v>
      </c>
      <c r="J22" s="74">
        <v>152.5</v>
      </c>
      <c r="K22" s="75">
        <f t="shared" si="0"/>
        <v>0.2145376824675076</v>
      </c>
      <c r="L22" s="75">
        <f t="shared" si="0"/>
        <v>0.2580323441127626</v>
      </c>
      <c r="M22" s="75">
        <f t="shared" si="0"/>
        <v>0.26299346128038004</v>
      </c>
      <c r="N22" s="246"/>
    </row>
    <row r="23" spans="1:18" ht="6" customHeight="1" thickBot="1" x14ac:dyDescent="0.3">
      <c r="B23" s="165"/>
      <c r="C23" s="254"/>
      <c r="D23" s="254"/>
      <c r="E23" s="93"/>
      <c r="F23" s="93"/>
      <c r="G23" s="93"/>
      <c r="H23" s="84"/>
      <c r="I23" s="84"/>
      <c r="J23" s="84"/>
      <c r="K23" s="85"/>
      <c r="L23" s="85"/>
      <c r="M23" s="85"/>
      <c r="N23" s="246"/>
    </row>
    <row r="24" spans="1:18" s="12" customFormat="1" ht="24.95" customHeight="1" thickTop="1" thickBot="1" x14ac:dyDescent="0.3">
      <c r="A24" s="13"/>
      <c r="B24" s="548" t="s">
        <v>13</v>
      </c>
      <c r="C24" s="62">
        <f>SUM(C11:C22)</f>
        <v>58726416</v>
      </c>
      <c r="D24" s="251"/>
      <c r="E24" s="252">
        <f>SUM(E11:E22)</f>
        <v>30472357.840399999</v>
      </c>
      <c r="F24" s="250">
        <f>SUM(F11:F22)</f>
        <v>18003209.482799999</v>
      </c>
      <c r="G24" s="253">
        <f>SUM(G11:G22)</f>
        <v>13461761.340999998</v>
      </c>
      <c r="H24" s="94"/>
      <c r="I24" s="94"/>
      <c r="J24" s="94"/>
      <c r="K24" s="64">
        <f>SUM(K11:K22)</f>
        <v>1</v>
      </c>
      <c r="L24" s="64">
        <f>SUM(L11:L22)</f>
        <v>1.0000000000000002</v>
      </c>
      <c r="M24" s="64">
        <f>SUM(M11:M22)</f>
        <v>1</v>
      </c>
      <c r="N24" s="94"/>
      <c r="O24" s="13"/>
      <c r="P24" s="13"/>
      <c r="Q24" s="13"/>
      <c r="R24" s="13"/>
    </row>
    <row r="25" spans="1:18" ht="15.75" thickTop="1" x14ac:dyDescent="0.25">
      <c r="B25" s="15"/>
      <c r="C25" s="247"/>
      <c r="D25" s="247"/>
      <c r="E25" s="247"/>
      <c r="F25" s="247"/>
      <c r="G25" s="247"/>
      <c r="H25" s="247"/>
      <c r="I25" s="247"/>
      <c r="J25" s="247"/>
      <c r="K25" s="247"/>
      <c r="L25" s="247"/>
      <c r="M25" s="247"/>
      <c r="N25" s="247"/>
    </row>
    <row r="26" spans="1:18" x14ac:dyDescent="0.25">
      <c r="B26" s="67"/>
      <c r="C26" s="247"/>
      <c r="D26" s="247"/>
      <c r="E26" s="247"/>
      <c r="F26" s="247"/>
      <c r="G26" s="247"/>
      <c r="H26" s="247"/>
      <c r="I26" s="247"/>
      <c r="J26" s="247"/>
      <c r="K26" s="247"/>
      <c r="L26" s="247"/>
      <c r="M26" s="247"/>
      <c r="N26" s="247"/>
    </row>
    <row r="27" spans="1:18" x14ac:dyDescent="0.25">
      <c r="B27" s="66" t="s">
        <v>416</v>
      </c>
      <c r="C27" s="247"/>
      <c r="D27" s="247"/>
      <c r="E27" s="247"/>
      <c r="F27" s="247"/>
      <c r="G27" s="247"/>
      <c r="H27" s="247"/>
      <c r="I27" s="247"/>
      <c r="J27" s="247"/>
      <c r="K27" s="247"/>
      <c r="L27" s="247"/>
      <c r="M27" s="247"/>
      <c r="N27" s="247"/>
    </row>
    <row r="28" spans="1:18" x14ac:dyDescent="0.25">
      <c r="A28" s="21"/>
      <c r="B28" s="69" t="s">
        <v>381</v>
      </c>
      <c r="E28"/>
      <c r="G28"/>
      <c r="M28"/>
      <c r="N28"/>
      <c r="O28"/>
      <c r="P28"/>
      <c r="Q28"/>
      <c r="R28"/>
    </row>
    <row r="29" spans="1:18" x14ac:dyDescent="0.25">
      <c r="A29" s="21"/>
      <c r="B29" s="69" t="s">
        <v>378</v>
      </c>
      <c r="E29"/>
      <c r="G29"/>
      <c r="M29"/>
      <c r="N29"/>
      <c r="O29"/>
      <c r="P29"/>
      <c r="Q29"/>
      <c r="R29"/>
    </row>
    <row r="30" spans="1:18" x14ac:dyDescent="0.25">
      <c r="A30" s="21"/>
      <c r="B30" s="69" t="s">
        <v>379</v>
      </c>
      <c r="E30"/>
      <c r="G30"/>
      <c r="M30"/>
      <c r="N30"/>
      <c r="O30"/>
      <c r="P30"/>
      <c r="Q30"/>
      <c r="R30"/>
    </row>
    <row r="31" spans="1:18" x14ac:dyDescent="0.25">
      <c r="A31" s="21"/>
      <c r="B31" s="69" t="s">
        <v>380</v>
      </c>
      <c r="E31"/>
      <c r="G31"/>
      <c r="M31"/>
      <c r="N31"/>
      <c r="O31"/>
      <c r="P31"/>
      <c r="Q31"/>
      <c r="R31"/>
    </row>
    <row r="32" spans="1:18" x14ac:dyDescent="0.25">
      <c r="A32" s="21"/>
      <c r="B32" s="69"/>
      <c r="E32"/>
      <c r="G32"/>
      <c r="M32"/>
      <c r="N32"/>
      <c r="O32"/>
      <c r="P32"/>
      <c r="Q32"/>
      <c r="R32"/>
    </row>
    <row r="33" spans="1:18" x14ac:dyDescent="0.25">
      <c r="A33" s="21"/>
      <c r="B33" s="66" t="s">
        <v>397</v>
      </c>
      <c r="E33"/>
      <c r="G33"/>
      <c r="M33"/>
      <c r="N33"/>
      <c r="O33"/>
      <c r="P33"/>
      <c r="Q33"/>
      <c r="R33"/>
    </row>
    <row r="34" spans="1:18" x14ac:dyDescent="0.25">
      <c r="A34" s="21"/>
      <c r="B34" s="67" t="s">
        <v>176</v>
      </c>
      <c r="I34"/>
      <c r="J34"/>
      <c r="K34"/>
      <c r="L34"/>
      <c r="M34"/>
      <c r="N34"/>
      <c r="O34"/>
      <c r="P34"/>
      <c r="Q34"/>
      <c r="R34"/>
    </row>
    <row r="35" spans="1:18" x14ac:dyDescent="0.25">
      <c r="B35" s="69" t="s">
        <v>382</v>
      </c>
    </row>
    <row r="36" spans="1:18" x14ac:dyDescent="0.25">
      <c r="B36" s="67" t="s">
        <v>383</v>
      </c>
    </row>
    <row r="37" spans="1:18" x14ac:dyDescent="0.25">
      <c r="B37" s="67"/>
      <c r="Q37"/>
      <c r="R37"/>
    </row>
    <row r="38" spans="1:18" x14ac:dyDescent="0.25">
      <c r="B38" s="66" t="s">
        <v>398</v>
      </c>
      <c r="C38"/>
      <c r="D38"/>
      <c r="E38"/>
      <c r="F38"/>
      <c r="G38"/>
      <c r="H38"/>
      <c r="I38"/>
      <c r="J38"/>
      <c r="K38"/>
      <c r="L38"/>
      <c r="M38"/>
      <c r="N38"/>
      <c r="O38"/>
      <c r="P38"/>
      <c r="Q38"/>
      <c r="R38"/>
    </row>
    <row r="39" spans="1:18" x14ac:dyDescent="0.25">
      <c r="C39"/>
      <c r="D39"/>
      <c r="E39"/>
      <c r="F39"/>
      <c r="G39"/>
      <c r="H39"/>
      <c r="I39"/>
      <c r="J39"/>
      <c r="K39"/>
      <c r="L39"/>
      <c r="M39"/>
      <c r="N39"/>
      <c r="O39"/>
      <c r="P39"/>
      <c r="Q39"/>
      <c r="R39"/>
    </row>
    <row r="40" spans="1:18" x14ac:dyDescent="0.25">
      <c r="C40"/>
      <c r="D40"/>
      <c r="E40"/>
      <c r="F40"/>
      <c r="G40"/>
      <c r="H40"/>
      <c r="I40"/>
      <c r="J40"/>
      <c r="K40"/>
      <c r="L40"/>
      <c r="M40"/>
      <c r="N40"/>
      <c r="O40"/>
      <c r="P40"/>
      <c r="Q40"/>
      <c r="R40"/>
    </row>
    <row r="41" spans="1:18" x14ac:dyDescent="0.25">
      <c r="E41"/>
      <c r="F41"/>
      <c r="G41"/>
      <c r="H41"/>
      <c r="I41"/>
      <c r="J41"/>
      <c r="K41"/>
      <c r="L41"/>
      <c r="M41"/>
      <c r="N41"/>
      <c r="O41"/>
      <c r="P41"/>
      <c r="Q41"/>
      <c r="R41"/>
    </row>
    <row r="42" spans="1:18" x14ac:dyDescent="0.25">
      <c r="E42"/>
      <c r="F42"/>
      <c r="G42"/>
      <c r="H42"/>
      <c r="I42"/>
      <c r="J42"/>
      <c r="K42"/>
      <c r="L42"/>
      <c r="M42"/>
      <c r="N42"/>
      <c r="O42"/>
      <c r="P42"/>
      <c r="Q42"/>
      <c r="R42"/>
    </row>
    <row r="43" spans="1:18" x14ac:dyDescent="0.25">
      <c r="E43"/>
      <c r="F43"/>
      <c r="G43"/>
      <c r="H43"/>
      <c r="I43"/>
      <c r="J43"/>
      <c r="K43"/>
      <c r="L43"/>
      <c r="M43"/>
      <c r="N43"/>
      <c r="O43"/>
      <c r="P43"/>
      <c r="Q43"/>
      <c r="R43"/>
    </row>
    <row r="44" spans="1:18" x14ac:dyDescent="0.25">
      <c r="E44"/>
      <c r="F44"/>
      <c r="G44"/>
      <c r="H44"/>
      <c r="I44"/>
      <c r="J44"/>
      <c r="K44"/>
      <c r="L44"/>
      <c r="M44"/>
      <c r="N44"/>
      <c r="O44"/>
      <c r="P44"/>
      <c r="Q44"/>
      <c r="R44"/>
    </row>
    <row r="45" spans="1:18" x14ac:dyDescent="0.25">
      <c r="E45"/>
      <c r="F45"/>
      <c r="G45"/>
      <c r="H45"/>
      <c r="I45"/>
      <c r="J45"/>
      <c r="K45"/>
      <c r="L45"/>
      <c r="M45"/>
      <c r="N45"/>
      <c r="O45"/>
      <c r="P45"/>
      <c r="Q45"/>
      <c r="R45"/>
    </row>
    <row r="46" spans="1:18" x14ac:dyDescent="0.25">
      <c r="E46"/>
      <c r="F46"/>
      <c r="G46"/>
      <c r="H46"/>
      <c r="I46"/>
      <c r="J46"/>
      <c r="K46"/>
      <c r="L46"/>
      <c r="M46"/>
      <c r="N46"/>
      <c r="O46"/>
      <c r="P46"/>
      <c r="Q46"/>
      <c r="R46"/>
    </row>
    <row r="47" spans="1:18" x14ac:dyDescent="0.25">
      <c r="E47"/>
      <c r="F47"/>
      <c r="G47"/>
      <c r="H47"/>
      <c r="I47"/>
      <c r="J47"/>
      <c r="K47"/>
      <c r="L47"/>
      <c r="M47"/>
      <c r="N47"/>
      <c r="O47"/>
      <c r="P47"/>
      <c r="Q47"/>
      <c r="R47"/>
    </row>
    <row r="48" spans="1:18" x14ac:dyDescent="0.25">
      <c r="E48"/>
      <c r="F48"/>
      <c r="G48"/>
      <c r="H48"/>
      <c r="I48"/>
      <c r="J48"/>
      <c r="K48"/>
      <c r="L48"/>
      <c r="M48"/>
      <c r="N48"/>
      <c r="O48"/>
      <c r="P48"/>
      <c r="Q48"/>
      <c r="R48"/>
    </row>
    <row r="49" spans="5:18" x14ac:dyDescent="0.25">
      <c r="E49"/>
      <c r="F49"/>
      <c r="G49"/>
      <c r="H49"/>
      <c r="I49"/>
      <c r="J49"/>
      <c r="K49"/>
      <c r="L49"/>
      <c r="M49"/>
      <c r="N49"/>
      <c r="O49"/>
      <c r="P49"/>
      <c r="Q49"/>
      <c r="R49"/>
    </row>
    <row r="50" spans="5:18" x14ac:dyDescent="0.25">
      <c r="Q50"/>
      <c r="R50"/>
    </row>
    <row r="51" spans="5:18" x14ac:dyDescent="0.25">
      <c r="Q51"/>
      <c r="R51"/>
    </row>
  </sheetData>
  <mergeCells count="9">
    <mergeCell ref="K6:M6"/>
    <mergeCell ref="K7:M7"/>
    <mergeCell ref="B7:B8"/>
    <mergeCell ref="C6:C7"/>
    <mergeCell ref="D6:D7"/>
    <mergeCell ref="E6:G6"/>
    <mergeCell ref="E7:G7"/>
    <mergeCell ref="H6:J6"/>
    <mergeCell ref="H7:J7"/>
  </mergeCells>
  <hyperlinks>
    <hyperlink ref="B1" location="Start!A1" display="Back to home page" xr:uid="{D8820A4B-851A-493A-8124-0FC33996E864}"/>
  </hyperlink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7328-B1C1-40B1-AA0D-5027EBB4DCEC}">
  <sheetPr codeName="Feuil58">
    <tabColor rgb="FF92D050"/>
    <pageSetUpPr fitToPage="1"/>
  </sheetPr>
  <dimension ref="A1:Q44"/>
  <sheetViews>
    <sheetView showGridLines="0" zoomScale="80" zoomScaleNormal="80" workbookViewId="0">
      <pane xSplit="2" ySplit="9" topLeftCell="C25"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277</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175"/>
      <c r="D10" s="178"/>
      <c r="E10" s="98"/>
      <c r="F10" s="97"/>
      <c r="G10" s="98"/>
      <c r="H10" s="98"/>
      <c r="I10" s="98"/>
      <c r="J10" s="98"/>
      <c r="K10" s="98"/>
      <c r="L10" s="98"/>
    </row>
    <row r="11" spans="1:17" x14ac:dyDescent="0.25">
      <c r="A11" s="9"/>
      <c r="B11" s="89" t="s">
        <v>3</v>
      </c>
      <c r="C11" s="176">
        <v>156139</v>
      </c>
      <c r="D11" s="54">
        <v>20766.487000000001</v>
      </c>
      <c r="E11" s="53">
        <v>3591.1970000000001</v>
      </c>
      <c r="F11" s="164">
        <v>3122.78</v>
      </c>
      <c r="G11" s="56">
        <f>IFERROR(D11*1000/C11,"-")</f>
        <v>133</v>
      </c>
      <c r="H11" s="56">
        <f>IFERROR(E11*1000/C11,"-")</f>
        <v>23</v>
      </c>
      <c r="I11" s="56">
        <f>IFERROR(F11*1000/C11,"-")</f>
        <v>20</v>
      </c>
      <c r="J11" s="57">
        <f t="shared" ref="J11:J30" si="0">D11/$D$33</f>
        <v>0.2026868169167434</v>
      </c>
      <c r="K11" s="57">
        <f t="shared" ref="K11:K31" si="1">E11/$E$33</f>
        <v>0.13071400144239775</v>
      </c>
      <c r="L11" s="57">
        <f t="shared" ref="L11:L31" si="2">F11/$F$33</f>
        <v>0.11609987002441878</v>
      </c>
      <c r="M11" s="9"/>
    </row>
    <row r="12" spans="1:17" x14ac:dyDescent="0.25">
      <c r="A12" s="9"/>
      <c r="B12" s="103" t="s">
        <v>27</v>
      </c>
      <c r="C12" s="177">
        <v>46160</v>
      </c>
      <c r="D12" s="72">
        <v>4846.8</v>
      </c>
      <c r="E12" s="71">
        <v>923.2</v>
      </c>
      <c r="F12" s="166">
        <v>923.2</v>
      </c>
      <c r="G12" s="74">
        <f t="shared" ref="G12:G31" si="3">IFERROR(D12*1000/C12,"-")</f>
        <v>105</v>
      </c>
      <c r="H12" s="74">
        <f t="shared" ref="H12:H31" si="4">IFERROR(E12*1000/C12,"-")</f>
        <v>20</v>
      </c>
      <c r="I12" s="74">
        <f t="shared" ref="I12:I31" si="5">IFERROR(F12*1000/C12,"-")</f>
        <v>20</v>
      </c>
      <c r="J12" s="75">
        <f t="shared" si="0"/>
        <v>4.7306145918280348E-2</v>
      </c>
      <c r="K12" s="75">
        <f t="shared" si="1"/>
        <v>3.3603048268201832E-2</v>
      </c>
      <c r="L12" s="75">
        <f t="shared" si="2"/>
        <v>3.4323071111811723E-2</v>
      </c>
      <c r="M12" s="9"/>
    </row>
    <row r="13" spans="1:17" x14ac:dyDescent="0.25">
      <c r="B13" s="89" t="s">
        <v>28</v>
      </c>
      <c r="C13" s="176">
        <v>0</v>
      </c>
      <c r="D13" s="54">
        <v>0</v>
      </c>
      <c r="E13" s="53">
        <v>0</v>
      </c>
      <c r="F13" s="164">
        <v>0</v>
      </c>
      <c r="G13" s="56" t="str">
        <f t="shared" si="3"/>
        <v>-</v>
      </c>
      <c r="H13" s="56" t="str">
        <f t="shared" si="4"/>
        <v>-</v>
      </c>
      <c r="I13" s="56" t="str">
        <f t="shared" si="5"/>
        <v>-</v>
      </c>
      <c r="J13" s="57">
        <f t="shared" si="0"/>
        <v>0</v>
      </c>
      <c r="K13" s="57">
        <f t="shared" si="1"/>
        <v>0</v>
      </c>
      <c r="L13" s="57">
        <f t="shared" si="2"/>
        <v>0</v>
      </c>
    </row>
    <row r="14" spans="1:17" x14ac:dyDescent="0.25">
      <c r="B14" s="103" t="s">
        <v>29</v>
      </c>
      <c r="C14" s="177">
        <v>252567</v>
      </c>
      <c r="D14" s="72">
        <v>36622.214999999997</v>
      </c>
      <c r="E14" s="71">
        <v>5809.0409999999993</v>
      </c>
      <c r="F14" s="166">
        <v>5051.34</v>
      </c>
      <c r="G14" s="74">
        <f t="shared" si="3"/>
        <v>145</v>
      </c>
      <c r="H14" s="74">
        <f t="shared" si="4"/>
        <v>22.999999999999996</v>
      </c>
      <c r="I14" s="74">
        <f t="shared" si="5"/>
        <v>20</v>
      </c>
      <c r="J14" s="75">
        <f t="shared" si="0"/>
        <v>0.35744322989201843</v>
      </c>
      <c r="K14" s="75">
        <f t="shared" si="1"/>
        <v>0.21144008353007301</v>
      </c>
      <c r="L14" s="75">
        <f t="shared" si="2"/>
        <v>0.18780058712081782</v>
      </c>
    </row>
    <row r="15" spans="1:17" x14ac:dyDescent="0.25">
      <c r="B15" s="89" t="s">
        <v>30</v>
      </c>
      <c r="C15" s="176">
        <v>41606</v>
      </c>
      <c r="D15" s="54">
        <v>4368.6299999999992</v>
      </c>
      <c r="E15" s="53">
        <v>832.12</v>
      </c>
      <c r="F15" s="164">
        <v>832.12</v>
      </c>
      <c r="G15" s="56">
        <f t="shared" si="3"/>
        <v>104.99999999999997</v>
      </c>
      <c r="H15" s="56">
        <f t="shared" si="4"/>
        <v>20</v>
      </c>
      <c r="I15" s="56">
        <f t="shared" si="5"/>
        <v>20</v>
      </c>
      <c r="J15" s="57">
        <f t="shared" si="0"/>
        <v>4.263907077720909E-2</v>
      </c>
      <c r="K15" s="57">
        <f t="shared" si="1"/>
        <v>3.0287877518345004E-2</v>
      </c>
      <c r="L15" s="57">
        <f t="shared" si="2"/>
        <v>3.0936865179333591E-2</v>
      </c>
    </row>
    <row r="16" spans="1:17" x14ac:dyDescent="0.25">
      <c r="B16" s="103" t="s">
        <v>31</v>
      </c>
      <c r="C16" s="177">
        <v>23122</v>
      </c>
      <c r="D16" s="72">
        <v>3237.0800000000004</v>
      </c>
      <c r="E16" s="71">
        <v>924.88</v>
      </c>
      <c r="F16" s="166">
        <v>693.66000000000008</v>
      </c>
      <c r="G16" s="74">
        <f t="shared" si="3"/>
        <v>140.00000000000003</v>
      </c>
      <c r="H16" s="74">
        <f t="shared" si="4"/>
        <v>40</v>
      </c>
      <c r="I16" s="74">
        <f t="shared" si="5"/>
        <v>30.000000000000004</v>
      </c>
      <c r="J16" s="75">
        <f t="shared" si="0"/>
        <v>3.1594821083838195E-2</v>
      </c>
      <c r="K16" s="75">
        <f t="shared" si="1"/>
        <v>3.3664197662797345E-2</v>
      </c>
      <c r="L16" s="75">
        <f t="shared" si="2"/>
        <v>2.5789148079960269E-2</v>
      </c>
    </row>
    <row r="17" spans="2:12" x14ac:dyDescent="0.25">
      <c r="B17" s="89" t="s">
        <v>32</v>
      </c>
      <c r="C17" s="176">
        <v>81973</v>
      </c>
      <c r="D17" s="54">
        <v>3278.9199999999996</v>
      </c>
      <c r="E17" s="53">
        <v>2459.19</v>
      </c>
      <c r="F17" s="164">
        <v>1639.4599999999998</v>
      </c>
      <c r="G17" s="56">
        <f t="shared" si="3"/>
        <v>39.999999999999993</v>
      </c>
      <c r="H17" s="56">
        <f t="shared" si="4"/>
        <v>30</v>
      </c>
      <c r="I17" s="56">
        <f t="shared" si="5"/>
        <v>19.999999999999996</v>
      </c>
      <c r="J17" s="57">
        <f t="shared" si="0"/>
        <v>3.2003191378717454E-2</v>
      </c>
      <c r="K17" s="57">
        <f t="shared" si="1"/>
        <v>8.9510702199609257E-2</v>
      </c>
      <c r="L17" s="57">
        <f t="shared" si="2"/>
        <v>6.0952450352004806E-2</v>
      </c>
    </row>
    <row r="18" spans="2:12" x14ac:dyDescent="0.25">
      <c r="B18" s="103" t="s">
        <v>33</v>
      </c>
      <c r="C18" s="177">
        <v>1799</v>
      </c>
      <c r="D18" s="72">
        <v>0</v>
      </c>
      <c r="E18" s="71">
        <v>35.979999999999997</v>
      </c>
      <c r="F18" s="166">
        <v>35.979999999999997</v>
      </c>
      <c r="G18" s="74">
        <f t="shared" si="3"/>
        <v>0</v>
      </c>
      <c r="H18" s="74">
        <f t="shared" si="4"/>
        <v>20</v>
      </c>
      <c r="I18" s="74">
        <f t="shared" si="5"/>
        <v>20</v>
      </c>
      <c r="J18" s="75">
        <f t="shared" si="0"/>
        <v>0</v>
      </c>
      <c r="K18" s="75">
        <f t="shared" si="1"/>
        <v>1.3096162009206041E-3</v>
      </c>
      <c r="L18" s="75">
        <f t="shared" si="2"/>
        <v>1.3376777497865961E-3</v>
      </c>
    </row>
    <row r="19" spans="2:12" x14ac:dyDescent="0.25">
      <c r="B19" s="89" t="s">
        <v>26</v>
      </c>
      <c r="C19" s="176">
        <v>10310</v>
      </c>
      <c r="D19" s="54">
        <v>1340.3</v>
      </c>
      <c r="E19" s="53">
        <v>824.8</v>
      </c>
      <c r="F19" s="164">
        <v>824.8</v>
      </c>
      <c r="G19" s="56">
        <f t="shared" si="3"/>
        <v>130</v>
      </c>
      <c r="H19" s="56">
        <f t="shared" si="4"/>
        <v>80</v>
      </c>
      <c r="I19" s="56">
        <f t="shared" si="5"/>
        <v>80</v>
      </c>
      <c r="J19" s="57">
        <f t="shared" si="0"/>
        <v>1.3081709039834766E-2</v>
      </c>
      <c r="K19" s="57">
        <f t="shared" si="1"/>
        <v>3.0021440870464548E-2</v>
      </c>
      <c r="L19" s="57">
        <f t="shared" si="2"/>
        <v>3.0664719511505963E-2</v>
      </c>
    </row>
    <row r="20" spans="2:12" x14ac:dyDescent="0.25">
      <c r="B20" s="103" t="s">
        <v>34</v>
      </c>
      <c r="C20" s="177">
        <v>21900</v>
      </c>
      <c r="D20" s="72">
        <v>2847</v>
      </c>
      <c r="E20" s="71">
        <v>1752</v>
      </c>
      <c r="F20" s="166">
        <v>1752</v>
      </c>
      <c r="G20" s="74">
        <f t="shared" si="3"/>
        <v>130</v>
      </c>
      <c r="H20" s="74">
        <f t="shared" si="4"/>
        <v>80</v>
      </c>
      <c r="I20" s="74">
        <f t="shared" si="5"/>
        <v>80</v>
      </c>
      <c r="J20" s="75">
        <f t="shared" si="0"/>
        <v>2.7787529386263957E-2</v>
      </c>
      <c r="K20" s="75">
        <f t="shared" si="1"/>
        <v>6.3770082935322367E-2</v>
      </c>
      <c r="L20" s="75">
        <f t="shared" si="2"/>
        <v>6.5136504103004908E-2</v>
      </c>
    </row>
    <row r="21" spans="2:12" x14ac:dyDescent="0.25">
      <c r="B21" s="89" t="s">
        <v>9</v>
      </c>
      <c r="C21" s="176">
        <v>7769</v>
      </c>
      <c r="D21" s="54">
        <v>310.76</v>
      </c>
      <c r="E21" s="53">
        <v>388.45000000000005</v>
      </c>
      <c r="F21" s="164">
        <v>466.14</v>
      </c>
      <c r="G21" s="56">
        <f t="shared" si="3"/>
        <v>40</v>
      </c>
      <c r="H21" s="56">
        <f t="shared" si="4"/>
        <v>50.000000000000007</v>
      </c>
      <c r="I21" s="56">
        <f t="shared" si="5"/>
        <v>60</v>
      </c>
      <c r="J21" s="57">
        <f t="shared" si="0"/>
        <v>3.0331059473394403E-3</v>
      </c>
      <c r="K21" s="57">
        <f t="shared" si="1"/>
        <v>1.4138977577754553E-2</v>
      </c>
      <c r="L21" s="57">
        <f t="shared" si="2"/>
        <v>1.733032535535086E-2</v>
      </c>
    </row>
    <row r="22" spans="2:12" x14ac:dyDescent="0.25">
      <c r="B22" s="103" t="s">
        <v>35</v>
      </c>
      <c r="C22" s="177">
        <v>5196</v>
      </c>
      <c r="D22" s="72">
        <v>207.84</v>
      </c>
      <c r="E22" s="71">
        <v>207.84</v>
      </c>
      <c r="F22" s="166">
        <v>155.88</v>
      </c>
      <c r="G22" s="74">
        <f t="shared" si="3"/>
        <v>40</v>
      </c>
      <c r="H22" s="74">
        <f t="shared" si="4"/>
        <v>40</v>
      </c>
      <c r="I22" s="74">
        <f t="shared" si="5"/>
        <v>30</v>
      </c>
      <c r="J22" s="75">
        <f t="shared" si="0"/>
        <v>2.0285774877559187E-3</v>
      </c>
      <c r="K22" s="75">
        <f t="shared" si="1"/>
        <v>7.5650536742450916E-3</v>
      </c>
      <c r="L22" s="75">
        <f t="shared" si="2"/>
        <v>5.7953643034111902E-3</v>
      </c>
    </row>
    <row r="23" spans="2:12" x14ac:dyDescent="0.25">
      <c r="B23" s="89" t="s">
        <v>36</v>
      </c>
      <c r="C23" s="176">
        <v>0</v>
      </c>
      <c r="D23" s="54">
        <v>0</v>
      </c>
      <c r="E23" s="53">
        <v>0</v>
      </c>
      <c r="F23" s="164">
        <v>0</v>
      </c>
      <c r="G23" s="56" t="str">
        <f t="shared" si="3"/>
        <v>-</v>
      </c>
      <c r="H23" s="56" t="str">
        <f t="shared" si="4"/>
        <v>-</v>
      </c>
      <c r="I23" s="56" t="str">
        <f t="shared" si="5"/>
        <v>-</v>
      </c>
      <c r="J23" s="57">
        <f t="shared" si="0"/>
        <v>0</v>
      </c>
      <c r="K23" s="57">
        <f t="shared" si="1"/>
        <v>0</v>
      </c>
      <c r="L23" s="57">
        <f t="shared" si="2"/>
        <v>0</v>
      </c>
    </row>
    <row r="24" spans="2:12" x14ac:dyDescent="0.25">
      <c r="B24" s="103" t="s">
        <v>37</v>
      </c>
      <c r="C24" s="177">
        <v>31000</v>
      </c>
      <c r="D24" s="72">
        <v>2480</v>
      </c>
      <c r="E24" s="71">
        <v>620</v>
      </c>
      <c r="F24" s="166">
        <v>930</v>
      </c>
      <c r="G24" s="74">
        <f t="shared" si="3"/>
        <v>80</v>
      </c>
      <c r="H24" s="74">
        <f t="shared" si="4"/>
        <v>20</v>
      </c>
      <c r="I24" s="74">
        <f t="shared" si="5"/>
        <v>30</v>
      </c>
      <c r="J24" s="75">
        <f t="shared" si="0"/>
        <v>2.4205505050205342E-2</v>
      </c>
      <c r="K24" s="75">
        <f t="shared" si="1"/>
        <v>2.2567038481678008E-2</v>
      </c>
      <c r="L24" s="75">
        <f t="shared" si="2"/>
        <v>3.4575884027280006E-2</v>
      </c>
    </row>
    <row r="25" spans="2:12" x14ac:dyDescent="0.25">
      <c r="B25" s="89" t="s">
        <v>38</v>
      </c>
      <c r="C25" s="176">
        <v>0</v>
      </c>
      <c r="D25" s="54">
        <v>0</v>
      </c>
      <c r="E25" s="53">
        <v>0</v>
      </c>
      <c r="F25" s="164">
        <v>0</v>
      </c>
      <c r="G25" s="56" t="str">
        <f t="shared" si="3"/>
        <v>-</v>
      </c>
      <c r="H25" s="56" t="str">
        <f t="shared" si="4"/>
        <v>-</v>
      </c>
      <c r="I25" s="56" t="str">
        <f t="shared" si="5"/>
        <v>-</v>
      </c>
      <c r="J25" s="57">
        <f t="shared" si="0"/>
        <v>0</v>
      </c>
      <c r="K25" s="57">
        <f t="shared" si="1"/>
        <v>0</v>
      </c>
      <c r="L25" s="57">
        <f t="shared" si="2"/>
        <v>0</v>
      </c>
    </row>
    <row r="26" spans="2:12" x14ac:dyDescent="0.25">
      <c r="B26" s="103" t="s">
        <v>39</v>
      </c>
      <c r="C26" s="177">
        <v>0</v>
      </c>
      <c r="D26" s="72">
        <v>0</v>
      </c>
      <c r="E26" s="71">
        <v>0</v>
      </c>
      <c r="F26" s="166">
        <v>0</v>
      </c>
      <c r="G26" s="74" t="str">
        <f t="shared" si="3"/>
        <v>-</v>
      </c>
      <c r="H26" s="74" t="str">
        <f t="shared" si="4"/>
        <v>-</v>
      </c>
      <c r="I26" s="74" t="str">
        <f t="shared" si="5"/>
        <v>-</v>
      </c>
      <c r="J26" s="75">
        <f t="shared" si="0"/>
        <v>0</v>
      </c>
      <c r="K26" s="75">
        <f t="shared" si="1"/>
        <v>0</v>
      </c>
      <c r="L26" s="75">
        <f t="shared" si="2"/>
        <v>0</v>
      </c>
    </row>
    <row r="27" spans="2:12" x14ac:dyDescent="0.25">
      <c r="B27" s="89" t="s">
        <v>40</v>
      </c>
      <c r="C27" s="176">
        <v>0</v>
      </c>
      <c r="D27" s="54">
        <v>0</v>
      </c>
      <c r="E27" s="53">
        <v>0</v>
      </c>
      <c r="F27" s="164">
        <v>0</v>
      </c>
      <c r="G27" s="56" t="str">
        <f t="shared" si="3"/>
        <v>-</v>
      </c>
      <c r="H27" s="56" t="str">
        <f t="shared" si="4"/>
        <v>-</v>
      </c>
      <c r="I27" s="56" t="str">
        <f t="shared" si="5"/>
        <v>-</v>
      </c>
      <c r="J27" s="57">
        <f t="shared" si="0"/>
        <v>0</v>
      </c>
      <c r="K27" s="57">
        <f t="shared" si="1"/>
        <v>0</v>
      </c>
      <c r="L27" s="57">
        <f t="shared" si="2"/>
        <v>0</v>
      </c>
    </row>
    <row r="28" spans="2:12" x14ac:dyDescent="0.25">
      <c r="B28" s="103" t="s">
        <v>41</v>
      </c>
      <c r="C28" s="177">
        <v>0</v>
      </c>
      <c r="D28" s="72">
        <v>0</v>
      </c>
      <c r="E28" s="71">
        <v>0</v>
      </c>
      <c r="F28" s="166">
        <v>0</v>
      </c>
      <c r="G28" s="74" t="str">
        <f t="shared" si="3"/>
        <v>-</v>
      </c>
      <c r="H28" s="74" t="str">
        <f t="shared" si="4"/>
        <v>-</v>
      </c>
      <c r="I28" s="74" t="str">
        <f t="shared" si="5"/>
        <v>-</v>
      </c>
      <c r="J28" s="75">
        <f t="shared" si="0"/>
        <v>0</v>
      </c>
      <c r="K28" s="75">
        <f t="shared" si="1"/>
        <v>0</v>
      </c>
      <c r="L28" s="75">
        <f t="shared" si="2"/>
        <v>0</v>
      </c>
    </row>
    <row r="29" spans="2:12" x14ac:dyDescent="0.25">
      <c r="B29" s="89" t="s">
        <v>42</v>
      </c>
      <c r="C29" s="176">
        <v>76000</v>
      </c>
      <c r="D29" s="54">
        <v>3040</v>
      </c>
      <c r="E29" s="53">
        <v>2280</v>
      </c>
      <c r="F29" s="164">
        <v>2280</v>
      </c>
      <c r="G29" s="56">
        <f t="shared" si="3"/>
        <v>40</v>
      </c>
      <c r="H29" s="56">
        <f t="shared" si="4"/>
        <v>30</v>
      </c>
      <c r="I29" s="56">
        <f t="shared" si="5"/>
        <v>30</v>
      </c>
      <c r="J29" s="57">
        <f t="shared" si="0"/>
        <v>2.967126425509042E-2</v>
      </c>
      <c r="K29" s="57">
        <f t="shared" si="1"/>
        <v>8.2988464093912667E-2</v>
      </c>
      <c r="L29" s="57">
        <f t="shared" si="2"/>
        <v>8.4766683421718725E-2</v>
      </c>
    </row>
    <row r="30" spans="2:12" x14ac:dyDescent="0.25">
      <c r="B30" s="103" t="s">
        <v>10</v>
      </c>
      <c r="C30" s="177">
        <v>273000</v>
      </c>
      <c r="D30" s="72">
        <v>19110</v>
      </c>
      <c r="E30" s="71">
        <v>6825</v>
      </c>
      <c r="F30" s="166">
        <v>8189.9999999999991</v>
      </c>
      <c r="G30" s="74">
        <f t="shared" si="3"/>
        <v>70</v>
      </c>
      <c r="H30" s="74">
        <f t="shared" si="4"/>
        <v>25</v>
      </c>
      <c r="I30" s="74">
        <f t="shared" si="5"/>
        <v>29.999999999999996</v>
      </c>
      <c r="J30" s="75">
        <f t="shared" si="0"/>
        <v>0.18651903286670327</v>
      </c>
      <c r="K30" s="75">
        <f t="shared" si="1"/>
        <v>0.24841941554427804</v>
      </c>
      <c r="L30" s="75">
        <f t="shared" si="2"/>
        <v>0.30449084965959483</v>
      </c>
    </row>
    <row r="31" spans="2:12" x14ac:dyDescent="0.25">
      <c r="B31" s="89" t="s">
        <v>43</v>
      </c>
      <c r="C31" s="176">
        <v>0</v>
      </c>
      <c r="D31" s="54">
        <v>0</v>
      </c>
      <c r="E31" s="53">
        <v>0</v>
      </c>
      <c r="F31" s="164">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1028541</v>
      </c>
      <c r="D33" s="63">
        <f>SUM(D11:D31)</f>
        <v>102456.03199999999</v>
      </c>
      <c r="E33" s="62">
        <f t="shared" ref="E33:F33" si="7">SUM(E11:E31)</f>
        <v>27473.697999999997</v>
      </c>
      <c r="F33" s="102">
        <f t="shared" si="7"/>
        <v>26897.359999999997</v>
      </c>
      <c r="G33" s="94"/>
      <c r="H33" s="94"/>
      <c r="I33" s="94"/>
      <c r="J33" s="95">
        <f t="shared" ref="J33:L33" si="8">SUM(J11:J31)</f>
        <v>0.99999999999999978</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278</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108F8864-9A94-4C93-87EF-7E90BA80D747}"/>
  </hyperlinks>
  <pageMargins left="0.70866141732283472" right="0.70866141732283472" top="0.74803149606299213" bottom="0.74803149606299213" header="0.31496062992125984" footer="0.31496062992125984"/>
  <pageSetup paperSize="9" scale="52"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3BE47-BFBB-4B4E-9CF1-1AAFBE2CB0C7}">
  <sheetPr codeName="Feuil59">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272</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5000</v>
      </c>
      <c r="D11" s="53">
        <v>275</v>
      </c>
      <c r="E11" s="53">
        <v>100</v>
      </c>
      <c r="F11" s="91">
        <v>60</v>
      </c>
      <c r="G11" s="56">
        <f>IFERROR(D11*1000/C11,"-")</f>
        <v>55</v>
      </c>
      <c r="H11" s="56">
        <f>IFERROR(E11*1000/C11,"-")</f>
        <v>20</v>
      </c>
      <c r="I11" s="56">
        <f>IFERROR(F11*1000/C11,"-")</f>
        <v>12</v>
      </c>
      <c r="J11" s="57">
        <f t="shared" ref="J11:J30" si="0">D11/$D$33</f>
        <v>6.6185318892900122E-2</v>
      </c>
      <c r="K11" s="57">
        <f t="shared" ref="K11:K31" si="1">E11/$E$33</f>
        <v>5.4525627044711013E-2</v>
      </c>
      <c r="L11" s="57">
        <f t="shared" ref="L11:L31" si="2">F11/$F$33</f>
        <v>3.6385688295936934E-2</v>
      </c>
    </row>
    <row r="12" spans="1:17" x14ac:dyDescent="0.25">
      <c r="B12" s="103" t="s">
        <v>27</v>
      </c>
      <c r="C12" s="71">
        <v>28000</v>
      </c>
      <c r="D12" s="71">
        <v>1400</v>
      </c>
      <c r="E12" s="71">
        <v>560</v>
      </c>
      <c r="F12" s="104">
        <v>336</v>
      </c>
      <c r="G12" s="74">
        <f t="shared" ref="G12:G31" si="3">IFERROR(D12*1000/C12,"-")</f>
        <v>50</v>
      </c>
      <c r="H12" s="74">
        <f t="shared" ref="H12:H31" si="4">IFERROR(E12*1000/C12,"-")</f>
        <v>20</v>
      </c>
      <c r="I12" s="74">
        <f t="shared" ref="I12:I31" si="5">IFERROR(F12*1000/C12,"-")</f>
        <v>12</v>
      </c>
      <c r="J12" s="75">
        <f t="shared" si="0"/>
        <v>0.33694344163658241</v>
      </c>
      <c r="K12" s="75">
        <f t="shared" si="1"/>
        <v>0.30534351145038169</v>
      </c>
      <c r="L12" s="75">
        <f t="shared" si="2"/>
        <v>0.20375985445724681</v>
      </c>
    </row>
    <row r="13" spans="1:17" x14ac:dyDescent="0.25">
      <c r="B13" s="89" t="s">
        <v>28</v>
      </c>
      <c r="C13" s="53">
        <v>2000</v>
      </c>
      <c r="D13" s="53">
        <v>90</v>
      </c>
      <c r="E13" s="53">
        <v>30</v>
      </c>
      <c r="F13" s="91">
        <v>20</v>
      </c>
      <c r="G13" s="56">
        <f t="shared" si="3"/>
        <v>45</v>
      </c>
      <c r="H13" s="56">
        <f t="shared" si="4"/>
        <v>15</v>
      </c>
      <c r="I13" s="56">
        <f t="shared" si="5"/>
        <v>10</v>
      </c>
      <c r="J13" s="57">
        <f t="shared" si="0"/>
        <v>2.1660649819494584E-2</v>
      </c>
      <c r="K13" s="57">
        <f t="shared" si="1"/>
        <v>1.6357688113413305E-2</v>
      </c>
      <c r="L13" s="57">
        <f t="shared" si="2"/>
        <v>1.2128562765312311E-2</v>
      </c>
    </row>
    <row r="14" spans="1:17" x14ac:dyDescent="0.25">
      <c r="B14" s="103" t="s">
        <v>29</v>
      </c>
      <c r="C14" s="71"/>
      <c r="D14" s="71">
        <v>0</v>
      </c>
      <c r="E14" s="71">
        <v>0</v>
      </c>
      <c r="F14" s="104">
        <v>0</v>
      </c>
      <c r="G14" s="74" t="str">
        <f t="shared" si="3"/>
        <v>-</v>
      </c>
      <c r="H14" s="74" t="str">
        <f t="shared" si="4"/>
        <v>-</v>
      </c>
      <c r="I14" s="74" t="str">
        <f t="shared" si="5"/>
        <v>-</v>
      </c>
      <c r="J14" s="75">
        <f t="shared" si="0"/>
        <v>0</v>
      </c>
      <c r="K14" s="75">
        <f t="shared" si="1"/>
        <v>0</v>
      </c>
      <c r="L14" s="75">
        <f t="shared" si="2"/>
        <v>0</v>
      </c>
    </row>
    <row r="15" spans="1:17" x14ac:dyDescent="0.25">
      <c r="B15" s="89" t="s">
        <v>30</v>
      </c>
      <c r="C15" s="53"/>
      <c r="D15" s="53">
        <v>0</v>
      </c>
      <c r="E15" s="53">
        <v>0</v>
      </c>
      <c r="F15" s="91">
        <v>0</v>
      </c>
      <c r="G15" s="56" t="str">
        <f t="shared" si="3"/>
        <v>-</v>
      </c>
      <c r="H15" s="56" t="str">
        <f t="shared" si="4"/>
        <v>-</v>
      </c>
      <c r="I15" s="56" t="str">
        <f t="shared" si="5"/>
        <v>-</v>
      </c>
      <c r="J15" s="57">
        <f t="shared" si="0"/>
        <v>0</v>
      </c>
      <c r="K15" s="57">
        <f t="shared" si="1"/>
        <v>0</v>
      </c>
      <c r="L15" s="57">
        <f t="shared" si="2"/>
        <v>0</v>
      </c>
    </row>
    <row r="16" spans="1:17" x14ac:dyDescent="0.25">
      <c r="B16" s="103" t="s">
        <v>31</v>
      </c>
      <c r="C16" s="71"/>
      <c r="D16" s="71">
        <v>0</v>
      </c>
      <c r="E16" s="71">
        <v>0</v>
      </c>
      <c r="F16" s="104">
        <v>0</v>
      </c>
      <c r="G16" s="74" t="str">
        <f t="shared" si="3"/>
        <v>-</v>
      </c>
      <c r="H16" s="74" t="str">
        <f t="shared" si="4"/>
        <v>-</v>
      </c>
      <c r="I16" s="74" t="str">
        <f t="shared" si="5"/>
        <v>-</v>
      </c>
      <c r="J16" s="75">
        <f t="shared" si="0"/>
        <v>0</v>
      </c>
      <c r="K16" s="75">
        <f t="shared" si="1"/>
        <v>0</v>
      </c>
      <c r="L16" s="75">
        <f t="shared" si="2"/>
        <v>0</v>
      </c>
    </row>
    <row r="17" spans="2:12" x14ac:dyDescent="0.25">
      <c r="B17" s="89" t="s">
        <v>32</v>
      </c>
      <c r="C17" s="53"/>
      <c r="D17" s="53">
        <v>0</v>
      </c>
      <c r="E17" s="53">
        <v>0</v>
      </c>
      <c r="F17" s="91">
        <v>0</v>
      </c>
      <c r="G17" s="56" t="str">
        <f t="shared" si="3"/>
        <v>-</v>
      </c>
      <c r="H17" s="56" t="str">
        <f t="shared" si="4"/>
        <v>-</v>
      </c>
      <c r="I17" s="56" t="str">
        <f t="shared" si="5"/>
        <v>-</v>
      </c>
      <c r="J17" s="57">
        <f t="shared" si="0"/>
        <v>0</v>
      </c>
      <c r="K17" s="57">
        <f t="shared" si="1"/>
        <v>0</v>
      </c>
      <c r="L17" s="57">
        <f t="shared" si="2"/>
        <v>0</v>
      </c>
    </row>
    <row r="18" spans="2:12" x14ac:dyDescent="0.25">
      <c r="B18" s="103" t="s">
        <v>33</v>
      </c>
      <c r="C18" s="71">
        <v>1000</v>
      </c>
      <c r="D18" s="71">
        <v>20</v>
      </c>
      <c r="E18" s="71">
        <v>15</v>
      </c>
      <c r="F18" s="104">
        <v>5</v>
      </c>
      <c r="G18" s="74">
        <f t="shared" si="3"/>
        <v>20</v>
      </c>
      <c r="H18" s="74">
        <f t="shared" si="4"/>
        <v>15</v>
      </c>
      <c r="I18" s="74">
        <f t="shared" si="5"/>
        <v>5</v>
      </c>
      <c r="J18" s="75">
        <f t="shared" si="0"/>
        <v>4.8134777376654635E-3</v>
      </c>
      <c r="K18" s="75">
        <f t="shared" si="1"/>
        <v>8.1788440567066526E-3</v>
      </c>
      <c r="L18" s="75">
        <f t="shared" si="2"/>
        <v>3.0321406913280777E-3</v>
      </c>
    </row>
    <row r="19" spans="2:12" x14ac:dyDescent="0.25">
      <c r="B19" s="89" t="s">
        <v>26</v>
      </c>
      <c r="C19" s="53">
        <v>5000</v>
      </c>
      <c r="D19" s="53">
        <v>300</v>
      </c>
      <c r="E19" s="53">
        <v>150</v>
      </c>
      <c r="F19" s="91">
        <v>60</v>
      </c>
      <c r="G19" s="56">
        <f t="shared" si="3"/>
        <v>60</v>
      </c>
      <c r="H19" s="56">
        <f t="shared" si="4"/>
        <v>30</v>
      </c>
      <c r="I19" s="56">
        <f t="shared" si="5"/>
        <v>12</v>
      </c>
      <c r="J19" s="57">
        <f t="shared" si="0"/>
        <v>7.2202166064981949E-2</v>
      </c>
      <c r="K19" s="57">
        <f t="shared" si="1"/>
        <v>8.1788440567066523E-2</v>
      </c>
      <c r="L19" s="57">
        <f t="shared" si="2"/>
        <v>3.6385688295936934E-2</v>
      </c>
    </row>
    <row r="20" spans="2:12" x14ac:dyDescent="0.25">
      <c r="B20" s="103" t="s">
        <v>34</v>
      </c>
      <c r="C20" s="71"/>
      <c r="D20" s="71">
        <v>0</v>
      </c>
      <c r="E20" s="71">
        <v>0</v>
      </c>
      <c r="F20" s="104">
        <v>0</v>
      </c>
      <c r="G20" s="74" t="str">
        <f t="shared" si="3"/>
        <v>-</v>
      </c>
      <c r="H20" s="74" t="str">
        <f t="shared" si="4"/>
        <v>-</v>
      </c>
      <c r="I20" s="74" t="str">
        <f t="shared" si="5"/>
        <v>-</v>
      </c>
      <c r="J20" s="75">
        <f t="shared" si="0"/>
        <v>0</v>
      </c>
      <c r="K20" s="75">
        <f t="shared" si="1"/>
        <v>0</v>
      </c>
      <c r="L20" s="75">
        <f t="shared" si="2"/>
        <v>0</v>
      </c>
    </row>
    <row r="21" spans="2:12" x14ac:dyDescent="0.25">
      <c r="B21" s="89" t="s">
        <v>9</v>
      </c>
      <c r="C21" s="53">
        <v>3000</v>
      </c>
      <c r="D21" s="53">
        <v>180</v>
      </c>
      <c r="E21" s="53">
        <v>105</v>
      </c>
      <c r="F21" s="91">
        <v>90</v>
      </c>
      <c r="G21" s="56">
        <f t="shared" si="3"/>
        <v>60</v>
      </c>
      <c r="H21" s="56">
        <f t="shared" si="4"/>
        <v>35</v>
      </c>
      <c r="I21" s="56">
        <f t="shared" si="5"/>
        <v>30</v>
      </c>
      <c r="J21" s="57">
        <f t="shared" si="0"/>
        <v>4.3321299638989168E-2</v>
      </c>
      <c r="K21" s="57">
        <f t="shared" si="1"/>
        <v>5.7251908396946563E-2</v>
      </c>
      <c r="L21" s="57">
        <f t="shared" si="2"/>
        <v>5.4578532443905398E-2</v>
      </c>
    </row>
    <row r="22" spans="2:12" x14ac:dyDescent="0.25">
      <c r="B22" s="103" t="s">
        <v>35</v>
      </c>
      <c r="C22" s="71"/>
      <c r="D22" s="71">
        <v>0</v>
      </c>
      <c r="E22" s="71">
        <v>0</v>
      </c>
      <c r="F22" s="104">
        <v>0</v>
      </c>
      <c r="G22" s="74" t="str">
        <f t="shared" si="3"/>
        <v>-</v>
      </c>
      <c r="H22" s="74" t="str">
        <f t="shared" si="4"/>
        <v>-</v>
      </c>
      <c r="I22" s="74" t="str">
        <f t="shared" si="5"/>
        <v>-</v>
      </c>
      <c r="J22" s="75">
        <f t="shared" si="0"/>
        <v>0</v>
      </c>
      <c r="K22" s="75">
        <f t="shared" si="1"/>
        <v>0</v>
      </c>
      <c r="L22" s="75">
        <f t="shared" si="2"/>
        <v>0</v>
      </c>
    </row>
    <row r="23" spans="2:12" x14ac:dyDescent="0.25">
      <c r="B23" s="89" t="s">
        <v>36</v>
      </c>
      <c r="C23" s="53"/>
      <c r="D23" s="53">
        <v>0</v>
      </c>
      <c r="E23" s="53">
        <v>0</v>
      </c>
      <c r="F23" s="91">
        <v>0</v>
      </c>
      <c r="G23" s="56" t="str">
        <f t="shared" si="3"/>
        <v>-</v>
      </c>
      <c r="H23" s="56" t="str">
        <f t="shared" si="4"/>
        <v>-</v>
      </c>
      <c r="I23" s="56" t="str">
        <f t="shared" si="5"/>
        <v>-</v>
      </c>
      <c r="J23" s="57">
        <f t="shared" si="0"/>
        <v>0</v>
      </c>
      <c r="K23" s="57">
        <f t="shared" si="1"/>
        <v>0</v>
      </c>
      <c r="L23" s="57">
        <f t="shared" si="2"/>
        <v>0</v>
      </c>
    </row>
    <row r="24" spans="2:12" x14ac:dyDescent="0.25">
      <c r="B24" s="103" t="s">
        <v>37</v>
      </c>
      <c r="C24" s="71">
        <v>23000</v>
      </c>
      <c r="D24" s="71">
        <v>920</v>
      </c>
      <c r="E24" s="71">
        <v>230</v>
      </c>
      <c r="F24" s="104">
        <v>115</v>
      </c>
      <c r="G24" s="74">
        <f t="shared" si="3"/>
        <v>40</v>
      </c>
      <c r="H24" s="74">
        <f t="shared" si="4"/>
        <v>10</v>
      </c>
      <c r="I24" s="74">
        <f t="shared" si="5"/>
        <v>5</v>
      </c>
      <c r="J24" s="75">
        <f t="shared" si="0"/>
        <v>0.22141997593261131</v>
      </c>
      <c r="K24" s="75">
        <f t="shared" si="1"/>
        <v>0.12540894220283533</v>
      </c>
      <c r="L24" s="75">
        <f t="shared" si="2"/>
        <v>6.9739235900545787E-2</v>
      </c>
    </row>
    <row r="25" spans="2:12" x14ac:dyDescent="0.25">
      <c r="B25" s="89" t="s">
        <v>38</v>
      </c>
      <c r="C25" s="53"/>
      <c r="D25" s="53">
        <v>0</v>
      </c>
      <c r="E25" s="53">
        <v>0</v>
      </c>
      <c r="F25" s="91">
        <v>0</v>
      </c>
      <c r="G25" s="56" t="str">
        <f t="shared" si="3"/>
        <v>-</v>
      </c>
      <c r="H25" s="56" t="str">
        <f t="shared" si="4"/>
        <v>-</v>
      </c>
      <c r="I25" s="56" t="str">
        <f t="shared" si="5"/>
        <v>-</v>
      </c>
      <c r="J25" s="57">
        <f t="shared" si="0"/>
        <v>0</v>
      </c>
      <c r="K25" s="57">
        <f t="shared" si="1"/>
        <v>0</v>
      </c>
      <c r="L25" s="57">
        <f t="shared" si="2"/>
        <v>0</v>
      </c>
    </row>
    <row r="26" spans="2:12" x14ac:dyDescent="0.25">
      <c r="B26" s="103" t="s">
        <v>39</v>
      </c>
      <c r="C26" s="71"/>
      <c r="D26" s="71">
        <v>0</v>
      </c>
      <c r="E26" s="71">
        <v>0</v>
      </c>
      <c r="F26" s="104">
        <v>0</v>
      </c>
      <c r="G26" s="74" t="str">
        <f t="shared" si="3"/>
        <v>-</v>
      </c>
      <c r="H26" s="74" t="str">
        <f t="shared" si="4"/>
        <v>-</v>
      </c>
      <c r="I26" s="74" t="str">
        <f t="shared" si="5"/>
        <v>-</v>
      </c>
      <c r="J26" s="75">
        <f t="shared" si="0"/>
        <v>0</v>
      </c>
      <c r="K26" s="75">
        <f t="shared" si="1"/>
        <v>0</v>
      </c>
      <c r="L26" s="75">
        <f t="shared" si="2"/>
        <v>0</v>
      </c>
    </row>
    <row r="27" spans="2:12" x14ac:dyDescent="0.25">
      <c r="B27" s="89" t="s">
        <v>40</v>
      </c>
      <c r="C27" s="53"/>
      <c r="D27" s="53">
        <v>0</v>
      </c>
      <c r="E27" s="53">
        <v>0</v>
      </c>
      <c r="F27" s="91">
        <v>0</v>
      </c>
      <c r="G27" s="56" t="str">
        <f t="shared" si="3"/>
        <v>-</v>
      </c>
      <c r="H27" s="56" t="str">
        <f t="shared" si="4"/>
        <v>-</v>
      </c>
      <c r="I27" s="56" t="str">
        <f t="shared" si="5"/>
        <v>-</v>
      </c>
      <c r="J27" s="57">
        <f t="shared" si="0"/>
        <v>0</v>
      </c>
      <c r="K27" s="57">
        <f t="shared" si="1"/>
        <v>0</v>
      </c>
      <c r="L27" s="57">
        <f t="shared" si="2"/>
        <v>0</v>
      </c>
    </row>
    <row r="28" spans="2:12" x14ac:dyDescent="0.25">
      <c r="B28" s="103" t="s">
        <v>41</v>
      </c>
      <c r="C28" s="71"/>
      <c r="D28" s="71">
        <v>0</v>
      </c>
      <c r="E28" s="71">
        <v>0</v>
      </c>
      <c r="F28" s="104">
        <v>0</v>
      </c>
      <c r="G28" s="74" t="str">
        <f t="shared" si="3"/>
        <v>-</v>
      </c>
      <c r="H28" s="74" t="str">
        <f t="shared" si="4"/>
        <v>-</v>
      </c>
      <c r="I28" s="74" t="str">
        <f t="shared" si="5"/>
        <v>-</v>
      </c>
      <c r="J28" s="75">
        <f t="shared" si="0"/>
        <v>0</v>
      </c>
      <c r="K28" s="75">
        <f t="shared" si="1"/>
        <v>0</v>
      </c>
      <c r="L28" s="75">
        <f t="shared" si="2"/>
        <v>0</v>
      </c>
    </row>
    <row r="29" spans="2:12" x14ac:dyDescent="0.25">
      <c r="B29" s="89" t="s">
        <v>42</v>
      </c>
      <c r="C29" s="53">
        <v>32000</v>
      </c>
      <c r="D29" s="53">
        <v>960</v>
      </c>
      <c r="E29" s="53">
        <v>640</v>
      </c>
      <c r="F29" s="91">
        <v>960</v>
      </c>
      <c r="G29" s="56">
        <f t="shared" si="3"/>
        <v>30</v>
      </c>
      <c r="H29" s="56">
        <f t="shared" si="4"/>
        <v>20</v>
      </c>
      <c r="I29" s="56">
        <f t="shared" si="5"/>
        <v>30</v>
      </c>
      <c r="J29" s="57">
        <f t="shared" si="0"/>
        <v>0.23104693140794225</v>
      </c>
      <c r="K29" s="57">
        <f t="shared" si="1"/>
        <v>0.34896401308615049</v>
      </c>
      <c r="L29" s="57">
        <f t="shared" si="2"/>
        <v>0.58217101273499094</v>
      </c>
    </row>
    <row r="30" spans="2:12" x14ac:dyDescent="0.25">
      <c r="B30" s="103" t="s">
        <v>10</v>
      </c>
      <c r="C30" s="71">
        <v>1000</v>
      </c>
      <c r="D30" s="71">
        <v>10</v>
      </c>
      <c r="E30" s="71">
        <v>4</v>
      </c>
      <c r="F30" s="104">
        <v>3</v>
      </c>
      <c r="G30" s="74">
        <f t="shared" si="3"/>
        <v>10</v>
      </c>
      <c r="H30" s="74">
        <f t="shared" si="4"/>
        <v>4</v>
      </c>
      <c r="I30" s="74">
        <f t="shared" si="5"/>
        <v>3</v>
      </c>
      <c r="J30" s="75">
        <f t="shared" si="0"/>
        <v>2.4067388688327317E-3</v>
      </c>
      <c r="K30" s="75">
        <f t="shared" si="1"/>
        <v>2.1810250817884407E-3</v>
      </c>
      <c r="L30" s="75">
        <f t="shared" si="2"/>
        <v>1.8192844147968466E-3</v>
      </c>
    </row>
    <row r="31" spans="2:12" x14ac:dyDescent="0.25">
      <c r="B31" s="89" t="s">
        <v>43</v>
      </c>
      <c r="C31" s="53"/>
      <c r="D31" s="53">
        <v>0</v>
      </c>
      <c r="E31" s="53">
        <v>0</v>
      </c>
      <c r="F31" s="91">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100000</v>
      </c>
      <c r="D33" s="63">
        <f>SUM(D11:D31)</f>
        <v>4155</v>
      </c>
      <c r="E33" s="62">
        <f t="shared" ref="E33:F33" si="7">SUM(E11:E31)</f>
        <v>1834</v>
      </c>
      <c r="F33" s="102">
        <f t="shared" si="7"/>
        <v>1649</v>
      </c>
      <c r="G33" s="94"/>
      <c r="H33" s="94"/>
      <c r="I33" s="94"/>
      <c r="J33" s="95">
        <f t="shared" ref="J33:L33" si="8">SUM(J11:J31)</f>
        <v>0.99999999999999978</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273</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C56A0275-9B3E-4E68-81D1-09942FD03B39}"/>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B1708-14F3-4BF8-9855-796642134EBA}">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435</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8"/>
      <c r="D10" s="98"/>
      <c r="E10" s="98"/>
      <c r="F10" s="97"/>
      <c r="G10" s="98"/>
      <c r="H10" s="98"/>
      <c r="I10" s="98"/>
      <c r="J10" s="98"/>
      <c r="K10" s="98"/>
      <c r="L10" s="98"/>
    </row>
    <row r="11" spans="1:17" x14ac:dyDescent="0.25">
      <c r="B11" s="89" t="s">
        <v>3</v>
      </c>
      <c r="C11" s="53">
        <v>832000</v>
      </c>
      <c r="D11" s="53">
        <v>137280</v>
      </c>
      <c r="E11" s="53">
        <v>18304</v>
      </c>
      <c r="F11" s="164">
        <v>8320</v>
      </c>
      <c r="G11" s="56">
        <f>IFERROR(D11*1000/C11,"-")</f>
        <v>165</v>
      </c>
      <c r="H11" s="56">
        <f>IFERROR(E11*1000/C11,"-")</f>
        <v>22</v>
      </c>
      <c r="I11" s="56">
        <f>IFERROR(F11*1000/C11,"-")</f>
        <v>10</v>
      </c>
      <c r="J11" s="57">
        <f t="shared" ref="J11:J30" si="0">D11/$D$33</f>
        <v>0.3867173846366378</v>
      </c>
      <c r="K11" s="57">
        <f t="shared" ref="K11:K31" si="1">E11/$E$33</f>
        <v>0.34792926109986821</v>
      </c>
      <c r="L11" s="57">
        <f t="shared" ref="L11:L31" si="2">F11/$F$33</f>
        <v>0.24756512852349599</v>
      </c>
    </row>
    <row r="12" spans="1:17" x14ac:dyDescent="0.25">
      <c r="B12" s="103" t="s">
        <v>27</v>
      </c>
      <c r="C12" s="71">
        <v>327700</v>
      </c>
      <c r="D12" s="71">
        <v>31131.5</v>
      </c>
      <c r="E12" s="71">
        <v>6554</v>
      </c>
      <c r="F12" s="166">
        <v>2949.3</v>
      </c>
      <c r="G12" s="74">
        <f t="shared" ref="G12:G31" si="3">IFERROR(D12*1000/C12,"-")</f>
        <v>95</v>
      </c>
      <c r="H12" s="74">
        <f t="shared" ref="H12:H31" si="4">IFERROR(E12*1000/C12,"-")</f>
        <v>20</v>
      </c>
      <c r="I12" s="74">
        <f t="shared" ref="I12:I31" si="5">IFERROR(F12*1000/C12,"-")</f>
        <v>9</v>
      </c>
      <c r="J12" s="75">
        <f t="shared" si="0"/>
        <v>8.7697350377443833E-2</v>
      </c>
      <c r="K12" s="75">
        <f t="shared" si="1"/>
        <v>0.1245808772535258</v>
      </c>
      <c r="L12" s="75">
        <f t="shared" si="2"/>
        <v>8.7757672302205145E-2</v>
      </c>
    </row>
    <row r="13" spans="1:17" x14ac:dyDescent="0.25">
      <c r="B13" s="89" t="s">
        <v>28</v>
      </c>
      <c r="C13" s="53">
        <v>102550</v>
      </c>
      <c r="D13" s="53">
        <v>8716.75</v>
      </c>
      <c r="E13" s="53">
        <v>512.75</v>
      </c>
      <c r="F13" s="164">
        <v>512.75</v>
      </c>
      <c r="G13" s="56">
        <f t="shared" si="3"/>
        <v>85</v>
      </c>
      <c r="H13" s="56">
        <f t="shared" si="4"/>
        <v>5</v>
      </c>
      <c r="I13" s="56">
        <f t="shared" si="5"/>
        <v>5</v>
      </c>
      <c r="J13" s="57">
        <f t="shared" si="0"/>
        <v>2.4555060915875674E-2</v>
      </c>
      <c r="K13" s="57">
        <f t="shared" si="1"/>
        <v>9.7465433035925173E-3</v>
      </c>
      <c r="L13" s="57">
        <f t="shared" si="2"/>
        <v>1.5257093707983482E-2</v>
      </c>
    </row>
    <row r="14" spans="1:17" x14ac:dyDescent="0.25">
      <c r="B14" s="103" t="s">
        <v>29</v>
      </c>
      <c r="C14" s="71">
        <v>86000</v>
      </c>
      <c r="D14" s="71">
        <v>13760</v>
      </c>
      <c r="E14" s="71">
        <v>1720</v>
      </c>
      <c r="F14" s="166">
        <v>1290</v>
      </c>
      <c r="G14" s="74">
        <f t="shared" si="3"/>
        <v>160</v>
      </c>
      <c r="H14" s="74">
        <f t="shared" si="4"/>
        <v>20</v>
      </c>
      <c r="I14" s="74">
        <f t="shared" si="5"/>
        <v>15</v>
      </c>
      <c r="J14" s="75">
        <f t="shared" si="0"/>
        <v>3.8761882376166491E-2</v>
      </c>
      <c r="K14" s="75">
        <f t="shared" si="1"/>
        <v>3.269440172048587E-2</v>
      </c>
      <c r="L14" s="75">
        <f t="shared" si="2"/>
        <v>3.8384497090782434E-2</v>
      </c>
    </row>
    <row r="15" spans="1:17" x14ac:dyDescent="0.25">
      <c r="B15" s="89" t="s">
        <v>30</v>
      </c>
      <c r="C15" s="53">
        <v>6480</v>
      </c>
      <c r="D15" s="53">
        <v>64.8</v>
      </c>
      <c r="E15" s="53">
        <v>6.4799999999999995</v>
      </c>
      <c r="F15" s="164">
        <v>6.4799999999999995</v>
      </c>
      <c r="G15" s="56">
        <f t="shared" si="3"/>
        <v>10</v>
      </c>
      <c r="H15" s="56">
        <f t="shared" si="4"/>
        <v>0.99999999999999989</v>
      </c>
      <c r="I15" s="56">
        <f t="shared" si="5"/>
        <v>0.99999999999999989</v>
      </c>
      <c r="J15" s="57">
        <f t="shared" si="0"/>
        <v>1.8254142281799336E-4</v>
      </c>
      <c r="K15" s="57">
        <f t="shared" si="1"/>
        <v>1.2317425764462117E-4</v>
      </c>
      <c r="L15" s="57">
        <f t="shared" si="2"/>
        <v>1.9281514817695358E-4</v>
      </c>
    </row>
    <row r="16" spans="1:17" x14ac:dyDescent="0.25">
      <c r="B16" s="103" t="s">
        <v>31</v>
      </c>
      <c r="C16" s="71">
        <v>394000</v>
      </c>
      <c r="D16" s="71">
        <v>70920</v>
      </c>
      <c r="E16" s="71">
        <v>11820</v>
      </c>
      <c r="F16" s="166">
        <v>5910</v>
      </c>
      <c r="G16" s="74">
        <f t="shared" si="3"/>
        <v>180</v>
      </c>
      <c r="H16" s="74">
        <f t="shared" si="4"/>
        <v>30</v>
      </c>
      <c r="I16" s="74">
        <f t="shared" si="5"/>
        <v>15</v>
      </c>
      <c r="J16" s="75">
        <f t="shared" si="0"/>
        <v>0.19978144608413717</v>
      </c>
      <c r="K16" s="75">
        <f t="shared" si="1"/>
        <v>0.22467896996287381</v>
      </c>
      <c r="L16" s="75">
        <f t="shared" si="2"/>
        <v>0.17585455643916603</v>
      </c>
    </row>
    <row r="17" spans="2:12" x14ac:dyDescent="0.25">
      <c r="B17" s="89" t="s">
        <v>32</v>
      </c>
      <c r="C17" s="53">
        <v>38600</v>
      </c>
      <c r="D17" s="53">
        <v>3474</v>
      </c>
      <c r="E17" s="53">
        <v>579</v>
      </c>
      <c r="F17" s="164">
        <v>772</v>
      </c>
      <c r="G17" s="56">
        <f t="shared" si="3"/>
        <v>90</v>
      </c>
      <c r="H17" s="56">
        <f t="shared" si="4"/>
        <v>15</v>
      </c>
      <c r="I17" s="56">
        <f t="shared" si="5"/>
        <v>20</v>
      </c>
      <c r="J17" s="57">
        <f t="shared" si="0"/>
        <v>9.7862485010757547E-3</v>
      </c>
      <c r="K17" s="57">
        <f t="shared" si="1"/>
        <v>1.1005848021024021E-2</v>
      </c>
      <c r="L17" s="57">
        <f t="shared" si="2"/>
        <v>2.2971187406266694E-2</v>
      </c>
    </row>
    <row r="18" spans="2:12" x14ac:dyDescent="0.25">
      <c r="B18" s="103" t="s">
        <v>33</v>
      </c>
      <c r="C18" s="71">
        <v>42857</v>
      </c>
      <c r="D18" s="71">
        <v>1285.7099999999998</v>
      </c>
      <c r="E18" s="71">
        <v>214.285</v>
      </c>
      <c r="F18" s="166">
        <v>171.428</v>
      </c>
      <c r="G18" s="74">
        <f t="shared" si="3"/>
        <v>29.999999999999993</v>
      </c>
      <c r="H18" s="74">
        <f t="shared" si="4"/>
        <v>5</v>
      </c>
      <c r="I18" s="74">
        <f t="shared" si="5"/>
        <v>4</v>
      </c>
      <c r="J18" s="75">
        <f t="shared" si="0"/>
        <v>3.621841554495713E-3</v>
      </c>
      <c r="K18" s="75">
        <f t="shared" si="1"/>
        <v>4.0732092282990198E-3</v>
      </c>
      <c r="L18" s="75">
        <f t="shared" si="2"/>
        <v>5.1009128428516669E-3</v>
      </c>
    </row>
    <row r="19" spans="2:12" x14ac:dyDescent="0.25">
      <c r="B19" s="89" t="s">
        <v>26</v>
      </c>
      <c r="C19" s="53">
        <v>23400</v>
      </c>
      <c r="D19" s="53">
        <v>3042</v>
      </c>
      <c r="E19" s="53">
        <v>585</v>
      </c>
      <c r="F19" s="164">
        <v>819</v>
      </c>
      <c r="G19" s="56">
        <f t="shared" si="3"/>
        <v>130</v>
      </c>
      <c r="H19" s="56">
        <f t="shared" si="4"/>
        <v>25</v>
      </c>
      <c r="I19" s="56">
        <f t="shared" si="5"/>
        <v>35</v>
      </c>
      <c r="J19" s="57">
        <f t="shared" si="0"/>
        <v>8.5693056822891325E-3</v>
      </c>
      <c r="K19" s="57">
        <f t="shared" si="1"/>
        <v>1.1119898259583856E-2</v>
      </c>
      <c r="L19" s="57">
        <f t="shared" si="2"/>
        <v>2.4369692339031638E-2</v>
      </c>
    </row>
    <row r="20" spans="2:12" x14ac:dyDescent="0.25">
      <c r="B20" s="103" t="s">
        <v>34</v>
      </c>
      <c r="C20" s="71">
        <v>66100</v>
      </c>
      <c r="D20" s="71">
        <v>9915</v>
      </c>
      <c r="E20" s="71">
        <v>1983</v>
      </c>
      <c r="F20" s="166">
        <v>2313.5</v>
      </c>
      <c r="G20" s="74">
        <f t="shared" si="3"/>
        <v>150</v>
      </c>
      <c r="H20" s="74">
        <f t="shared" si="4"/>
        <v>30</v>
      </c>
      <c r="I20" s="74">
        <f t="shared" si="5"/>
        <v>35</v>
      </c>
      <c r="J20" s="75">
        <f t="shared" si="0"/>
        <v>2.7930527889512412E-2</v>
      </c>
      <c r="K20" s="75">
        <f t="shared" si="1"/>
        <v>3.7693603844025279E-2</v>
      </c>
      <c r="L20" s="75">
        <f t="shared" si="2"/>
        <v>6.8839173658546637E-2</v>
      </c>
    </row>
    <row r="21" spans="2:12" x14ac:dyDescent="0.25">
      <c r="B21" s="89" t="s">
        <v>9</v>
      </c>
      <c r="C21" s="53">
        <v>14248</v>
      </c>
      <c r="D21" s="53">
        <v>2422.16</v>
      </c>
      <c r="E21" s="53">
        <v>854.88</v>
      </c>
      <c r="F21" s="164">
        <v>997.36</v>
      </c>
      <c r="G21" s="56">
        <f t="shared" si="3"/>
        <v>170</v>
      </c>
      <c r="H21" s="56">
        <f t="shared" si="4"/>
        <v>60</v>
      </c>
      <c r="I21" s="56">
        <f t="shared" si="5"/>
        <v>70</v>
      </c>
      <c r="J21" s="57">
        <f t="shared" si="0"/>
        <v>6.823218097111586E-3</v>
      </c>
      <c r="K21" s="57">
        <f t="shared" si="1"/>
        <v>1.6249877990005209E-2</v>
      </c>
      <c r="L21" s="57">
        <f t="shared" si="2"/>
        <v>2.9676869781754083E-2</v>
      </c>
    </row>
    <row r="22" spans="2:12" x14ac:dyDescent="0.25">
      <c r="B22" s="103" t="s">
        <v>35</v>
      </c>
      <c r="C22" s="71">
        <v>44400</v>
      </c>
      <c r="D22" s="71">
        <v>3108</v>
      </c>
      <c r="E22" s="71">
        <v>222</v>
      </c>
      <c r="F22" s="166">
        <v>444</v>
      </c>
      <c r="G22" s="74">
        <f t="shared" si="3"/>
        <v>70</v>
      </c>
      <c r="H22" s="74">
        <f t="shared" si="4"/>
        <v>5</v>
      </c>
      <c r="I22" s="74">
        <f t="shared" si="5"/>
        <v>10</v>
      </c>
      <c r="J22" s="75">
        <f t="shared" si="0"/>
        <v>8.7552275018259774E-3</v>
      </c>
      <c r="K22" s="75">
        <f t="shared" si="1"/>
        <v>4.2198588267138735E-3</v>
      </c>
      <c r="L22" s="75">
        <f t="shared" si="2"/>
        <v>1.3211408301013488E-2</v>
      </c>
    </row>
    <row r="23" spans="2:12" x14ac:dyDescent="0.25">
      <c r="B23" s="89" t="s">
        <v>36</v>
      </c>
      <c r="C23" s="53">
        <v>125000</v>
      </c>
      <c r="D23" s="53">
        <v>2500</v>
      </c>
      <c r="E23" s="53">
        <v>0</v>
      </c>
      <c r="F23" s="164">
        <v>125</v>
      </c>
      <c r="G23" s="56">
        <f t="shared" si="3"/>
        <v>20</v>
      </c>
      <c r="H23" s="56">
        <f t="shared" si="4"/>
        <v>0</v>
      </c>
      <c r="I23" s="56">
        <f t="shared" si="5"/>
        <v>1</v>
      </c>
      <c r="J23" s="57">
        <f t="shared" si="0"/>
        <v>7.0424931642744356E-3</v>
      </c>
      <c r="K23" s="57">
        <f t="shared" si="1"/>
        <v>0</v>
      </c>
      <c r="L23" s="57">
        <f t="shared" si="2"/>
        <v>3.7194280126727161E-3</v>
      </c>
    </row>
    <row r="24" spans="2:12" x14ac:dyDescent="0.25">
      <c r="B24" s="103" t="s">
        <v>37</v>
      </c>
      <c r="C24" s="71">
        <v>275000</v>
      </c>
      <c r="D24" s="71">
        <v>13750</v>
      </c>
      <c r="E24" s="71">
        <v>0</v>
      </c>
      <c r="F24" s="166">
        <v>275</v>
      </c>
      <c r="G24" s="74">
        <f t="shared" si="3"/>
        <v>50</v>
      </c>
      <c r="H24" s="74">
        <f t="shared" si="4"/>
        <v>0</v>
      </c>
      <c r="I24" s="74">
        <f t="shared" si="5"/>
        <v>1</v>
      </c>
      <c r="J24" s="75">
        <f t="shared" si="0"/>
        <v>3.8733712403509396E-2</v>
      </c>
      <c r="K24" s="75">
        <f t="shared" si="1"/>
        <v>0</v>
      </c>
      <c r="L24" s="75">
        <f t="shared" si="2"/>
        <v>8.1827416278799758E-3</v>
      </c>
    </row>
    <row r="25" spans="2:12" x14ac:dyDescent="0.25">
      <c r="B25" s="89" t="s">
        <v>38</v>
      </c>
      <c r="C25" s="53">
        <v>224100</v>
      </c>
      <c r="D25" s="53">
        <v>40338</v>
      </c>
      <c r="E25" s="53">
        <v>6723</v>
      </c>
      <c r="F25" s="164">
        <v>3361.5</v>
      </c>
      <c r="G25" s="56">
        <f t="shared" si="3"/>
        <v>180</v>
      </c>
      <c r="H25" s="56">
        <f t="shared" si="4"/>
        <v>30</v>
      </c>
      <c r="I25" s="56">
        <f t="shared" si="5"/>
        <v>15</v>
      </c>
      <c r="J25" s="57">
        <f t="shared" si="0"/>
        <v>0.11363203570420087</v>
      </c>
      <c r="K25" s="57">
        <f t="shared" si="1"/>
        <v>0.12779329230629446</v>
      </c>
      <c r="L25" s="57">
        <f t="shared" si="2"/>
        <v>0.10002285811679468</v>
      </c>
    </row>
    <row r="26" spans="2:12" x14ac:dyDescent="0.25">
      <c r="B26" s="103" t="s">
        <v>39</v>
      </c>
      <c r="C26" s="71">
        <v>0</v>
      </c>
      <c r="D26" s="71">
        <v>0</v>
      </c>
      <c r="E26" s="71">
        <v>0</v>
      </c>
      <c r="F26" s="166">
        <v>0</v>
      </c>
      <c r="G26" s="74" t="str">
        <f t="shared" si="3"/>
        <v>-</v>
      </c>
      <c r="H26" s="74" t="str">
        <f t="shared" si="4"/>
        <v>-</v>
      </c>
      <c r="I26" s="74" t="str">
        <f t="shared" si="5"/>
        <v>-</v>
      </c>
      <c r="J26" s="75">
        <f t="shared" si="0"/>
        <v>0</v>
      </c>
      <c r="K26" s="75">
        <f t="shared" si="1"/>
        <v>0</v>
      </c>
      <c r="L26" s="75">
        <f t="shared" si="2"/>
        <v>0</v>
      </c>
    </row>
    <row r="27" spans="2:12" x14ac:dyDescent="0.25">
      <c r="B27" s="89" t="s">
        <v>40</v>
      </c>
      <c r="C27" s="53">
        <v>0</v>
      </c>
      <c r="D27" s="53">
        <v>0</v>
      </c>
      <c r="E27" s="53">
        <v>0</v>
      </c>
      <c r="F27" s="164">
        <v>0</v>
      </c>
      <c r="G27" s="56" t="str">
        <f t="shared" si="3"/>
        <v>-</v>
      </c>
      <c r="H27" s="56" t="str">
        <f t="shared" si="4"/>
        <v>-</v>
      </c>
      <c r="I27" s="56" t="str">
        <f t="shared" si="5"/>
        <v>-</v>
      </c>
      <c r="J27" s="57">
        <f t="shared" si="0"/>
        <v>0</v>
      </c>
      <c r="K27" s="57">
        <f t="shared" si="1"/>
        <v>0</v>
      </c>
      <c r="L27" s="57">
        <f t="shared" si="2"/>
        <v>0</v>
      </c>
    </row>
    <row r="28" spans="2:12" x14ac:dyDescent="0.25">
      <c r="B28" s="103" t="s">
        <v>41</v>
      </c>
      <c r="C28" s="71">
        <v>0</v>
      </c>
      <c r="D28" s="71">
        <v>0</v>
      </c>
      <c r="E28" s="71">
        <v>0</v>
      </c>
      <c r="F28" s="166">
        <v>0</v>
      </c>
      <c r="G28" s="74" t="str">
        <f t="shared" si="3"/>
        <v>-</v>
      </c>
      <c r="H28" s="74" t="str">
        <f t="shared" si="4"/>
        <v>-</v>
      </c>
      <c r="I28" s="74" t="str">
        <f t="shared" si="5"/>
        <v>-</v>
      </c>
      <c r="J28" s="75">
        <f t="shared" si="0"/>
        <v>0</v>
      </c>
      <c r="K28" s="75">
        <f t="shared" si="1"/>
        <v>0</v>
      </c>
      <c r="L28" s="75">
        <f t="shared" si="2"/>
        <v>0</v>
      </c>
    </row>
    <row r="29" spans="2:12" x14ac:dyDescent="0.25">
      <c r="B29" s="89" t="s">
        <v>42</v>
      </c>
      <c r="C29" s="53">
        <v>76000</v>
      </c>
      <c r="D29" s="53">
        <v>5780</v>
      </c>
      <c r="E29" s="53">
        <v>2230</v>
      </c>
      <c r="F29" s="164">
        <v>4890</v>
      </c>
      <c r="G29" s="56">
        <f t="shared" si="3"/>
        <v>76.05263157894737</v>
      </c>
      <c r="H29" s="56">
        <f t="shared" si="4"/>
        <v>29.342105263157894</v>
      </c>
      <c r="I29" s="56">
        <f t="shared" si="5"/>
        <v>64.34210526315789</v>
      </c>
      <c r="J29" s="57">
        <f t="shared" si="0"/>
        <v>1.6282244195802494E-2</v>
      </c>
      <c r="K29" s="57">
        <f t="shared" si="1"/>
        <v>4.2388671998071795E-2</v>
      </c>
      <c r="L29" s="57">
        <f t="shared" si="2"/>
        <v>0.14550402385575667</v>
      </c>
    </row>
    <row r="30" spans="2:12" x14ac:dyDescent="0.25">
      <c r="B30" s="103" t="s">
        <v>10</v>
      </c>
      <c r="C30" s="71">
        <v>950000</v>
      </c>
      <c r="D30" s="71">
        <v>7500</v>
      </c>
      <c r="E30" s="71">
        <v>300</v>
      </c>
      <c r="F30" s="166">
        <v>450</v>
      </c>
      <c r="G30" s="74">
        <f t="shared" si="3"/>
        <v>7.8947368421052628</v>
      </c>
      <c r="H30" s="74">
        <f t="shared" si="4"/>
        <v>0.31578947368421051</v>
      </c>
      <c r="I30" s="74">
        <f t="shared" si="5"/>
        <v>0.47368421052631576</v>
      </c>
      <c r="J30" s="75">
        <f t="shared" si="0"/>
        <v>2.1127479492823308E-2</v>
      </c>
      <c r="K30" s="75">
        <f t="shared" si="1"/>
        <v>5.7025119279917212E-3</v>
      </c>
      <c r="L30" s="75">
        <f t="shared" si="2"/>
        <v>1.3389940845621779E-2</v>
      </c>
    </row>
    <row r="31" spans="2:12" x14ac:dyDescent="0.25">
      <c r="B31" s="89" t="s">
        <v>43</v>
      </c>
      <c r="C31" s="53">
        <v>0</v>
      </c>
      <c r="D31" s="53">
        <v>0</v>
      </c>
      <c r="E31" s="53">
        <v>0</v>
      </c>
      <c r="F31" s="164">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168"/>
      <c r="D32" s="168"/>
      <c r="E32" s="168"/>
      <c r="F32" s="186"/>
      <c r="G32" s="100"/>
      <c r="H32" s="84"/>
      <c r="I32" s="101"/>
      <c r="J32" s="85"/>
      <c r="K32" s="85"/>
      <c r="L32" s="85"/>
    </row>
    <row r="33" spans="1:17" s="12" customFormat="1" ht="24.95" customHeight="1" thickTop="1" thickBot="1" x14ac:dyDescent="0.3">
      <c r="A33" s="13"/>
      <c r="B33" s="90" t="s">
        <v>13</v>
      </c>
      <c r="C33" s="63">
        <f t="shared" ref="C33" si="6">SUM(C11:C31)</f>
        <v>3628435</v>
      </c>
      <c r="D33" s="63">
        <f>SUM(D11:D31)</f>
        <v>354987.92</v>
      </c>
      <c r="E33" s="62">
        <f t="shared" ref="E33:F33" si="7">SUM(E11:E31)</f>
        <v>52608.394999999997</v>
      </c>
      <c r="F33" s="102">
        <f t="shared" si="7"/>
        <v>33607.317999999999</v>
      </c>
      <c r="G33" s="94"/>
      <c r="H33" s="94"/>
      <c r="I33" s="94"/>
      <c r="J33" s="95">
        <f t="shared" ref="J33:L33" si="8">SUM(J11:J31)</f>
        <v>1.0000000000000002</v>
      </c>
      <c r="K33" s="64">
        <f t="shared" si="8"/>
        <v>1</v>
      </c>
      <c r="L33" s="65">
        <f t="shared" si="8"/>
        <v>1.0000000000000002</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274</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9A88BEFC-9FDB-4560-9453-38C5185CB97E}"/>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7327-13E9-4FFE-9779-2785EBB32D4D}">
  <sheetPr codeName="Feuil61">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254</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426000</v>
      </c>
      <c r="D11" s="53">
        <v>56232</v>
      </c>
      <c r="E11" s="53">
        <v>6816</v>
      </c>
      <c r="F11" s="164">
        <v>14058</v>
      </c>
      <c r="G11" s="56">
        <f>IFERROR(D11*1000/C11,"-")</f>
        <v>132</v>
      </c>
      <c r="H11" s="56">
        <f>IFERROR(E11*1000/C11,"-")</f>
        <v>16</v>
      </c>
      <c r="I11" s="56">
        <f>IFERROR(F11*1000/C11,"-")</f>
        <v>33</v>
      </c>
      <c r="J11" s="57">
        <f t="shared" ref="J11:J30" si="0">D11/$D$33</f>
        <v>0.25018797912430646</v>
      </c>
      <c r="K11" s="57">
        <f t="shared" ref="K11:K31" si="1">E11/$E$33</f>
        <v>0.20906692840930005</v>
      </c>
      <c r="L11" s="57">
        <f t="shared" ref="L11:L31" si="2">F11/$F$33</f>
        <v>0.21686077902043965</v>
      </c>
    </row>
    <row r="12" spans="1:17" x14ac:dyDescent="0.25">
      <c r="B12" s="103" t="s">
        <v>27</v>
      </c>
      <c r="C12" s="71">
        <v>796000</v>
      </c>
      <c r="D12" s="71">
        <v>63680</v>
      </c>
      <c r="E12" s="71">
        <v>12736</v>
      </c>
      <c r="F12" s="166">
        <v>19900</v>
      </c>
      <c r="G12" s="74">
        <f t="shared" ref="G12:G31" si="3">IFERROR(D12*1000/C12,"-")</f>
        <v>80</v>
      </c>
      <c r="H12" s="74">
        <f t="shared" ref="H12:H31" si="4">IFERROR(E12*1000/C12,"-")</f>
        <v>16</v>
      </c>
      <c r="I12" s="74">
        <f t="shared" ref="I12:I31" si="5">IFERROR(F12*1000/C12,"-")</f>
        <v>25</v>
      </c>
      <c r="J12" s="75">
        <f t="shared" si="0"/>
        <v>0.28332569552275993</v>
      </c>
      <c r="K12" s="75">
        <f t="shared" si="1"/>
        <v>0.39065088031409118</v>
      </c>
      <c r="L12" s="75">
        <f t="shared" si="2"/>
        <v>0.30698033166216737</v>
      </c>
    </row>
    <row r="13" spans="1:17" x14ac:dyDescent="0.25">
      <c r="B13" s="89" t="s">
        <v>28</v>
      </c>
      <c r="C13" s="53">
        <v>195000</v>
      </c>
      <c r="D13" s="53">
        <v>13650</v>
      </c>
      <c r="E13" s="53">
        <v>2340</v>
      </c>
      <c r="F13" s="164">
        <v>4680</v>
      </c>
      <c r="G13" s="56">
        <f t="shared" si="3"/>
        <v>70</v>
      </c>
      <c r="H13" s="56">
        <f t="shared" si="4"/>
        <v>12</v>
      </c>
      <c r="I13" s="56">
        <f t="shared" si="5"/>
        <v>24</v>
      </c>
      <c r="J13" s="57">
        <f t="shared" si="0"/>
        <v>6.07317170836318E-2</v>
      </c>
      <c r="K13" s="57">
        <f t="shared" si="1"/>
        <v>7.1774737746150549E-2</v>
      </c>
      <c r="L13" s="57">
        <f t="shared" si="2"/>
        <v>7.2194369456228313E-2</v>
      </c>
    </row>
    <row r="14" spans="1:17" x14ac:dyDescent="0.25">
      <c r="B14" s="103" t="s">
        <v>29</v>
      </c>
      <c r="C14" s="71">
        <v>8000</v>
      </c>
      <c r="D14" s="71">
        <v>320</v>
      </c>
      <c r="E14" s="71">
        <v>72</v>
      </c>
      <c r="F14" s="166">
        <v>176</v>
      </c>
      <c r="G14" s="74">
        <f t="shared" si="3"/>
        <v>40</v>
      </c>
      <c r="H14" s="74">
        <f t="shared" si="4"/>
        <v>9</v>
      </c>
      <c r="I14" s="74">
        <f t="shared" si="5"/>
        <v>22</v>
      </c>
      <c r="J14" s="75">
        <f t="shared" si="0"/>
        <v>1.4237472136822108E-3</v>
      </c>
      <c r="K14" s="75">
        <f t="shared" si="1"/>
        <v>2.2084534691123245E-3</v>
      </c>
      <c r="L14" s="75">
        <f t="shared" si="2"/>
        <v>2.7150019282684151E-3</v>
      </c>
    </row>
    <row r="15" spans="1:17" x14ac:dyDescent="0.25">
      <c r="B15" s="89" t="s">
        <v>30</v>
      </c>
      <c r="C15" s="53">
        <v>0</v>
      </c>
      <c r="D15" s="53">
        <v>0</v>
      </c>
      <c r="E15" s="53">
        <v>0</v>
      </c>
      <c r="F15" s="164">
        <v>0</v>
      </c>
      <c r="G15" s="56" t="str">
        <f t="shared" si="3"/>
        <v>-</v>
      </c>
      <c r="H15" s="56" t="str">
        <f t="shared" si="4"/>
        <v>-</v>
      </c>
      <c r="I15" s="56" t="str">
        <f t="shared" si="5"/>
        <v>-</v>
      </c>
      <c r="J15" s="57">
        <f t="shared" si="0"/>
        <v>0</v>
      </c>
      <c r="K15" s="57">
        <f t="shared" si="1"/>
        <v>0</v>
      </c>
      <c r="L15" s="57">
        <f t="shared" si="2"/>
        <v>0</v>
      </c>
    </row>
    <row r="16" spans="1:17" x14ac:dyDescent="0.25">
      <c r="B16" s="103" t="s">
        <v>31</v>
      </c>
      <c r="C16" s="71">
        <v>143000</v>
      </c>
      <c r="D16" s="71">
        <v>17875</v>
      </c>
      <c r="E16" s="71">
        <v>1716</v>
      </c>
      <c r="F16" s="166">
        <v>3575</v>
      </c>
      <c r="G16" s="74">
        <f t="shared" si="3"/>
        <v>125</v>
      </c>
      <c r="H16" s="74">
        <f t="shared" si="4"/>
        <v>12</v>
      </c>
      <c r="I16" s="74">
        <f t="shared" si="5"/>
        <v>25</v>
      </c>
      <c r="J16" s="75">
        <f t="shared" si="0"/>
        <v>7.9529629514279734E-2</v>
      </c>
      <c r="K16" s="75">
        <f t="shared" si="1"/>
        <v>5.2634807680510397E-2</v>
      </c>
      <c r="L16" s="75">
        <f t="shared" si="2"/>
        <v>5.5148476667952182E-2</v>
      </c>
    </row>
    <row r="17" spans="2:12" x14ac:dyDescent="0.25">
      <c r="B17" s="89" t="s">
        <v>32</v>
      </c>
      <c r="C17" s="53">
        <v>0</v>
      </c>
      <c r="D17" s="53">
        <v>0</v>
      </c>
      <c r="E17" s="53">
        <v>0</v>
      </c>
      <c r="F17" s="164">
        <v>0</v>
      </c>
      <c r="G17" s="56" t="str">
        <f t="shared" si="3"/>
        <v>-</v>
      </c>
      <c r="H17" s="56" t="str">
        <f t="shared" si="4"/>
        <v>-</v>
      </c>
      <c r="I17" s="56" t="str">
        <f t="shared" si="5"/>
        <v>-</v>
      </c>
      <c r="J17" s="57">
        <f t="shared" si="0"/>
        <v>0</v>
      </c>
      <c r="K17" s="57">
        <f t="shared" si="1"/>
        <v>0</v>
      </c>
      <c r="L17" s="57">
        <f t="shared" si="2"/>
        <v>0</v>
      </c>
    </row>
    <row r="18" spans="2:12" x14ac:dyDescent="0.25">
      <c r="B18" s="103" t="s">
        <v>33</v>
      </c>
      <c r="C18" s="71">
        <v>32000</v>
      </c>
      <c r="D18" s="71">
        <v>0</v>
      </c>
      <c r="E18" s="71">
        <v>448</v>
      </c>
      <c r="F18" s="166">
        <v>768</v>
      </c>
      <c r="G18" s="74">
        <f t="shared" si="3"/>
        <v>0</v>
      </c>
      <c r="H18" s="74">
        <f t="shared" si="4"/>
        <v>14</v>
      </c>
      <c r="I18" s="74">
        <f t="shared" si="5"/>
        <v>24</v>
      </c>
      <c r="J18" s="75">
        <f t="shared" si="0"/>
        <v>0</v>
      </c>
      <c r="K18" s="75">
        <f t="shared" si="1"/>
        <v>1.3741488252254463E-2</v>
      </c>
      <c r="L18" s="75">
        <f t="shared" si="2"/>
        <v>1.1847281141534901E-2</v>
      </c>
    </row>
    <row r="19" spans="2:12" x14ac:dyDescent="0.25">
      <c r="B19" s="89" t="s">
        <v>26</v>
      </c>
      <c r="C19" s="53">
        <v>52000</v>
      </c>
      <c r="D19" s="53">
        <v>7124</v>
      </c>
      <c r="E19" s="53">
        <v>1092</v>
      </c>
      <c r="F19" s="164">
        <v>3536</v>
      </c>
      <c r="G19" s="56">
        <f t="shared" si="3"/>
        <v>137</v>
      </c>
      <c r="H19" s="56">
        <f t="shared" si="4"/>
        <v>21</v>
      </c>
      <c r="I19" s="56">
        <f t="shared" si="5"/>
        <v>68</v>
      </c>
      <c r="J19" s="57">
        <f t="shared" si="0"/>
        <v>3.1696172344600218E-2</v>
      </c>
      <c r="K19" s="57">
        <f t="shared" si="1"/>
        <v>3.3494877614870251E-2</v>
      </c>
      <c r="L19" s="57">
        <f t="shared" si="2"/>
        <v>5.4546856922483608E-2</v>
      </c>
    </row>
    <row r="20" spans="2:12" x14ac:dyDescent="0.25">
      <c r="B20" s="103" t="s">
        <v>34</v>
      </c>
      <c r="C20" s="71">
        <v>34000</v>
      </c>
      <c r="D20" s="71">
        <v>3570</v>
      </c>
      <c r="E20" s="71">
        <v>782</v>
      </c>
      <c r="F20" s="166">
        <v>1700</v>
      </c>
      <c r="G20" s="74">
        <f t="shared" si="3"/>
        <v>105</v>
      </c>
      <c r="H20" s="74">
        <f t="shared" si="4"/>
        <v>23</v>
      </c>
      <c r="I20" s="74">
        <f t="shared" si="5"/>
        <v>50</v>
      </c>
      <c r="J20" s="75">
        <f t="shared" si="0"/>
        <v>1.5883679852642163E-2</v>
      </c>
      <c r="K20" s="75">
        <f t="shared" si="1"/>
        <v>2.3986258511747745E-2</v>
      </c>
      <c r="L20" s="75">
        <f t="shared" si="2"/>
        <v>2.6224450443501735E-2</v>
      </c>
    </row>
    <row r="21" spans="2:12" x14ac:dyDescent="0.25">
      <c r="B21" s="89" t="s">
        <v>9</v>
      </c>
      <c r="C21" s="53">
        <v>19000</v>
      </c>
      <c r="D21" s="53">
        <v>3268</v>
      </c>
      <c r="E21" s="53">
        <v>741</v>
      </c>
      <c r="F21" s="164">
        <v>950</v>
      </c>
      <c r="G21" s="56">
        <f t="shared" si="3"/>
        <v>172</v>
      </c>
      <c r="H21" s="56">
        <f t="shared" si="4"/>
        <v>39</v>
      </c>
      <c r="I21" s="56">
        <f t="shared" si="5"/>
        <v>50</v>
      </c>
      <c r="J21" s="57">
        <f t="shared" si="0"/>
        <v>1.4540018419729578E-2</v>
      </c>
      <c r="K21" s="57">
        <f t="shared" si="1"/>
        <v>2.272866695294767E-2</v>
      </c>
      <c r="L21" s="57">
        <f t="shared" si="2"/>
        <v>1.4654839953721558E-2</v>
      </c>
    </row>
    <row r="22" spans="2:12" x14ac:dyDescent="0.25">
      <c r="B22" s="103" t="s">
        <v>35</v>
      </c>
      <c r="C22" s="71">
        <v>102000</v>
      </c>
      <c r="D22" s="71">
        <v>10710</v>
      </c>
      <c r="E22" s="71">
        <v>1938</v>
      </c>
      <c r="F22" s="166">
        <v>1938</v>
      </c>
      <c r="G22" s="74">
        <f t="shared" si="3"/>
        <v>105</v>
      </c>
      <c r="H22" s="74">
        <f t="shared" si="4"/>
        <v>19</v>
      </c>
      <c r="I22" s="74">
        <f t="shared" si="5"/>
        <v>19</v>
      </c>
      <c r="J22" s="75">
        <f t="shared" si="0"/>
        <v>4.7651039557926489E-2</v>
      </c>
      <c r="K22" s="75">
        <f t="shared" si="1"/>
        <v>5.9444205876940062E-2</v>
      </c>
      <c r="L22" s="75">
        <f t="shared" si="2"/>
        <v>2.9895873505591978E-2</v>
      </c>
    </row>
    <row r="23" spans="2:12" x14ac:dyDescent="0.25">
      <c r="B23" s="89" t="s">
        <v>36</v>
      </c>
      <c r="C23" s="53">
        <v>269000</v>
      </c>
      <c r="D23" s="53">
        <v>28245</v>
      </c>
      <c r="E23" s="53">
        <v>1076</v>
      </c>
      <c r="F23" s="164">
        <v>8070</v>
      </c>
      <c r="G23" s="56">
        <f t="shared" si="3"/>
        <v>105</v>
      </c>
      <c r="H23" s="56">
        <f t="shared" si="4"/>
        <v>4</v>
      </c>
      <c r="I23" s="56">
        <f t="shared" si="5"/>
        <v>30</v>
      </c>
      <c r="J23" s="57">
        <f t="shared" si="0"/>
        <v>0.12566793765766887</v>
      </c>
      <c r="K23" s="57">
        <f t="shared" si="1"/>
        <v>3.3004110177289735E-2</v>
      </c>
      <c r="L23" s="57">
        <f t="shared" si="2"/>
        <v>0.12448900887003471</v>
      </c>
    </row>
    <row r="24" spans="2:12" x14ac:dyDescent="0.25">
      <c r="B24" s="103" t="s">
        <v>37</v>
      </c>
      <c r="C24" s="71">
        <v>55000</v>
      </c>
      <c r="D24" s="71">
        <v>6215</v>
      </c>
      <c r="E24" s="71">
        <v>110</v>
      </c>
      <c r="F24" s="166">
        <v>1870</v>
      </c>
      <c r="G24" s="74">
        <f t="shared" si="3"/>
        <v>113</v>
      </c>
      <c r="H24" s="74">
        <f t="shared" si="4"/>
        <v>2</v>
      </c>
      <c r="I24" s="74">
        <f t="shared" si="5"/>
        <v>34</v>
      </c>
      <c r="J24" s="75">
        <f t="shared" si="0"/>
        <v>2.7651840415734187E-2</v>
      </c>
      <c r="K24" s="75">
        <f t="shared" si="1"/>
        <v>3.3740261333660513E-3</v>
      </c>
      <c r="L24" s="75">
        <f t="shared" si="2"/>
        <v>2.8846895487851909E-2</v>
      </c>
    </row>
    <row r="25" spans="2:12" x14ac:dyDescent="0.25">
      <c r="B25" s="89" t="s">
        <v>38</v>
      </c>
      <c r="C25" s="53">
        <v>171000</v>
      </c>
      <c r="D25" s="53">
        <v>6840</v>
      </c>
      <c r="E25" s="53">
        <v>2052</v>
      </c>
      <c r="F25" s="164">
        <v>1539</v>
      </c>
      <c r="G25" s="56">
        <f t="shared" si="3"/>
        <v>40</v>
      </c>
      <c r="H25" s="56">
        <f t="shared" si="4"/>
        <v>12</v>
      </c>
      <c r="I25" s="56">
        <f t="shared" si="5"/>
        <v>9</v>
      </c>
      <c r="J25" s="57">
        <f t="shared" si="0"/>
        <v>3.0432596692457254E-2</v>
      </c>
      <c r="K25" s="57">
        <f t="shared" si="1"/>
        <v>6.2940923869701251E-2</v>
      </c>
      <c r="L25" s="57">
        <f t="shared" si="2"/>
        <v>2.3740840725028925E-2</v>
      </c>
    </row>
    <row r="26" spans="2:12" x14ac:dyDescent="0.25">
      <c r="B26" s="103" t="s">
        <v>39</v>
      </c>
      <c r="C26" s="71">
        <v>0</v>
      </c>
      <c r="D26" s="71">
        <v>0</v>
      </c>
      <c r="E26" s="71">
        <v>0</v>
      </c>
      <c r="F26" s="166">
        <v>0</v>
      </c>
      <c r="G26" s="74" t="str">
        <f t="shared" si="3"/>
        <v>-</v>
      </c>
      <c r="H26" s="74" t="str">
        <f t="shared" si="4"/>
        <v>-</v>
      </c>
      <c r="I26" s="74" t="str">
        <f t="shared" si="5"/>
        <v>-</v>
      </c>
      <c r="J26" s="75">
        <f t="shared" si="0"/>
        <v>0</v>
      </c>
      <c r="K26" s="75">
        <f t="shared" si="1"/>
        <v>0</v>
      </c>
      <c r="L26" s="75">
        <f t="shared" si="2"/>
        <v>0</v>
      </c>
    </row>
    <row r="27" spans="2:12" x14ac:dyDescent="0.25">
      <c r="B27" s="89" t="s">
        <v>40</v>
      </c>
      <c r="C27" s="53">
        <v>0</v>
      </c>
      <c r="D27" s="53">
        <v>0</v>
      </c>
      <c r="E27" s="53">
        <v>0</v>
      </c>
      <c r="F27" s="164">
        <v>0</v>
      </c>
      <c r="G27" s="56" t="str">
        <f t="shared" si="3"/>
        <v>-</v>
      </c>
      <c r="H27" s="56" t="str">
        <f t="shared" si="4"/>
        <v>-</v>
      </c>
      <c r="I27" s="56" t="str">
        <f t="shared" si="5"/>
        <v>-</v>
      </c>
      <c r="J27" s="57">
        <f t="shared" si="0"/>
        <v>0</v>
      </c>
      <c r="K27" s="57">
        <f t="shared" si="1"/>
        <v>0</v>
      </c>
      <c r="L27" s="57">
        <f t="shared" si="2"/>
        <v>0</v>
      </c>
    </row>
    <row r="28" spans="2:12" x14ac:dyDescent="0.25">
      <c r="B28" s="103" t="s">
        <v>41</v>
      </c>
      <c r="C28" s="71">
        <v>12000</v>
      </c>
      <c r="D28" s="71">
        <v>480</v>
      </c>
      <c r="E28" s="71">
        <v>144</v>
      </c>
      <c r="F28" s="166">
        <v>108</v>
      </c>
      <c r="G28" s="74">
        <f t="shared" si="3"/>
        <v>40</v>
      </c>
      <c r="H28" s="74">
        <f t="shared" si="4"/>
        <v>12</v>
      </c>
      <c r="I28" s="74">
        <f t="shared" si="5"/>
        <v>9</v>
      </c>
      <c r="J28" s="75">
        <f t="shared" si="0"/>
        <v>2.1356208205233159E-3</v>
      </c>
      <c r="K28" s="75">
        <f t="shared" si="1"/>
        <v>4.416906938224649E-3</v>
      </c>
      <c r="L28" s="75">
        <f t="shared" si="2"/>
        <v>1.6660239105283456E-3</v>
      </c>
    </row>
    <row r="29" spans="2:12" x14ac:dyDescent="0.25">
      <c r="B29" s="89" t="s">
        <v>42</v>
      </c>
      <c r="C29" s="53">
        <v>5000</v>
      </c>
      <c r="D29" s="53">
        <v>500</v>
      </c>
      <c r="E29" s="53">
        <v>145</v>
      </c>
      <c r="F29" s="164">
        <v>325</v>
      </c>
      <c r="G29" s="56">
        <f t="shared" si="3"/>
        <v>100</v>
      </c>
      <c r="H29" s="56">
        <f t="shared" si="4"/>
        <v>29</v>
      </c>
      <c r="I29" s="56">
        <f t="shared" si="5"/>
        <v>65</v>
      </c>
      <c r="J29" s="57">
        <f t="shared" si="0"/>
        <v>2.2246050213784543E-3</v>
      </c>
      <c r="K29" s="57">
        <f t="shared" si="1"/>
        <v>4.4475799030734313E-3</v>
      </c>
      <c r="L29" s="57">
        <f t="shared" si="2"/>
        <v>5.0134978789047437E-3</v>
      </c>
    </row>
    <row r="30" spans="2:12" x14ac:dyDescent="0.25">
      <c r="B30" s="103" t="s">
        <v>10</v>
      </c>
      <c r="C30" s="71">
        <v>225000</v>
      </c>
      <c r="D30" s="71">
        <v>5850</v>
      </c>
      <c r="E30" s="71">
        <v>234</v>
      </c>
      <c r="F30" s="166">
        <v>1092</v>
      </c>
      <c r="G30" s="74">
        <f t="shared" si="3"/>
        <v>26</v>
      </c>
      <c r="H30" s="74">
        <f t="shared" si="4"/>
        <v>1.04</v>
      </c>
      <c r="I30" s="74">
        <f t="shared" si="5"/>
        <v>4.8533333333333335</v>
      </c>
      <c r="J30" s="75">
        <f t="shared" si="0"/>
        <v>2.6027878750127915E-2</v>
      </c>
      <c r="K30" s="75">
        <f t="shared" si="1"/>
        <v>7.1774737746150546E-3</v>
      </c>
      <c r="L30" s="75">
        <f t="shared" si="2"/>
        <v>1.6845352873119938E-2</v>
      </c>
    </row>
    <row r="31" spans="2:12" x14ac:dyDescent="0.25">
      <c r="B31" s="89" t="s">
        <v>43</v>
      </c>
      <c r="C31" s="53">
        <v>20000</v>
      </c>
      <c r="D31" s="53">
        <v>200</v>
      </c>
      <c r="E31" s="53">
        <v>160</v>
      </c>
      <c r="F31" s="164">
        <v>540</v>
      </c>
      <c r="G31" s="56">
        <f t="shared" si="3"/>
        <v>10</v>
      </c>
      <c r="H31" s="56">
        <f t="shared" si="4"/>
        <v>8</v>
      </c>
      <c r="I31" s="56">
        <f t="shared" si="5"/>
        <v>27</v>
      </c>
      <c r="J31" s="57">
        <f>D31/$D$33</f>
        <v>8.8984200855138167E-4</v>
      </c>
      <c r="K31" s="57">
        <f t="shared" si="1"/>
        <v>4.9076743758051655E-3</v>
      </c>
      <c r="L31" s="57">
        <f t="shared" si="2"/>
        <v>8.3301195526417279E-3</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2564000</v>
      </c>
      <c r="D33" s="63">
        <f>SUM(D11:D31)</f>
        <v>224759</v>
      </c>
      <c r="E33" s="62">
        <f t="shared" ref="E33:F33" si="7">SUM(E11:E31)</f>
        <v>32602</v>
      </c>
      <c r="F33" s="102">
        <f t="shared" si="7"/>
        <v>64825</v>
      </c>
      <c r="G33" s="94"/>
      <c r="H33" s="94"/>
      <c r="I33" s="94"/>
      <c r="J33" s="95">
        <f t="shared" ref="J33:L33" si="8">SUM(J11:J31)</f>
        <v>1</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256</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4E43BC27-675B-4F5D-9343-E03A0C5D5CC6}"/>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47725-D899-4536-A68B-59AEE3BEB47F}">
  <sheetPr>
    <tabColor rgb="FF92D050"/>
  </sheetPr>
  <dimension ref="A1:Q3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410</v>
      </c>
      <c r="D6" s="592" t="s">
        <v>389</v>
      </c>
      <c r="E6" s="592"/>
      <c r="F6" s="592"/>
      <c r="G6" s="589" t="s">
        <v>392</v>
      </c>
      <c r="H6" s="589"/>
      <c r="I6" s="589"/>
      <c r="J6" s="589" t="s">
        <v>399</v>
      </c>
      <c r="K6" s="589"/>
      <c r="L6" s="589"/>
    </row>
    <row r="7" spans="1:17" ht="25.15" customHeight="1" thickBot="1" x14ac:dyDescent="0.3">
      <c r="B7" s="596" t="s">
        <v>323</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96"/>
      <c r="C10" s="255"/>
      <c r="D10" s="98"/>
      <c r="E10" s="98"/>
      <c r="F10" s="98"/>
      <c r="G10" s="98"/>
      <c r="H10" s="98"/>
      <c r="I10" s="98"/>
      <c r="J10" s="98"/>
      <c r="K10" s="98"/>
      <c r="L10" s="98"/>
    </row>
    <row r="11" spans="1:17" x14ac:dyDescent="0.25">
      <c r="B11" s="89" t="s">
        <v>3</v>
      </c>
      <c r="C11" s="172">
        <v>1326401</v>
      </c>
      <c r="D11" s="53">
        <v>267304.11264595127</v>
      </c>
      <c r="E11" s="172">
        <v>30788.813019043551</v>
      </c>
      <c r="F11" s="53">
        <v>22879.36506794591</v>
      </c>
      <c r="G11" s="56">
        <f>IFERROR(D11*1000/C11,"-")</f>
        <v>201.52586785289762</v>
      </c>
      <c r="H11" s="56">
        <f>IFERROR(E11*1000/C11,"-")</f>
        <v>23.212296295798595</v>
      </c>
      <c r="I11" s="56">
        <f>IFERROR(F11*1000/C11,"-")</f>
        <v>17.249206739097684</v>
      </c>
      <c r="J11" s="57">
        <f t="shared" ref="J11:J22" si="0">D11/$D$24</f>
        <v>0.2146503755287491</v>
      </c>
      <c r="K11" s="57">
        <f t="shared" ref="K11:K22" si="1">E11/$E$24</f>
        <v>0.13819036364023135</v>
      </c>
      <c r="L11" s="57">
        <f t="shared" ref="L11:L22" si="2">F11/$F$24</f>
        <v>0.18303492054356726</v>
      </c>
    </row>
    <row r="12" spans="1:17" x14ac:dyDescent="0.25">
      <c r="B12" s="103" t="s">
        <v>16</v>
      </c>
      <c r="C12" s="174">
        <v>549688</v>
      </c>
      <c r="D12" s="71">
        <v>176516.0519444294</v>
      </c>
      <c r="E12" s="174">
        <v>12196.991444804227</v>
      </c>
      <c r="F12" s="71">
        <v>0</v>
      </c>
      <c r="G12" s="74">
        <f t="shared" ref="G12:G22" si="3">IFERROR(D12*1000/C12,"-")</f>
        <v>321.12043912988713</v>
      </c>
      <c r="H12" s="74">
        <f t="shared" ref="H12:H22" si="4">IFERROR(E12*1000/C12,"-")</f>
        <v>22.18893525928204</v>
      </c>
      <c r="I12" s="74">
        <f t="shared" ref="I12:I22" si="5">IFERROR(F12*1000/C12,"-")</f>
        <v>0</v>
      </c>
      <c r="J12" s="75">
        <f t="shared" si="0"/>
        <v>0.14174580578529625</v>
      </c>
      <c r="K12" s="75">
        <f t="shared" si="1"/>
        <v>5.4744126772011785E-2</v>
      </c>
      <c r="L12" s="75">
        <f t="shared" si="2"/>
        <v>0</v>
      </c>
    </row>
    <row r="13" spans="1:17" x14ac:dyDescent="0.25">
      <c r="B13" s="89" t="s">
        <v>51</v>
      </c>
      <c r="C13" s="172">
        <v>680025</v>
      </c>
      <c r="D13" s="53">
        <v>210208.76283905018</v>
      </c>
      <c r="E13" s="172">
        <v>20512.907331760664</v>
      </c>
      <c r="F13" s="53">
        <v>10723.081958650273</v>
      </c>
      <c r="G13" s="56">
        <f t="shared" si="3"/>
        <v>309.11916891151088</v>
      </c>
      <c r="H13" s="56">
        <f t="shared" si="4"/>
        <v>30.16493118894256</v>
      </c>
      <c r="I13" s="56">
        <f t="shared" si="5"/>
        <v>15.768658444395827</v>
      </c>
      <c r="J13" s="57">
        <f t="shared" si="0"/>
        <v>0.1688017046808401</v>
      </c>
      <c r="K13" s="57">
        <f t="shared" si="1"/>
        <v>9.2068704361582862E-2</v>
      </c>
      <c r="L13" s="57">
        <f t="shared" si="2"/>
        <v>8.5784655669202181E-2</v>
      </c>
    </row>
    <row r="14" spans="1:17" x14ac:dyDescent="0.25">
      <c r="B14" s="103" t="s">
        <v>5</v>
      </c>
      <c r="C14" s="174">
        <v>223757</v>
      </c>
      <c r="D14" s="71">
        <v>18366.302741561973</v>
      </c>
      <c r="E14" s="174">
        <v>8968.1912037840029</v>
      </c>
      <c r="F14" s="71">
        <v>5414.7604795344851</v>
      </c>
      <c r="G14" s="74">
        <f t="shared" si="3"/>
        <v>82.081466687352673</v>
      </c>
      <c r="H14" s="74">
        <f t="shared" si="4"/>
        <v>40.080047568496198</v>
      </c>
      <c r="I14" s="74">
        <f t="shared" si="5"/>
        <v>24.199289763155949</v>
      </c>
      <c r="J14" s="75">
        <f t="shared" si="0"/>
        <v>1.4748496540240883E-2</v>
      </c>
      <c r="K14" s="75">
        <f t="shared" si="1"/>
        <v>4.0252204684847408E-2</v>
      </c>
      <c r="L14" s="75">
        <f t="shared" si="2"/>
        <v>4.3318083836275882E-2</v>
      </c>
    </row>
    <row r="15" spans="1:17" x14ac:dyDescent="0.25">
      <c r="B15" s="89" t="s">
        <v>6</v>
      </c>
      <c r="C15" s="172">
        <v>16093</v>
      </c>
      <c r="D15" s="53">
        <v>910.09050156927515</v>
      </c>
      <c r="E15" s="172">
        <v>615.31408245953423</v>
      </c>
      <c r="F15" s="53">
        <v>0</v>
      </c>
      <c r="G15" s="56">
        <f t="shared" si="3"/>
        <v>56.551948149460955</v>
      </c>
      <c r="H15" s="56">
        <f t="shared" si="4"/>
        <v>38.234889856430392</v>
      </c>
      <c r="I15" s="56">
        <f t="shared" si="5"/>
        <v>0</v>
      </c>
      <c r="J15" s="57">
        <f t="shared" si="0"/>
        <v>7.3082028552900915E-4</v>
      </c>
      <c r="K15" s="57">
        <f t="shared" si="1"/>
        <v>2.7617328656172986E-3</v>
      </c>
      <c r="L15" s="57">
        <f t="shared" si="2"/>
        <v>0</v>
      </c>
    </row>
    <row r="16" spans="1:17" x14ac:dyDescent="0.25">
      <c r="B16" s="103" t="s">
        <v>19</v>
      </c>
      <c r="C16" s="174">
        <v>191385</v>
      </c>
      <c r="D16" s="71">
        <v>36867.194738394828</v>
      </c>
      <c r="E16" s="174">
        <v>9347.2451630620671</v>
      </c>
      <c r="F16" s="71">
        <v>2508.2770650867019</v>
      </c>
      <c r="G16" s="74">
        <f t="shared" si="3"/>
        <v>192.63366898343563</v>
      </c>
      <c r="H16" s="74">
        <f t="shared" si="4"/>
        <v>48.840009212122517</v>
      </c>
      <c r="I16" s="74">
        <f t="shared" si="5"/>
        <v>13.105922956797565</v>
      </c>
      <c r="J16" s="75">
        <f t="shared" si="0"/>
        <v>2.9605070857138704E-2</v>
      </c>
      <c r="K16" s="75">
        <f t="shared" si="1"/>
        <v>4.1953524071194188E-2</v>
      </c>
      <c r="L16" s="75">
        <f t="shared" si="2"/>
        <v>2.0066216520693615E-2</v>
      </c>
    </row>
    <row r="17" spans="1:17" x14ac:dyDescent="0.25">
      <c r="B17" s="89" t="s">
        <v>25</v>
      </c>
      <c r="C17" s="172">
        <v>141000</v>
      </c>
      <c r="D17" s="53">
        <v>34619.706539205923</v>
      </c>
      <c r="E17" s="172">
        <v>7607.0980868650549</v>
      </c>
      <c r="F17" s="53">
        <v>3499.4040942918332</v>
      </c>
      <c r="G17" s="56">
        <f t="shared" si="3"/>
        <v>245.52983361138953</v>
      </c>
      <c r="H17" s="56">
        <f t="shared" si="4"/>
        <v>53.951050261454292</v>
      </c>
      <c r="I17" s="56">
        <f t="shared" si="5"/>
        <v>24.81846875384279</v>
      </c>
      <c r="J17" s="57">
        <f t="shared" si="0"/>
        <v>2.7800294338075904E-2</v>
      </c>
      <c r="K17" s="57">
        <f t="shared" si="1"/>
        <v>3.4143169151099884E-2</v>
      </c>
      <c r="L17" s="57">
        <f t="shared" si="2"/>
        <v>2.7995232754334666E-2</v>
      </c>
    </row>
    <row r="18" spans="1:17" x14ac:dyDescent="0.25">
      <c r="B18" s="103" t="s">
        <v>321</v>
      </c>
      <c r="C18" s="174">
        <v>344592</v>
      </c>
      <c r="D18" s="71">
        <v>93155.033120327658</v>
      </c>
      <c r="E18" s="174">
        <v>24962.501625813566</v>
      </c>
      <c r="F18" s="71">
        <v>14066.928316116104</v>
      </c>
      <c r="G18" s="74">
        <f t="shared" si="3"/>
        <v>270.33428843480885</v>
      </c>
      <c r="H18" s="74">
        <f t="shared" si="4"/>
        <v>72.440746232685512</v>
      </c>
      <c r="I18" s="74">
        <f t="shared" si="5"/>
        <v>40.821981694630473</v>
      </c>
      <c r="J18" s="75">
        <f t="shared" si="0"/>
        <v>7.4805294403218231E-2</v>
      </c>
      <c r="K18" s="75">
        <f t="shared" si="1"/>
        <v>0.11203995343722425</v>
      </c>
      <c r="L18" s="75">
        <f t="shared" si="2"/>
        <v>0.11253542652892883</v>
      </c>
    </row>
    <row r="19" spans="1:17" x14ac:dyDescent="0.25">
      <c r="B19" s="89" t="s">
        <v>45</v>
      </c>
      <c r="C19" s="172">
        <v>664336</v>
      </c>
      <c r="D19" s="53">
        <v>134207.30102288519</v>
      </c>
      <c r="E19" s="172">
        <v>31372.124001426699</v>
      </c>
      <c r="F19" s="53">
        <v>22730.006532015759</v>
      </c>
      <c r="G19" s="56">
        <f t="shared" si="3"/>
        <v>202.01720367838743</v>
      </c>
      <c r="H19" s="56">
        <f t="shared" si="4"/>
        <v>47.223278584069959</v>
      </c>
      <c r="I19" s="56">
        <f t="shared" si="5"/>
        <v>34.214624123961009</v>
      </c>
      <c r="J19" s="57">
        <f t="shared" si="0"/>
        <v>0.10777106000392291</v>
      </c>
      <c r="K19" s="57">
        <f t="shared" si="1"/>
        <v>0.14080845602076614</v>
      </c>
      <c r="L19" s="57">
        <f t="shared" si="2"/>
        <v>0.18184005225612607</v>
      </c>
    </row>
    <row r="20" spans="1:17" x14ac:dyDescent="0.25">
      <c r="B20" s="103" t="s">
        <v>9</v>
      </c>
      <c r="C20" s="174">
        <v>630535</v>
      </c>
      <c r="D20" s="71">
        <v>144015.98223898077</v>
      </c>
      <c r="E20" s="174">
        <v>34351.577137795197</v>
      </c>
      <c r="F20" s="71">
        <v>21788.092846517116</v>
      </c>
      <c r="G20" s="74">
        <f t="shared" si="3"/>
        <v>228.40283606616725</v>
      </c>
      <c r="H20" s="74">
        <f t="shared" si="4"/>
        <v>54.480048114371435</v>
      </c>
      <c r="I20" s="74">
        <f t="shared" si="5"/>
        <v>34.554930093519182</v>
      </c>
      <c r="J20" s="75">
        <f t="shared" si="0"/>
        <v>0.11564762084556393</v>
      </c>
      <c r="K20" s="75">
        <f t="shared" si="1"/>
        <v>0.15418122593265346</v>
      </c>
      <c r="L20" s="75">
        <f t="shared" si="2"/>
        <v>0.17430474277213692</v>
      </c>
    </row>
    <row r="21" spans="1:17" x14ac:dyDescent="0.25">
      <c r="B21" s="89" t="s">
        <v>304</v>
      </c>
      <c r="C21" s="172">
        <v>194220</v>
      </c>
      <c r="D21" s="53">
        <v>42182.731247580021</v>
      </c>
      <c r="E21" s="172">
        <v>19862.026135449632</v>
      </c>
      <c r="F21" s="53">
        <v>10659.710696061513</v>
      </c>
      <c r="G21" s="56">
        <f t="shared" si="3"/>
        <v>217.19046054772949</v>
      </c>
      <c r="H21" s="56">
        <f t="shared" si="4"/>
        <v>102.2656067112019</v>
      </c>
      <c r="I21" s="56">
        <f t="shared" si="5"/>
        <v>54.884721944503717</v>
      </c>
      <c r="J21" s="57">
        <f t="shared" si="0"/>
        <v>3.3873549544350776E-2</v>
      </c>
      <c r="K21" s="57">
        <f t="shared" si="1"/>
        <v>8.9147334539720069E-2</v>
      </c>
      <c r="L21" s="57">
        <f t="shared" si="2"/>
        <v>8.5277685568492106E-2</v>
      </c>
    </row>
    <row r="22" spans="1:17" x14ac:dyDescent="0.25">
      <c r="B22" s="103" t="s">
        <v>12</v>
      </c>
      <c r="C22" s="174">
        <v>256216</v>
      </c>
      <c r="D22" s="71">
        <v>86946.730420063366</v>
      </c>
      <c r="E22" s="174">
        <v>22215.210767735818</v>
      </c>
      <c r="F22" s="71">
        <v>10730.372943780305</v>
      </c>
      <c r="G22" s="74">
        <f t="shared" si="3"/>
        <v>339.34933969800232</v>
      </c>
      <c r="H22" s="74">
        <f t="shared" si="4"/>
        <v>86.705009709525626</v>
      </c>
      <c r="I22" s="74">
        <f t="shared" si="5"/>
        <v>41.880182907313767</v>
      </c>
      <c r="J22" s="75">
        <f t="shared" si="0"/>
        <v>6.9819907187074093E-2</v>
      </c>
      <c r="K22" s="75">
        <f t="shared" si="1"/>
        <v>9.9709204523051237E-2</v>
      </c>
      <c r="L22" s="75">
        <f t="shared" si="2"/>
        <v>8.5842983550242433E-2</v>
      </c>
    </row>
    <row r="23" spans="1:17" s="7" customFormat="1" ht="6" customHeight="1" thickBot="1" x14ac:dyDescent="0.3">
      <c r="B23" s="165"/>
      <c r="C23" s="245"/>
      <c r="D23" s="99"/>
      <c r="E23" s="93"/>
      <c r="F23" s="92"/>
      <c r="G23" s="100"/>
      <c r="H23" s="84"/>
      <c r="I23" s="101"/>
      <c r="J23" s="85"/>
      <c r="K23" s="85"/>
      <c r="L23" s="85"/>
    </row>
    <row r="24" spans="1:17" s="12" customFormat="1" ht="24.95" customHeight="1" thickTop="1" thickBot="1" x14ac:dyDescent="0.3">
      <c r="A24" s="13"/>
      <c r="B24" s="90" t="s">
        <v>13</v>
      </c>
      <c r="C24" s="63">
        <f>SUM(C11:C22)</f>
        <v>5218248</v>
      </c>
      <c r="D24" s="63">
        <f>SUM(D11:D22)</f>
        <v>1245300</v>
      </c>
      <c r="E24" s="62">
        <f>SUM(E11:E22)</f>
        <v>222800.00000000003</v>
      </c>
      <c r="F24" s="102">
        <f>SUM(F11:F22)</f>
        <v>125000</v>
      </c>
      <c r="G24" s="94"/>
      <c r="H24" s="94"/>
      <c r="I24" s="94"/>
      <c r="J24" s="95">
        <f>SUM(J11:J22)</f>
        <v>0.99999999999999978</v>
      </c>
      <c r="K24" s="64">
        <f>SUM(K11:K22)</f>
        <v>1</v>
      </c>
      <c r="L24" s="65">
        <f>SUM(L11:L22)</f>
        <v>1</v>
      </c>
      <c r="M24" s="13"/>
      <c r="N24" s="13"/>
      <c r="O24" s="13"/>
      <c r="P24" s="13"/>
      <c r="Q24" s="13"/>
    </row>
    <row r="25" spans="1:17" ht="15.75" thickTop="1" x14ac:dyDescent="0.25">
      <c r="B25" s="15"/>
    </row>
    <row r="26" spans="1:17" x14ac:dyDescent="0.25">
      <c r="B26" s="15"/>
    </row>
    <row r="27" spans="1:17" x14ac:dyDescent="0.25">
      <c r="B27" s="66" t="s">
        <v>396</v>
      </c>
      <c r="C27" s="67"/>
      <c r="D27" s="67"/>
      <c r="E27" s="67"/>
      <c r="F27" s="67"/>
    </row>
    <row r="28" spans="1:17" x14ac:dyDescent="0.25">
      <c r="A28" s="21"/>
      <c r="B28" s="67" t="s">
        <v>373</v>
      </c>
      <c r="C28" s="68"/>
      <c r="D28" s="68"/>
      <c r="E28" s="68"/>
      <c r="F28" s="68"/>
      <c r="G28" s="87"/>
      <c r="H28" s="88"/>
      <c r="I28"/>
      <c r="J28"/>
      <c r="K28"/>
      <c r="L28"/>
      <c r="M28"/>
      <c r="N28"/>
      <c r="O28"/>
      <c r="P28"/>
      <c r="Q28"/>
    </row>
    <row r="29" spans="1:17" ht="14.45" customHeight="1" x14ac:dyDescent="0.25">
      <c r="A29" s="21"/>
      <c r="B29" s="67"/>
      <c r="C29" s="68"/>
      <c r="D29" s="68"/>
      <c r="E29" s="68"/>
      <c r="F29" s="68"/>
      <c r="G29" s="87"/>
      <c r="H29" s="88"/>
      <c r="I29"/>
      <c r="J29"/>
      <c r="K29"/>
      <c r="L29"/>
      <c r="M29"/>
      <c r="N29"/>
      <c r="O29"/>
      <c r="P29"/>
      <c r="Q29"/>
    </row>
    <row r="30" spans="1:17" x14ac:dyDescent="0.25">
      <c r="A30"/>
      <c r="B30" s="79" t="s">
        <v>397</v>
      </c>
      <c r="C30" s="68"/>
      <c r="D30" s="68"/>
      <c r="E30" s="68"/>
      <c r="F30" s="68"/>
      <c r="G30" s="88"/>
      <c r="H30" s="88"/>
      <c r="I30"/>
      <c r="J30"/>
      <c r="K30"/>
      <c r="L30"/>
      <c r="M30"/>
      <c r="N30"/>
      <c r="O30"/>
      <c r="P30"/>
      <c r="Q30"/>
    </row>
    <row r="31" spans="1:17" x14ac:dyDescent="0.25">
      <c r="A31" s="21"/>
      <c r="B31" s="67" t="s">
        <v>103</v>
      </c>
      <c r="C31" s="68"/>
      <c r="D31" s="68"/>
      <c r="E31" s="68"/>
      <c r="F31" s="68"/>
      <c r="G31" s="88"/>
      <c r="H31" s="88"/>
      <c r="I31"/>
      <c r="J31"/>
      <c r="K31"/>
      <c r="L31"/>
      <c r="M31"/>
      <c r="N31"/>
      <c r="O31"/>
      <c r="P31"/>
      <c r="Q31"/>
    </row>
    <row r="32" spans="1:17" x14ac:dyDescent="0.25">
      <c r="B32" s="67" t="s">
        <v>302</v>
      </c>
      <c r="C32" s="67"/>
      <c r="D32" s="67"/>
      <c r="E32" s="67"/>
      <c r="F32" s="67"/>
      <c r="G32" s="87"/>
      <c r="H32" s="87"/>
    </row>
    <row r="33" spans="2:8" x14ac:dyDescent="0.25">
      <c r="B33" s="69" t="s">
        <v>324</v>
      </c>
      <c r="C33" s="67"/>
      <c r="D33" s="67"/>
      <c r="E33" s="67"/>
      <c r="F33" s="67"/>
      <c r="G33" s="87"/>
      <c r="H33" s="87"/>
    </row>
    <row r="34" spans="2:8" x14ac:dyDescent="0.25">
      <c r="B34" s="69" t="s">
        <v>312</v>
      </c>
      <c r="C34" s="67"/>
      <c r="D34" s="67"/>
      <c r="E34" s="67"/>
      <c r="F34" s="67"/>
      <c r="G34" s="87"/>
      <c r="H34" s="87"/>
    </row>
    <row r="35" spans="2:8" x14ac:dyDescent="0.25">
      <c r="B35" s="69" t="s">
        <v>325</v>
      </c>
      <c r="C35" s="67"/>
      <c r="D35" s="67"/>
      <c r="E35" s="67"/>
      <c r="F35" s="67"/>
      <c r="G35" s="87"/>
      <c r="H35" s="87"/>
    </row>
    <row r="36" spans="2:8" x14ac:dyDescent="0.25">
      <c r="B36" s="69" t="s">
        <v>382</v>
      </c>
      <c r="C36" s="67"/>
      <c r="D36" s="67"/>
      <c r="E36" s="67"/>
      <c r="F36" s="67"/>
      <c r="G36" s="87"/>
      <c r="H36" s="87"/>
    </row>
    <row r="37" spans="2:8" x14ac:dyDescent="0.25">
      <c r="B37" s="87"/>
      <c r="C37" s="87"/>
      <c r="D37" s="87"/>
      <c r="E37" s="87"/>
      <c r="F37" s="87"/>
      <c r="G37" s="87"/>
      <c r="H37" s="87"/>
    </row>
    <row r="38" spans="2:8" x14ac:dyDescent="0.25">
      <c r="B38" s="66" t="s">
        <v>398</v>
      </c>
    </row>
  </sheetData>
  <mergeCells count="8">
    <mergeCell ref="C6:C7"/>
    <mergeCell ref="D6:F6"/>
    <mergeCell ref="G6:I6"/>
    <mergeCell ref="J6:L6"/>
    <mergeCell ref="B7:B8"/>
    <mergeCell ref="D7:F7"/>
    <mergeCell ref="G7:I7"/>
    <mergeCell ref="J7:L7"/>
  </mergeCells>
  <hyperlinks>
    <hyperlink ref="B1" location="Start!A1" display="Back to home page" xr:uid="{2F1E0EA7-75A9-46F6-B92D-743C83EFCBE4}"/>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6893-302A-4717-A41C-5E9B83600146}">
  <sheetPr codeName="Sheet12">
    <tabColor rgb="FF92D050"/>
    <pageSetUpPr fitToPage="1"/>
  </sheetPr>
  <dimension ref="A1:AG310"/>
  <sheetViews>
    <sheetView showGridLines="0" tabSelected="1" zoomScale="80" zoomScaleNormal="80" workbookViewId="0">
      <pane xSplit="2" ySplit="9" topLeftCell="C10" activePane="bottomRight" state="frozen"/>
      <selection pane="topRight" activeCell="C1" sqref="C1"/>
      <selection pane="bottomLeft" activeCell="A10" sqref="A10"/>
      <selection pane="bottomRight" activeCell="C11" sqref="C11:F25"/>
    </sheetView>
  </sheetViews>
  <sheetFormatPr defaultColWidth="8.7109375" defaultRowHeight="15" x14ac:dyDescent="0.25"/>
  <cols>
    <col min="1" max="1" width="2.7109375" customWidth="1"/>
    <col min="2" max="2" width="45.7109375" customWidth="1"/>
    <col min="3" max="12" width="15.7109375" customWidth="1"/>
  </cols>
  <sheetData>
    <row r="1" spans="1:33" x14ac:dyDescent="0.25">
      <c r="B1" s="547" t="s">
        <v>432</v>
      </c>
    </row>
    <row r="2" spans="1:33" ht="14.45" customHeight="1" x14ac:dyDescent="0.25">
      <c r="A2" s="21"/>
      <c r="B2" s="7"/>
      <c r="G2" s="20"/>
      <c r="I2" s="27"/>
    </row>
    <row r="3" spans="1:33" ht="14.45" customHeight="1" x14ac:dyDescent="0.25">
      <c r="A3" s="21"/>
      <c r="B3" s="7"/>
      <c r="G3" s="20"/>
      <c r="H3" s="7"/>
      <c r="I3" s="7"/>
    </row>
    <row r="4" spans="1:33" ht="14.45" customHeight="1" x14ac:dyDescent="0.25">
      <c r="A4" s="21"/>
      <c r="B4" s="7"/>
      <c r="G4" s="20"/>
      <c r="H4" s="7"/>
      <c r="I4" s="7"/>
    </row>
    <row r="5" spans="1:33" ht="14.45" customHeight="1" thickBot="1"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row>
    <row r="6" spans="1:33" ht="30" customHeight="1" thickTop="1" x14ac:dyDescent="0.3">
      <c r="A6" s="7"/>
      <c r="B6" s="38" t="s">
        <v>387</v>
      </c>
      <c r="C6" s="589" t="s">
        <v>390</v>
      </c>
      <c r="D6" s="585" t="s">
        <v>389</v>
      </c>
      <c r="E6" s="586"/>
      <c r="F6" s="587"/>
      <c r="G6" s="578" t="s">
        <v>392</v>
      </c>
      <c r="H6" s="578"/>
      <c r="I6" s="578"/>
      <c r="J6" s="577" t="s">
        <v>399</v>
      </c>
      <c r="K6" s="578"/>
      <c r="L6" s="579"/>
      <c r="M6" s="7"/>
      <c r="N6" s="7"/>
      <c r="O6" s="7"/>
      <c r="P6" s="7"/>
      <c r="Q6" s="7"/>
      <c r="R6" s="7"/>
      <c r="S6" s="7"/>
      <c r="T6" s="7"/>
      <c r="U6" s="7"/>
      <c r="V6" s="7"/>
      <c r="W6" s="7"/>
      <c r="X6" s="7"/>
      <c r="Y6" s="7"/>
      <c r="Z6" s="7"/>
      <c r="AA6" s="7"/>
      <c r="AB6" s="7"/>
      <c r="AC6" s="7"/>
      <c r="AD6" s="7"/>
      <c r="AE6" s="7"/>
      <c r="AF6" s="7"/>
      <c r="AG6" s="7"/>
    </row>
    <row r="7" spans="1:33" ht="25.15" customHeight="1" thickBot="1" x14ac:dyDescent="0.3">
      <c r="A7" s="13"/>
      <c r="B7" s="583" t="s">
        <v>385</v>
      </c>
      <c r="C7" s="590"/>
      <c r="D7" s="580" t="s">
        <v>14</v>
      </c>
      <c r="E7" s="581"/>
      <c r="F7" s="582"/>
      <c r="G7" s="588" t="s">
        <v>415</v>
      </c>
      <c r="H7" s="588"/>
      <c r="I7" s="588"/>
      <c r="J7" s="580" t="s">
        <v>0</v>
      </c>
      <c r="K7" s="581"/>
      <c r="L7" s="582"/>
      <c r="M7" s="13"/>
      <c r="N7" s="13"/>
      <c r="O7" s="13"/>
      <c r="P7" s="7"/>
      <c r="Q7" s="7"/>
      <c r="R7" s="7"/>
      <c r="S7" s="7"/>
      <c r="T7" s="7"/>
      <c r="U7" s="7"/>
      <c r="V7" s="7"/>
      <c r="W7" s="7"/>
      <c r="X7" s="7"/>
      <c r="Y7" s="7"/>
      <c r="Z7" s="7"/>
      <c r="AA7" s="7"/>
      <c r="AB7" s="7"/>
      <c r="AC7" s="7"/>
      <c r="AD7" s="7"/>
      <c r="AE7" s="7"/>
      <c r="AF7" s="7"/>
      <c r="AG7" s="7"/>
    </row>
    <row r="8" spans="1:33" ht="34.15" customHeight="1" thickTop="1" thickBot="1" x14ac:dyDescent="0.3">
      <c r="A8" s="13"/>
      <c r="B8" s="584"/>
      <c r="C8" s="161" t="s">
        <v>405</v>
      </c>
      <c r="D8" s="565" t="s">
        <v>388</v>
      </c>
      <c r="E8" s="565" t="s">
        <v>394</v>
      </c>
      <c r="F8" s="565" t="s">
        <v>395</v>
      </c>
      <c r="G8" s="564" t="s">
        <v>391</v>
      </c>
      <c r="H8" s="564" t="s">
        <v>394</v>
      </c>
      <c r="I8" s="564" t="s">
        <v>395</v>
      </c>
      <c r="J8" s="565" t="s">
        <v>388</v>
      </c>
      <c r="K8" s="565" t="s">
        <v>394</v>
      </c>
      <c r="L8" s="565" t="s">
        <v>395</v>
      </c>
      <c r="M8" s="13"/>
      <c r="N8" s="13"/>
      <c r="O8" s="13"/>
      <c r="P8" s="7"/>
      <c r="Q8" s="7"/>
      <c r="R8" s="7"/>
      <c r="S8" s="7"/>
      <c r="T8" s="7"/>
      <c r="U8" s="7"/>
      <c r="V8" s="7"/>
      <c r="W8" s="7"/>
      <c r="X8" s="7"/>
      <c r="Y8" s="7"/>
      <c r="Z8" s="7"/>
      <c r="AA8" s="7"/>
      <c r="AB8" s="7"/>
      <c r="AC8" s="7"/>
      <c r="AD8" s="7"/>
      <c r="AE8" s="7"/>
      <c r="AF8" s="7"/>
      <c r="AG8" s="7"/>
    </row>
    <row r="9" spans="1:33" ht="34.15" customHeight="1" thickTop="1" thickBot="1" x14ac:dyDescent="0.3">
      <c r="A9" s="7"/>
      <c r="B9" s="182" t="s">
        <v>393</v>
      </c>
      <c r="C9" s="49">
        <v>2018</v>
      </c>
      <c r="D9" s="49">
        <v>2018</v>
      </c>
      <c r="E9" s="49">
        <v>2018</v>
      </c>
      <c r="F9" s="49">
        <v>2018</v>
      </c>
      <c r="G9" s="49">
        <v>2018</v>
      </c>
      <c r="H9" s="49">
        <v>2018</v>
      </c>
      <c r="I9" s="49">
        <v>2018</v>
      </c>
      <c r="J9" s="49">
        <v>2018</v>
      </c>
      <c r="K9" s="49">
        <v>2018</v>
      </c>
      <c r="L9" s="49">
        <v>2018</v>
      </c>
      <c r="M9" s="7"/>
      <c r="N9" s="7"/>
      <c r="O9" s="7"/>
      <c r="P9" s="7"/>
      <c r="Q9" s="7"/>
      <c r="R9" s="7"/>
      <c r="S9" s="7"/>
      <c r="T9" s="7"/>
      <c r="U9" s="7"/>
      <c r="V9" s="7"/>
      <c r="W9" s="7"/>
      <c r="X9" s="7"/>
      <c r="Y9" s="7"/>
      <c r="Z9" s="7"/>
      <c r="AA9" s="7"/>
      <c r="AB9" s="7"/>
      <c r="AC9" s="7"/>
      <c r="AD9" s="7"/>
      <c r="AE9" s="7"/>
      <c r="AF9" s="7"/>
      <c r="AG9" s="7"/>
    </row>
    <row r="10" spans="1:33" ht="6" customHeight="1" thickTop="1" x14ac:dyDescent="0.25">
      <c r="A10" s="7"/>
      <c r="B10" s="48"/>
      <c r="C10" s="44"/>
      <c r="D10" s="45"/>
      <c r="E10" s="44"/>
      <c r="F10" s="44"/>
      <c r="G10" s="46"/>
      <c r="H10" s="44"/>
      <c r="I10" s="46"/>
      <c r="J10" s="44"/>
      <c r="K10" s="44"/>
      <c r="L10" s="47"/>
      <c r="M10" s="7"/>
      <c r="N10" s="7"/>
      <c r="O10" s="7"/>
      <c r="P10" s="7"/>
      <c r="Q10" s="7"/>
      <c r="R10" s="7"/>
      <c r="S10" s="7"/>
      <c r="T10" s="7"/>
      <c r="U10" s="7"/>
      <c r="V10" s="7"/>
      <c r="W10" s="7"/>
      <c r="X10" s="7"/>
      <c r="Y10" s="7"/>
      <c r="Z10" s="7"/>
      <c r="AA10" s="7"/>
      <c r="AB10" s="7"/>
      <c r="AC10" s="7"/>
      <c r="AD10" s="7"/>
      <c r="AE10" s="7"/>
      <c r="AF10" s="7"/>
      <c r="AG10" s="7"/>
    </row>
    <row r="11" spans="1:33" x14ac:dyDescent="0.25">
      <c r="A11" s="7"/>
      <c r="B11" s="59" t="s">
        <v>3</v>
      </c>
      <c r="C11" s="53">
        <v>6287149</v>
      </c>
      <c r="D11" s="54">
        <v>417846.09988285258</v>
      </c>
      <c r="E11" s="53">
        <v>184319.47957657697</v>
      </c>
      <c r="F11" s="53">
        <v>0</v>
      </c>
      <c r="G11" s="55">
        <f>IFERROR(D11*1000/C11,"-")</f>
        <v>66.460346316407097</v>
      </c>
      <c r="H11" s="56">
        <f>IFERROR(E11*1000/C11,"-")</f>
        <v>29.316861995250466</v>
      </c>
      <c r="I11" s="55">
        <f>IFERROR(F11*1000/C11,"-")</f>
        <v>0</v>
      </c>
      <c r="J11" s="57">
        <f t="shared" ref="J11:J25" si="0">D11/$D$27</f>
        <v>0.36208500856399689</v>
      </c>
      <c r="K11" s="57">
        <f t="shared" ref="K11:K25" si="1">E11/$E$27</f>
        <v>0.270660028746809</v>
      </c>
      <c r="L11" s="58">
        <f t="shared" ref="L11:L25" si="2">F11/$F$27</f>
        <v>0</v>
      </c>
      <c r="M11" s="7"/>
      <c r="N11" s="7"/>
      <c r="O11" s="7"/>
      <c r="P11" s="7"/>
      <c r="Q11" s="7"/>
      <c r="R11" s="7"/>
      <c r="S11" s="7"/>
      <c r="T11" s="7"/>
      <c r="U11" s="7"/>
      <c r="V11" s="7"/>
      <c r="W11" s="7"/>
      <c r="X11" s="7"/>
      <c r="Y11" s="7"/>
      <c r="Z11" s="7"/>
      <c r="AA11" s="7"/>
      <c r="AB11" s="7"/>
      <c r="AC11" s="7"/>
      <c r="AD11" s="7"/>
      <c r="AE11" s="7"/>
      <c r="AF11" s="7"/>
      <c r="AG11" s="7"/>
    </row>
    <row r="12" spans="1:33" ht="14.45" customHeight="1" x14ac:dyDescent="0.25">
      <c r="A12" s="7"/>
      <c r="B12" s="70" t="s">
        <v>16</v>
      </c>
      <c r="C12" s="71">
        <v>194835</v>
      </c>
      <c r="D12" s="72">
        <v>10877.233545562538</v>
      </c>
      <c r="E12" s="71">
        <v>8266.7347780025793</v>
      </c>
      <c r="F12" s="71">
        <v>8172.9031552333472</v>
      </c>
      <c r="G12" s="73">
        <f t="shared" ref="G12:G25" si="3">IFERROR(D12*1000/C12,"-")</f>
        <v>55.827923861536874</v>
      </c>
      <c r="H12" s="74">
        <f t="shared" ref="H12:H25" si="4">IFERROR(E12*1000/C12,"-")</f>
        <v>42.429413493482073</v>
      </c>
      <c r="I12" s="73">
        <f t="shared" ref="I12:I25" si="5">IFERROR(F12*1000/C12,"-")</f>
        <v>41.947818180682873</v>
      </c>
      <c r="J12" s="75">
        <f t="shared" si="0"/>
        <v>9.4256789822898899E-3</v>
      </c>
      <c r="K12" s="75">
        <f t="shared" si="1"/>
        <v>1.2139111274599967E-2</v>
      </c>
      <c r="L12" s="76">
        <f t="shared" si="2"/>
        <v>0.17492622651498965</v>
      </c>
      <c r="M12" s="7"/>
      <c r="N12" s="7"/>
      <c r="O12" s="7"/>
      <c r="P12" s="7"/>
      <c r="Q12" s="7"/>
      <c r="R12" s="7"/>
      <c r="S12" s="7"/>
      <c r="T12" s="7"/>
      <c r="U12" s="7"/>
      <c r="V12" s="7"/>
      <c r="W12" s="7"/>
      <c r="X12" s="7"/>
      <c r="Y12" s="7"/>
      <c r="Z12" s="7"/>
      <c r="AA12" s="7"/>
      <c r="AB12" s="7"/>
      <c r="AC12" s="7"/>
      <c r="AD12" s="7"/>
      <c r="AE12" s="7"/>
      <c r="AF12" s="7"/>
      <c r="AG12" s="7"/>
    </row>
    <row r="13" spans="1:33" x14ac:dyDescent="0.25">
      <c r="A13" s="7"/>
      <c r="B13" s="59" t="s">
        <v>27</v>
      </c>
      <c r="C13" s="53">
        <v>1353128</v>
      </c>
      <c r="D13" s="54">
        <v>71338.834990424046</v>
      </c>
      <c r="E13" s="53">
        <v>30570.670320071185</v>
      </c>
      <c r="F13" s="53">
        <v>0</v>
      </c>
      <c r="G13" s="55">
        <f t="shared" si="3"/>
        <v>52.72142398237569</v>
      </c>
      <c r="H13" s="56">
        <f t="shared" si="4"/>
        <v>22.5925931028485</v>
      </c>
      <c r="I13" s="55">
        <f t="shared" si="5"/>
        <v>0</v>
      </c>
      <c r="J13" s="57">
        <f t="shared" si="0"/>
        <v>6.1818747825324108E-2</v>
      </c>
      <c r="K13" s="57">
        <f t="shared" si="1"/>
        <v>4.489085215869483E-2</v>
      </c>
      <c r="L13" s="58">
        <f t="shared" si="2"/>
        <v>0</v>
      </c>
      <c r="M13" s="7"/>
      <c r="N13" s="7"/>
      <c r="O13" s="7"/>
      <c r="P13" s="7"/>
      <c r="Q13" s="7"/>
      <c r="R13" s="7"/>
      <c r="S13" s="7"/>
      <c r="T13" s="7"/>
      <c r="U13" s="7"/>
      <c r="V13" s="7"/>
      <c r="W13" s="7"/>
      <c r="X13" s="7"/>
      <c r="Y13" s="7"/>
      <c r="Z13" s="7"/>
      <c r="AA13" s="7"/>
      <c r="AB13" s="7"/>
      <c r="AC13" s="7"/>
      <c r="AD13" s="7"/>
      <c r="AE13" s="7"/>
      <c r="AF13" s="7"/>
      <c r="AG13" s="7"/>
    </row>
    <row r="14" spans="1:33" x14ac:dyDescent="0.25">
      <c r="A14" s="7"/>
      <c r="B14" s="70" t="s">
        <v>328</v>
      </c>
      <c r="C14" s="71">
        <v>522221</v>
      </c>
      <c r="D14" s="72">
        <v>15434.708113030583</v>
      </c>
      <c r="E14" s="71">
        <v>12708.732852130306</v>
      </c>
      <c r="F14" s="71">
        <v>0</v>
      </c>
      <c r="G14" s="73">
        <f t="shared" si="3"/>
        <v>29.555893219595884</v>
      </c>
      <c r="H14" s="74">
        <f t="shared" si="4"/>
        <v>24.335928375401039</v>
      </c>
      <c r="I14" s="73">
        <f t="shared" si="5"/>
        <v>0</v>
      </c>
      <c r="J14" s="75">
        <f t="shared" si="0"/>
        <v>1.3374963702799459E-2</v>
      </c>
      <c r="K14" s="75">
        <f t="shared" si="1"/>
        <v>1.8661869092702354E-2</v>
      </c>
      <c r="L14" s="76">
        <f t="shared" si="2"/>
        <v>0</v>
      </c>
      <c r="M14" s="7"/>
      <c r="N14" s="7"/>
      <c r="O14" s="7"/>
      <c r="P14" s="7"/>
      <c r="Q14" s="7"/>
      <c r="R14" s="7"/>
      <c r="S14" s="7"/>
      <c r="T14" s="7"/>
      <c r="U14" s="7"/>
      <c r="V14" s="7"/>
      <c r="W14" s="7"/>
      <c r="X14" s="7"/>
      <c r="Y14" s="7"/>
      <c r="Z14" s="7"/>
      <c r="AA14" s="7"/>
      <c r="AB14" s="7"/>
      <c r="AC14" s="7"/>
      <c r="AD14" s="7"/>
      <c r="AE14" s="7"/>
      <c r="AF14" s="7"/>
      <c r="AG14" s="7"/>
    </row>
    <row r="15" spans="1:33" x14ac:dyDescent="0.25">
      <c r="A15" s="7"/>
      <c r="B15" s="59" t="s">
        <v>67</v>
      </c>
      <c r="C15" s="54">
        <v>9039594</v>
      </c>
      <c r="D15" s="54">
        <v>439956.48847602424</v>
      </c>
      <c r="E15" s="53">
        <v>184585.66888661144</v>
      </c>
      <c r="F15" s="53">
        <v>0</v>
      </c>
      <c r="G15" s="55">
        <f t="shared" si="3"/>
        <v>48.669938990182999</v>
      </c>
      <c r="H15" s="56">
        <f t="shared" si="4"/>
        <v>20.419685760954689</v>
      </c>
      <c r="I15" s="55">
        <f t="shared" si="5"/>
        <v>0</v>
      </c>
      <c r="J15" s="57">
        <f t="shared" si="0"/>
        <v>0.38124479070712658</v>
      </c>
      <c r="K15" s="57">
        <f t="shared" si="1"/>
        <v>0.27105090879091248</v>
      </c>
      <c r="L15" s="58">
        <f t="shared" si="2"/>
        <v>0</v>
      </c>
      <c r="M15" s="7"/>
      <c r="N15" s="7"/>
      <c r="O15" s="7"/>
      <c r="P15" s="7"/>
      <c r="Q15" s="7"/>
      <c r="R15" s="7"/>
      <c r="S15" s="7"/>
      <c r="T15" s="7"/>
      <c r="U15" s="7"/>
      <c r="V15" s="7"/>
      <c r="W15" s="7"/>
      <c r="X15" s="7"/>
      <c r="Y15" s="7"/>
      <c r="Z15" s="7"/>
      <c r="AA15" s="7"/>
      <c r="AB15" s="7"/>
      <c r="AC15" s="7"/>
      <c r="AD15" s="7"/>
      <c r="AE15" s="7"/>
      <c r="AF15" s="7"/>
      <c r="AG15" s="7"/>
    </row>
    <row r="16" spans="1:33" x14ac:dyDescent="0.25">
      <c r="A16" s="7"/>
      <c r="B16" s="70" t="s">
        <v>6</v>
      </c>
      <c r="C16" s="72">
        <v>17010277</v>
      </c>
      <c r="D16" s="72">
        <v>0</v>
      </c>
      <c r="E16" s="71">
        <v>171921.65280064335</v>
      </c>
      <c r="F16" s="71">
        <v>0</v>
      </c>
      <c r="G16" s="73">
        <f t="shared" si="3"/>
        <v>0</v>
      </c>
      <c r="H16" s="74">
        <f t="shared" si="4"/>
        <v>10.106928464518441</v>
      </c>
      <c r="I16" s="73">
        <f t="shared" si="5"/>
        <v>0</v>
      </c>
      <c r="J16" s="75">
        <f t="shared" si="0"/>
        <v>0</v>
      </c>
      <c r="K16" s="75">
        <f t="shared" si="1"/>
        <v>0.25245470308464513</v>
      </c>
      <c r="L16" s="76">
        <f t="shared" si="2"/>
        <v>0</v>
      </c>
      <c r="M16" s="7"/>
      <c r="N16" s="7"/>
      <c r="O16" s="7"/>
      <c r="P16" s="7"/>
      <c r="Q16" s="7"/>
      <c r="R16" s="7"/>
      <c r="S16" s="7"/>
      <c r="T16" s="7"/>
      <c r="U16" s="7"/>
      <c r="V16" s="7"/>
      <c r="W16" s="7"/>
      <c r="X16" s="7"/>
      <c r="Y16" s="7"/>
      <c r="Z16" s="7"/>
      <c r="AA16" s="7"/>
      <c r="AB16" s="7"/>
      <c r="AC16" s="7"/>
      <c r="AD16" s="7"/>
      <c r="AE16" s="7"/>
      <c r="AF16" s="7"/>
      <c r="AG16" s="7"/>
    </row>
    <row r="17" spans="1:33" x14ac:dyDescent="0.25">
      <c r="A17" s="7"/>
      <c r="B17" s="59" t="s">
        <v>440</v>
      </c>
      <c r="C17" s="54">
        <v>1941002</v>
      </c>
      <c r="D17" s="54">
        <v>25213.978060451936</v>
      </c>
      <c r="E17" s="53">
        <v>16439.397488397561</v>
      </c>
      <c r="F17" s="53">
        <v>0</v>
      </c>
      <c r="G17" s="55">
        <f t="shared" si="3"/>
        <v>12.990186543059686</v>
      </c>
      <c r="H17" s="56">
        <f t="shared" si="4"/>
        <v>8.4695417564729762</v>
      </c>
      <c r="I17" s="55">
        <f t="shared" si="5"/>
        <v>0</v>
      </c>
      <c r="J17" s="57">
        <f t="shared" si="0"/>
        <v>2.1849201092246036E-2</v>
      </c>
      <c r="K17" s="57">
        <f t="shared" si="1"/>
        <v>2.4140084417617558E-2</v>
      </c>
      <c r="L17" s="58">
        <f t="shared" si="2"/>
        <v>0</v>
      </c>
      <c r="M17" s="7"/>
      <c r="N17" s="7"/>
      <c r="O17" s="7"/>
      <c r="P17" s="7"/>
      <c r="Q17" s="7"/>
      <c r="R17" s="7"/>
      <c r="S17" s="7"/>
      <c r="T17" s="7"/>
      <c r="U17" s="7"/>
      <c r="V17" s="7"/>
      <c r="W17" s="7"/>
      <c r="X17" s="7"/>
      <c r="Y17" s="7"/>
      <c r="Z17" s="7"/>
      <c r="AA17" s="7"/>
      <c r="AB17" s="7"/>
      <c r="AC17" s="7"/>
      <c r="AD17" s="7"/>
      <c r="AE17" s="7"/>
      <c r="AF17" s="7"/>
      <c r="AG17" s="7"/>
    </row>
    <row r="18" spans="1:33" x14ac:dyDescent="0.25">
      <c r="A18" s="7"/>
      <c r="B18" s="70" t="s">
        <v>441</v>
      </c>
      <c r="C18" s="71">
        <v>17300000</v>
      </c>
      <c r="D18" s="72">
        <v>81650.335903672472</v>
      </c>
      <c r="E18" s="71">
        <v>44793.119422775177</v>
      </c>
      <c r="F18" s="71">
        <v>0</v>
      </c>
      <c r="G18" s="73">
        <f t="shared" si="3"/>
        <v>4.7196725955880039</v>
      </c>
      <c r="H18" s="74">
        <f t="shared" si="4"/>
        <v>2.589197654495675</v>
      </c>
      <c r="I18" s="73">
        <f t="shared" si="5"/>
        <v>0</v>
      </c>
      <c r="J18" s="75">
        <f t="shared" si="0"/>
        <v>7.0754190557775071E-2</v>
      </c>
      <c r="K18" s="75">
        <f t="shared" si="1"/>
        <v>6.5775505760315961E-2</v>
      </c>
      <c r="L18" s="76">
        <f t="shared" si="2"/>
        <v>0</v>
      </c>
      <c r="M18" s="7"/>
      <c r="N18" s="7"/>
      <c r="O18" s="7"/>
      <c r="P18" s="7"/>
      <c r="Q18" s="7"/>
      <c r="R18" s="7"/>
      <c r="S18" s="7"/>
      <c r="T18" s="7"/>
      <c r="U18" s="7"/>
      <c r="V18" s="7"/>
      <c r="W18" s="7"/>
      <c r="X18" s="7"/>
      <c r="Y18" s="7"/>
      <c r="Z18" s="7"/>
      <c r="AA18" s="7"/>
      <c r="AB18" s="7"/>
      <c r="AC18" s="7"/>
      <c r="AD18" s="7"/>
      <c r="AE18" s="7"/>
      <c r="AF18" s="7"/>
      <c r="AG18" s="7"/>
    </row>
    <row r="19" spans="1:33" x14ac:dyDescent="0.25">
      <c r="A19" s="7"/>
      <c r="B19" s="59" t="s">
        <v>45</v>
      </c>
      <c r="C19" s="53">
        <v>110000</v>
      </c>
      <c r="D19" s="54">
        <v>4617.8582330448517</v>
      </c>
      <c r="E19" s="53">
        <v>1055.8254503428529</v>
      </c>
      <c r="F19" s="53">
        <v>2824.1707586119624</v>
      </c>
      <c r="G19" s="55">
        <f t="shared" si="3"/>
        <v>41.980529391316836</v>
      </c>
      <c r="H19" s="56">
        <f t="shared" si="4"/>
        <v>9.5984131849350263</v>
      </c>
      <c r="I19" s="55">
        <f t="shared" si="5"/>
        <v>25.674279623745111</v>
      </c>
      <c r="J19" s="57">
        <f t="shared" si="0"/>
        <v>4.0016102539383444E-3</v>
      </c>
      <c r="K19" s="57">
        <f t="shared" si="1"/>
        <v>1.5504044792112376E-3</v>
      </c>
      <c r="L19" s="58">
        <f t="shared" si="2"/>
        <v>6.0446272818200461E-2</v>
      </c>
      <c r="M19" s="7"/>
      <c r="N19" s="7"/>
      <c r="O19" s="7"/>
      <c r="P19" s="7"/>
      <c r="Q19" s="7"/>
      <c r="R19" s="7"/>
      <c r="S19" s="7"/>
      <c r="T19" s="7"/>
      <c r="U19" s="7"/>
      <c r="V19" s="7"/>
      <c r="W19" s="7"/>
      <c r="X19" s="7"/>
      <c r="Y19" s="7"/>
      <c r="Z19" s="7"/>
      <c r="AA19" s="7"/>
      <c r="AB19" s="7"/>
      <c r="AC19" s="7"/>
      <c r="AD19" s="7"/>
      <c r="AE19" s="7"/>
      <c r="AF19" s="7"/>
      <c r="AG19" s="7"/>
    </row>
    <row r="20" spans="1:33" x14ac:dyDescent="0.25">
      <c r="A20" s="7"/>
      <c r="B20" s="70" t="s">
        <v>442</v>
      </c>
      <c r="C20" s="71">
        <v>120000</v>
      </c>
      <c r="D20" s="72">
        <v>8921.3202092407755</v>
      </c>
      <c r="E20" s="71">
        <v>854.87952523335912</v>
      </c>
      <c r="F20" s="71">
        <v>2518.3055296648859</v>
      </c>
      <c r="G20" s="73">
        <f t="shared" si="3"/>
        <v>74.344335077006463</v>
      </c>
      <c r="H20" s="74">
        <f t="shared" si="4"/>
        <v>7.1239960436113252</v>
      </c>
      <c r="I20" s="73">
        <f t="shared" si="5"/>
        <v>20.985879413874049</v>
      </c>
      <c r="J20" s="75">
        <f t="shared" si="0"/>
        <v>7.7307800773316919E-3</v>
      </c>
      <c r="K20" s="75">
        <f t="shared" si="1"/>
        <v>1.2553296993147709E-3</v>
      </c>
      <c r="L20" s="76">
        <f t="shared" si="2"/>
        <v>5.389978018203171E-2</v>
      </c>
      <c r="M20" s="7"/>
      <c r="N20" s="7"/>
      <c r="O20" s="7"/>
      <c r="P20" s="7"/>
      <c r="Q20" s="7"/>
      <c r="R20" s="7"/>
      <c r="S20" s="7"/>
      <c r="T20" s="7"/>
      <c r="U20" s="7"/>
      <c r="V20" s="7"/>
      <c r="W20" s="7"/>
      <c r="X20" s="7"/>
      <c r="Y20" s="7"/>
      <c r="Z20" s="7"/>
      <c r="AA20" s="7"/>
      <c r="AB20" s="7"/>
      <c r="AC20" s="7"/>
      <c r="AD20" s="7"/>
      <c r="AE20" s="7"/>
      <c r="AF20" s="7"/>
      <c r="AG20" s="7"/>
    </row>
    <row r="21" spans="1:33" x14ac:dyDescent="0.25">
      <c r="A21" s="7"/>
      <c r="B21" s="59" t="s">
        <v>443</v>
      </c>
      <c r="C21" s="53">
        <v>220000</v>
      </c>
      <c r="D21" s="54">
        <v>10543.259324553568</v>
      </c>
      <c r="E21" s="53">
        <v>3785.3198439799999</v>
      </c>
      <c r="F21" s="53">
        <v>2561.1560605332807</v>
      </c>
      <c r="G21" s="55">
        <f t="shared" si="3"/>
        <v>47.923906020698034</v>
      </c>
      <c r="H21" s="56">
        <f t="shared" si="4"/>
        <v>17.20599929081818</v>
      </c>
      <c r="I21" s="55">
        <f t="shared" si="5"/>
        <v>11.641618456969457</v>
      </c>
      <c r="J21" s="57">
        <f t="shared" si="0"/>
        <v>9.1362732448471099E-3</v>
      </c>
      <c r="K21" s="57">
        <f t="shared" si="1"/>
        <v>5.5584726049632879E-3</v>
      </c>
      <c r="L21" s="58">
        <f t="shared" si="2"/>
        <v>5.4816918379634441E-2</v>
      </c>
      <c r="M21" s="7"/>
      <c r="N21" s="7"/>
      <c r="O21" s="7"/>
      <c r="P21" s="7"/>
      <c r="Q21" s="7"/>
      <c r="R21" s="7"/>
      <c r="S21" s="7"/>
      <c r="T21" s="7"/>
      <c r="U21" s="7"/>
      <c r="V21" s="7"/>
      <c r="W21" s="7"/>
      <c r="X21" s="7"/>
      <c r="Y21" s="7"/>
      <c r="Z21" s="7"/>
      <c r="AA21" s="7"/>
      <c r="AB21" s="7"/>
      <c r="AC21" s="7"/>
      <c r="AD21" s="7"/>
      <c r="AE21" s="7"/>
      <c r="AF21" s="7"/>
      <c r="AG21" s="7"/>
    </row>
    <row r="22" spans="1:33" x14ac:dyDescent="0.25">
      <c r="A22" s="7"/>
      <c r="B22" s="70" t="s">
        <v>444</v>
      </c>
      <c r="C22" s="71">
        <v>70000</v>
      </c>
      <c r="D22" s="72">
        <v>10692.530615188794</v>
      </c>
      <c r="E22" s="71">
        <v>9743.8898655707017</v>
      </c>
      <c r="F22" s="71">
        <v>1710.7840033782529</v>
      </c>
      <c r="G22" s="73">
        <f t="shared" si="3"/>
        <v>152.75043735983991</v>
      </c>
      <c r="H22" s="74">
        <f t="shared" si="4"/>
        <v>139.19842665101001</v>
      </c>
      <c r="I22" s="73">
        <f t="shared" si="5"/>
        <v>24.439771476832185</v>
      </c>
      <c r="J22" s="75">
        <f t="shared" si="0"/>
        <v>9.2656244499036301E-3</v>
      </c>
      <c r="K22" s="75">
        <f t="shared" si="1"/>
        <v>1.4308208319487078E-2</v>
      </c>
      <c r="L22" s="76">
        <f t="shared" si="2"/>
        <v>3.6616240815424271E-2</v>
      </c>
      <c r="M22" s="7"/>
      <c r="N22" s="7"/>
      <c r="O22" s="7"/>
      <c r="P22" s="7"/>
      <c r="Q22" s="7"/>
      <c r="R22" s="7"/>
      <c r="S22" s="7"/>
      <c r="T22" s="7"/>
      <c r="U22" s="7"/>
      <c r="V22" s="7"/>
      <c r="W22" s="7"/>
      <c r="X22" s="7"/>
      <c r="Y22" s="7"/>
      <c r="Z22" s="7"/>
      <c r="AA22" s="7"/>
      <c r="AB22" s="7"/>
      <c r="AC22" s="7"/>
      <c r="AD22" s="7"/>
      <c r="AE22" s="7"/>
      <c r="AF22" s="7"/>
      <c r="AG22" s="7"/>
    </row>
    <row r="23" spans="1:33" x14ac:dyDescent="0.25">
      <c r="A23" s="7"/>
      <c r="B23" s="59" t="s">
        <v>445</v>
      </c>
      <c r="C23" s="53">
        <v>350000</v>
      </c>
      <c r="D23" s="54">
        <v>30900.860583090194</v>
      </c>
      <c r="E23" s="53">
        <v>1842.7908332748273</v>
      </c>
      <c r="F23" s="53">
        <v>0</v>
      </c>
      <c r="G23" s="55">
        <f t="shared" si="3"/>
        <v>88.28817309454341</v>
      </c>
      <c r="H23" s="56">
        <f t="shared" si="4"/>
        <v>5.265116666499507</v>
      </c>
      <c r="I23" s="55">
        <f t="shared" si="5"/>
        <v>0</v>
      </c>
      <c r="J23" s="57">
        <f t="shared" si="0"/>
        <v>2.6777175548605009E-2</v>
      </c>
      <c r="K23" s="57">
        <f t="shared" si="1"/>
        <v>2.7060070973198634E-3</v>
      </c>
      <c r="L23" s="58">
        <f t="shared" si="2"/>
        <v>0</v>
      </c>
      <c r="M23" s="7"/>
      <c r="N23" s="7"/>
      <c r="O23" s="7"/>
      <c r="P23" s="7"/>
      <c r="Q23" s="7"/>
      <c r="R23" s="7"/>
      <c r="S23" s="7"/>
      <c r="T23" s="7"/>
      <c r="U23" s="7"/>
      <c r="V23" s="7"/>
      <c r="W23" s="7"/>
      <c r="X23" s="7"/>
      <c r="Y23" s="7"/>
      <c r="Z23" s="7"/>
      <c r="AA23" s="7"/>
      <c r="AB23" s="7"/>
      <c r="AC23" s="7"/>
      <c r="AD23" s="7"/>
      <c r="AE23" s="7"/>
      <c r="AF23" s="7"/>
      <c r="AG23" s="7"/>
    </row>
    <row r="24" spans="1:33" x14ac:dyDescent="0.25">
      <c r="A24" s="7"/>
      <c r="B24" s="70" t="s">
        <v>59</v>
      </c>
      <c r="C24" s="71">
        <v>60569</v>
      </c>
      <c r="D24" s="72">
        <v>8057.9645494761744</v>
      </c>
      <c r="E24" s="71">
        <v>4389.688531077476</v>
      </c>
      <c r="F24" s="71">
        <v>16431.460436652495</v>
      </c>
      <c r="G24" s="73">
        <f t="shared" si="3"/>
        <v>133.03776766128175</v>
      </c>
      <c r="H24" s="74">
        <f t="shared" si="4"/>
        <v>72.47417872306751</v>
      </c>
      <c r="I24" s="73">
        <f t="shared" si="5"/>
        <v>271.28498797491284</v>
      </c>
      <c r="J24" s="75">
        <f t="shared" si="0"/>
        <v>6.9826382577783111E-3</v>
      </c>
      <c r="K24" s="75">
        <f t="shared" si="1"/>
        <v>6.4459449795557641E-3</v>
      </c>
      <c r="L24" s="76">
        <f t="shared" si="2"/>
        <v>0.35168572485451161</v>
      </c>
      <c r="M24" s="7"/>
      <c r="N24" s="7"/>
      <c r="O24" s="7"/>
      <c r="P24" s="7"/>
      <c r="Q24" s="7"/>
      <c r="R24" s="7"/>
      <c r="S24" s="7"/>
      <c r="T24" s="7"/>
      <c r="U24" s="7"/>
      <c r="V24" s="7"/>
      <c r="W24" s="7"/>
      <c r="X24" s="7"/>
      <c r="Y24" s="7"/>
      <c r="Z24" s="7"/>
      <c r="AA24" s="7"/>
      <c r="AB24" s="7"/>
      <c r="AC24" s="7"/>
      <c r="AD24" s="7"/>
      <c r="AE24" s="7"/>
      <c r="AF24" s="7"/>
      <c r="AG24" s="7"/>
    </row>
    <row r="25" spans="1:33" x14ac:dyDescent="0.25">
      <c r="A25" s="7"/>
      <c r="B25" s="59" t="s">
        <v>446</v>
      </c>
      <c r="C25" s="53">
        <v>2946097</v>
      </c>
      <c r="D25" s="54">
        <v>17948.527513387438</v>
      </c>
      <c r="E25" s="53">
        <v>5722.1498253121945</v>
      </c>
      <c r="F25" s="53">
        <v>12503.220055925784</v>
      </c>
      <c r="G25" s="55">
        <f t="shared" si="3"/>
        <v>6.0923070467087257</v>
      </c>
      <c r="H25" s="56">
        <f t="shared" si="4"/>
        <v>1.9422815424312894</v>
      </c>
      <c r="I25" s="55">
        <f t="shared" si="5"/>
        <v>4.2439947007602878</v>
      </c>
      <c r="J25" s="57">
        <f t="shared" si="0"/>
        <v>1.5553316736037635E-2</v>
      </c>
      <c r="K25" s="57">
        <f t="shared" si="1"/>
        <v>8.4025694938505043E-3</v>
      </c>
      <c r="L25" s="58">
        <f t="shared" si="2"/>
        <v>0.26760883643520789</v>
      </c>
      <c r="M25" s="7"/>
      <c r="N25" s="7"/>
      <c r="O25" s="7"/>
      <c r="P25" s="7"/>
      <c r="Q25" s="7"/>
      <c r="R25" s="7"/>
      <c r="S25" s="7"/>
      <c r="T25" s="7"/>
      <c r="U25" s="7"/>
      <c r="V25" s="7"/>
      <c r="W25" s="7"/>
      <c r="X25" s="7"/>
      <c r="Y25" s="7"/>
      <c r="Z25" s="7"/>
      <c r="AA25" s="7"/>
      <c r="AB25" s="7"/>
      <c r="AC25" s="7"/>
      <c r="AD25" s="7"/>
      <c r="AE25" s="7"/>
      <c r="AF25" s="7"/>
      <c r="AG25" s="7"/>
    </row>
    <row r="26" spans="1:33" ht="6" customHeight="1" thickBot="1" x14ac:dyDescent="0.3">
      <c r="A26" s="7"/>
      <c r="B26" s="59"/>
      <c r="C26" s="53"/>
      <c r="D26" s="54"/>
      <c r="E26" s="53"/>
      <c r="F26" s="53"/>
      <c r="G26" s="39"/>
      <c r="H26" s="43"/>
      <c r="I26" s="39"/>
      <c r="J26" s="57"/>
      <c r="K26" s="57"/>
      <c r="L26" s="58"/>
      <c r="M26" s="7"/>
      <c r="N26" s="7"/>
      <c r="O26" s="7"/>
      <c r="P26" s="7"/>
      <c r="Q26" s="7"/>
      <c r="R26" s="7"/>
      <c r="S26" s="7"/>
      <c r="T26" s="7"/>
      <c r="U26" s="7"/>
      <c r="V26" s="7"/>
      <c r="W26" s="7"/>
      <c r="X26" s="7"/>
      <c r="Y26" s="7"/>
      <c r="Z26" s="7"/>
      <c r="AA26" s="7"/>
      <c r="AB26" s="7"/>
      <c r="AC26" s="7"/>
      <c r="AD26" s="7"/>
      <c r="AE26" s="7"/>
      <c r="AF26" s="7"/>
      <c r="AG26" s="7"/>
    </row>
    <row r="27" spans="1:33" ht="24.95" customHeight="1" thickTop="1" thickBot="1" x14ac:dyDescent="0.3">
      <c r="A27" s="13"/>
      <c r="B27" s="61" t="s">
        <v>13</v>
      </c>
      <c r="C27" s="62">
        <f>SUM(C11:C25)</f>
        <v>57524872</v>
      </c>
      <c r="D27" s="63">
        <f>SUM(D11:D25)</f>
        <v>1154000.0000000005</v>
      </c>
      <c r="E27" s="62">
        <f>SUM(E11:E25)</f>
        <v>681000.00000000012</v>
      </c>
      <c r="F27" s="62">
        <f>SUM(F11:F25)</f>
        <v>46722.000000000007</v>
      </c>
      <c r="G27" s="60"/>
      <c r="H27" s="60"/>
      <c r="I27" s="60"/>
      <c r="J27" s="64">
        <f>SUM(J11:J25)</f>
        <v>1</v>
      </c>
      <c r="K27" s="64">
        <f>SUM(K11:K25)</f>
        <v>0.99999999999999989</v>
      </c>
      <c r="L27" s="65">
        <f>SUM(L11:L25)</f>
        <v>1</v>
      </c>
      <c r="M27" s="13"/>
      <c r="N27" s="13"/>
      <c r="O27" s="13"/>
      <c r="P27" s="7"/>
      <c r="Q27" s="7"/>
      <c r="R27" s="7"/>
      <c r="S27" s="7"/>
      <c r="T27" s="7"/>
      <c r="U27" s="7"/>
      <c r="V27" s="7"/>
      <c r="W27" s="7"/>
      <c r="X27" s="7"/>
      <c r="Y27" s="7"/>
      <c r="Z27" s="7"/>
      <c r="AA27" s="7"/>
      <c r="AB27" s="7"/>
      <c r="AC27" s="7"/>
      <c r="AD27" s="7"/>
      <c r="AE27" s="7"/>
      <c r="AF27" s="7"/>
      <c r="AG27" s="7"/>
    </row>
    <row r="28" spans="1:33" ht="15.75" thickTop="1" x14ac:dyDescent="0.25">
      <c r="A28" s="7"/>
      <c r="B28" s="35"/>
      <c r="C28" s="35"/>
      <c r="D28" s="35"/>
      <c r="E28" s="35"/>
      <c r="F28" s="35"/>
      <c r="G28" s="35"/>
      <c r="H28" s="35"/>
      <c r="I28" s="35"/>
      <c r="J28" s="35"/>
      <c r="K28" s="35"/>
      <c r="L28" s="35"/>
      <c r="M28" s="7"/>
      <c r="N28" s="7"/>
      <c r="O28" s="7"/>
      <c r="P28" s="7"/>
      <c r="Q28" s="7"/>
      <c r="R28" s="7"/>
      <c r="S28" s="7"/>
      <c r="T28" s="7"/>
      <c r="U28" s="7"/>
      <c r="V28" s="7"/>
      <c r="W28" s="7"/>
      <c r="X28" s="7"/>
      <c r="Y28" s="7"/>
      <c r="Z28" s="7"/>
      <c r="AA28" s="7"/>
      <c r="AB28" s="7"/>
      <c r="AC28" s="7"/>
      <c r="AD28" s="7"/>
      <c r="AE28" s="7"/>
      <c r="AF28" s="7"/>
      <c r="AG28" s="7"/>
    </row>
    <row r="29" spans="1:33" x14ac:dyDescent="0.25">
      <c r="A29" s="7"/>
      <c r="B29" s="35"/>
      <c r="C29" s="35"/>
      <c r="D29" s="35"/>
      <c r="E29" s="35"/>
      <c r="F29" s="35"/>
      <c r="G29" s="35"/>
      <c r="H29" s="35"/>
      <c r="I29" s="35"/>
      <c r="J29" s="35"/>
      <c r="K29" s="35"/>
      <c r="L29" s="35"/>
      <c r="M29" s="7"/>
      <c r="N29" s="7"/>
      <c r="O29" s="7"/>
      <c r="P29" s="7"/>
      <c r="Q29" s="7"/>
      <c r="R29" s="7"/>
      <c r="S29" s="7"/>
      <c r="T29" s="7"/>
      <c r="U29" s="7"/>
      <c r="V29" s="7"/>
      <c r="W29" s="7"/>
      <c r="X29" s="7"/>
      <c r="Y29" s="7"/>
      <c r="Z29" s="7"/>
      <c r="AA29" s="7"/>
      <c r="AB29" s="7"/>
      <c r="AC29" s="7"/>
      <c r="AD29" s="7"/>
      <c r="AE29" s="7"/>
      <c r="AF29" s="7"/>
      <c r="AG29" s="7"/>
    </row>
    <row r="30" spans="1:33" x14ac:dyDescent="0.25">
      <c r="A30" s="21"/>
      <c r="B30" s="66" t="s">
        <v>396</v>
      </c>
      <c r="C30" s="67"/>
      <c r="D30" s="68"/>
      <c r="E30" s="68"/>
      <c r="F30" s="68"/>
      <c r="G30" s="67"/>
      <c r="H30" s="68"/>
      <c r="I30" s="68"/>
      <c r="J30" s="35"/>
      <c r="K30" s="36"/>
      <c r="L30" s="36"/>
    </row>
    <row r="31" spans="1:33" x14ac:dyDescent="0.25">
      <c r="A31" s="21"/>
      <c r="B31" s="67" t="s">
        <v>102</v>
      </c>
      <c r="C31" s="67"/>
      <c r="D31" s="68"/>
      <c r="E31" s="68"/>
      <c r="F31" s="68"/>
      <c r="G31" s="67"/>
      <c r="H31" s="68"/>
      <c r="I31" s="68"/>
      <c r="J31" s="35"/>
      <c r="K31" s="36"/>
      <c r="L31" s="36"/>
    </row>
    <row r="32" spans="1:33" x14ac:dyDescent="0.25">
      <c r="A32" s="21"/>
      <c r="B32" s="67"/>
      <c r="C32" s="67"/>
      <c r="D32" s="68"/>
      <c r="E32" s="68"/>
      <c r="F32" s="68"/>
      <c r="G32" s="67"/>
      <c r="H32" s="68"/>
      <c r="I32" s="68"/>
      <c r="J32" s="35"/>
      <c r="K32" s="36"/>
      <c r="L32" s="36"/>
    </row>
    <row r="33" spans="1:33" x14ac:dyDescent="0.25">
      <c r="A33" s="21"/>
      <c r="B33" s="66" t="s">
        <v>397</v>
      </c>
      <c r="C33" s="67"/>
      <c r="D33" s="68"/>
      <c r="E33" s="68"/>
      <c r="F33" s="68"/>
      <c r="G33" s="67"/>
      <c r="H33" s="68"/>
      <c r="I33" s="68"/>
      <c r="J33" s="35"/>
      <c r="K33" s="36"/>
      <c r="L33" s="36"/>
    </row>
    <row r="34" spans="1:33" x14ac:dyDescent="0.25">
      <c r="A34" s="21"/>
      <c r="B34" s="67" t="s">
        <v>103</v>
      </c>
      <c r="C34" s="68"/>
      <c r="D34" s="68"/>
      <c r="E34" s="68"/>
      <c r="F34" s="68"/>
      <c r="G34" s="68"/>
      <c r="H34" s="68"/>
      <c r="I34" s="68"/>
      <c r="J34" s="36"/>
      <c r="K34" s="36"/>
      <c r="L34" s="36"/>
    </row>
    <row r="35" spans="1:33" x14ac:dyDescent="0.25">
      <c r="A35" s="7"/>
      <c r="B35" s="69" t="s">
        <v>382</v>
      </c>
      <c r="C35" s="69"/>
      <c r="D35" s="69"/>
      <c r="E35" s="69"/>
      <c r="F35" s="69"/>
      <c r="G35" s="69"/>
      <c r="H35" s="69"/>
      <c r="I35" s="69"/>
      <c r="J35" s="37"/>
      <c r="K35" s="37"/>
      <c r="L35" s="35"/>
      <c r="M35" s="7"/>
      <c r="N35" s="7"/>
      <c r="O35" s="7"/>
      <c r="P35" s="7"/>
      <c r="Q35" s="7"/>
      <c r="R35" s="7"/>
      <c r="S35" s="7"/>
      <c r="T35" s="7"/>
      <c r="U35" s="7"/>
      <c r="V35" s="7"/>
      <c r="W35" s="7"/>
      <c r="X35" s="7"/>
      <c r="Y35" s="7"/>
      <c r="Z35" s="7"/>
      <c r="AA35" s="7"/>
      <c r="AB35" s="7"/>
      <c r="AC35" s="7"/>
      <c r="AD35" s="7"/>
      <c r="AE35" s="7"/>
      <c r="AF35" s="7"/>
      <c r="AG35" s="7"/>
    </row>
    <row r="36" spans="1:33" x14ac:dyDescent="0.25">
      <c r="A36" s="7"/>
      <c r="B36" s="67"/>
      <c r="C36" s="67"/>
      <c r="D36" s="67"/>
      <c r="E36" s="67"/>
      <c r="F36" s="67"/>
      <c r="G36" s="67"/>
      <c r="H36" s="67"/>
      <c r="I36" s="67"/>
      <c r="J36" s="35"/>
      <c r="K36" s="35"/>
      <c r="L36" s="35"/>
      <c r="M36" s="7"/>
      <c r="N36" s="7"/>
      <c r="O36" s="7"/>
      <c r="P36" s="7"/>
      <c r="Q36" s="7"/>
      <c r="R36" s="7"/>
      <c r="S36" s="7"/>
      <c r="T36" s="7"/>
      <c r="U36" s="7"/>
      <c r="V36" s="7"/>
      <c r="W36" s="7"/>
      <c r="X36" s="7"/>
      <c r="Y36" s="7"/>
      <c r="Z36" s="7"/>
      <c r="AA36" s="7"/>
      <c r="AB36" s="7"/>
      <c r="AC36" s="7"/>
      <c r="AD36" s="7"/>
      <c r="AE36" s="7"/>
      <c r="AF36" s="7"/>
      <c r="AG36" s="7"/>
    </row>
    <row r="37" spans="1:33" x14ac:dyDescent="0.25">
      <c r="A37" s="7"/>
      <c r="B37" s="66" t="s">
        <v>398</v>
      </c>
      <c r="C37" s="67"/>
      <c r="D37" s="67"/>
      <c r="E37" s="67"/>
      <c r="F37" s="67"/>
      <c r="G37" s="67"/>
      <c r="H37" s="67"/>
      <c r="I37" s="67"/>
      <c r="J37" s="35"/>
      <c r="K37" s="35"/>
      <c r="L37" s="35"/>
      <c r="M37" s="7"/>
      <c r="N37" s="7"/>
      <c r="O37" s="7"/>
      <c r="P37" s="7"/>
      <c r="Q37" s="7"/>
      <c r="R37" s="7"/>
      <c r="S37" s="7"/>
      <c r="T37" s="7"/>
      <c r="U37" s="7"/>
      <c r="V37" s="7"/>
      <c r="W37" s="7"/>
      <c r="X37" s="7"/>
      <c r="Y37" s="7"/>
      <c r="Z37" s="7"/>
      <c r="AA37" s="7"/>
      <c r="AB37" s="7"/>
      <c r="AC37" s="7"/>
      <c r="AD37" s="7"/>
      <c r="AE37" s="7"/>
      <c r="AF37" s="7"/>
      <c r="AG37" s="7"/>
    </row>
    <row r="38" spans="1:33" s="7" customFormat="1" x14ac:dyDescent="0.25">
      <c r="B38" s="67"/>
      <c r="C38" s="67"/>
      <c r="D38" s="67"/>
      <c r="E38" s="67"/>
      <c r="F38" s="67"/>
      <c r="G38" s="67"/>
      <c r="H38" s="67"/>
      <c r="I38" s="67"/>
      <c r="J38" s="35"/>
      <c r="K38" s="35"/>
      <c r="L38" s="35"/>
    </row>
    <row r="39" spans="1:33" s="7" customFormat="1" x14ac:dyDescent="0.25">
      <c r="B39" s="67"/>
      <c r="C39" s="67"/>
      <c r="D39" s="67"/>
      <c r="E39" s="67"/>
      <c r="F39" s="67"/>
      <c r="G39" s="67"/>
      <c r="H39" s="67"/>
      <c r="I39" s="67"/>
      <c r="J39" s="35"/>
      <c r="K39" s="35"/>
      <c r="L39" s="35"/>
    </row>
    <row r="40" spans="1:33" s="7" customFormat="1" x14ac:dyDescent="0.25">
      <c r="B40" s="35"/>
      <c r="C40" s="35"/>
      <c r="D40" s="35"/>
      <c r="E40" s="35"/>
      <c r="F40" s="35"/>
      <c r="G40" s="35"/>
      <c r="H40" s="35"/>
      <c r="I40" s="35"/>
      <c r="J40" s="35"/>
      <c r="K40" s="35"/>
      <c r="L40" s="35"/>
    </row>
    <row r="41" spans="1:33" s="7" customFormat="1" x14ac:dyDescent="0.25">
      <c r="B41" s="35"/>
      <c r="C41" s="35"/>
      <c r="D41" s="35"/>
      <c r="E41" s="35"/>
      <c r="F41" s="35"/>
      <c r="G41" s="35"/>
      <c r="H41" s="35"/>
      <c r="I41" s="35"/>
      <c r="J41" s="35"/>
      <c r="K41" s="35"/>
      <c r="L41" s="35"/>
    </row>
    <row r="42" spans="1:33" s="7" customFormat="1" x14ac:dyDescent="0.25">
      <c r="B42" s="35"/>
      <c r="C42" s="35"/>
      <c r="D42" s="35"/>
      <c r="E42" s="35"/>
      <c r="F42" s="35"/>
      <c r="G42" s="35"/>
      <c r="H42" s="35"/>
      <c r="I42" s="35"/>
      <c r="J42" s="35"/>
      <c r="K42" s="35"/>
      <c r="L42" s="35"/>
    </row>
    <row r="43" spans="1:33" s="7" customFormat="1" x14ac:dyDescent="0.25">
      <c r="B43" s="35"/>
      <c r="C43" s="35"/>
      <c r="D43" s="35"/>
      <c r="E43" s="35"/>
      <c r="F43" s="35"/>
      <c r="G43" s="35"/>
      <c r="H43" s="35"/>
      <c r="I43" s="35"/>
      <c r="J43" s="35"/>
      <c r="K43" s="35"/>
      <c r="L43" s="35"/>
    </row>
    <row r="44" spans="1:33" s="7" customFormat="1" x14ac:dyDescent="0.25">
      <c r="B44" s="35"/>
      <c r="C44" s="35"/>
      <c r="D44" s="35"/>
      <c r="E44" s="35"/>
      <c r="F44" s="35"/>
      <c r="G44" s="35"/>
      <c r="H44" s="35"/>
      <c r="I44" s="35"/>
      <c r="J44" s="35"/>
      <c r="K44" s="35"/>
      <c r="L44" s="35"/>
    </row>
    <row r="45" spans="1:33" s="7" customFormat="1" x14ac:dyDescent="0.25">
      <c r="B45" s="35"/>
      <c r="C45" s="35"/>
      <c r="D45" s="35"/>
      <c r="E45" s="35"/>
      <c r="F45" s="35"/>
      <c r="G45" s="35"/>
      <c r="H45" s="35"/>
      <c r="I45" s="35"/>
      <c r="J45" s="35"/>
      <c r="K45" s="35"/>
      <c r="L45" s="35"/>
    </row>
    <row r="46" spans="1:33" s="7" customFormat="1" x14ac:dyDescent="0.25">
      <c r="B46" s="35"/>
      <c r="C46" s="35"/>
      <c r="D46" s="35"/>
      <c r="E46" s="35"/>
      <c r="F46" s="35"/>
      <c r="G46" s="35"/>
      <c r="H46" s="35"/>
      <c r="I46" s="35"/>
      <c r="J46" s="35"/>
      <c r="K46" s="35"/>
      <c r="L46" s="35"/>
    </row>
    <row r="47" spans="1:33" s="7" customFormat="1" x14ac:dyDescent="0.25">
      <c r="B47" s="35"/>
      <c r="C47" s="35"/>
      <c r="D47" s="35"/>
      <c r="E47" s="35"/>
      <c r="F47" s="35"/>
      <c r="G47" s="35"/>
      <c r="H47" s="35"/>
      <c r="I47" s="35"/>
      <c r="J47" s="35"/>
      <c r="K47" s="35"/>
      <c r="L47" s="35"/>
    </row>
    <row r="48" spans="1:33" s="7" customFormat="1" x14ac:dyDescent="0.25">
      <c r="B48" s="35"/>
      <c r="C48" s="35"/>
      <c r="D48" s="35"/>
      <c r="E48" s="35"/>
      <c r="F48" s="35"/>
      <c r="G48" s="35"/>
      <c r="H48" s="35"/>
      <c r="I48" s="35"/>
      <c r="J48" s="35"/>
      <c r="K48" s="35"/>
      <c r="L48" s="35"/>
    </row>
    <row r="49" spans="2:12" s="7" customFormat="1" x14ac:dyDescent="0.25">
      <c r="B49" s="35"/>
      <c r="C49" s="35"/>
      <c r="D49" s="35"/>
      <c r="E49" s="35"/>
      <c r="F49" s="35"/>
      <c r="G49" s="35"/>
      <c r="H49" s="35"/>
      <c r="I49" s="35"/>
      <c r="J49" s="35"/>
      <c r="K49" s="35"/>
      <c r="L49" s="35"/>
    </row>
    <row r="50" spans="2:12" s="7" customFormat="1" x14ac:dyDescent="0.25">
      <c r="B50" s="35"/>
      <c r="C50" s="35"/>
      <c r="D50" s="35"/>
      <c r="E50" s="35"/>
      <c r="F50" s="35"/>
      <c r="G50" s="35"/>
      <c r="H50" s="35"/>
      <c r="I50" s="35"/>
      <c r="J50" s="35"/>
      <c r="K50" s="35"/>
      <c r="L50" s="35"/>
    </row>
    <row r="51" spans="2:12" s="7" customFormat="1" x14ac:dyDescent="0.25">
      <c r="B51" s="35"/>
      <c r="C51" s="35"/>
      <c r="D51" s="35"/>
      <c r="E51" s="35"/>
      <c r="F51" s="35"/>
      <c r="G51" s="35"/>
      <c r="H51" s="35"/>
      <c r="I51" s="35"/>
      <c r="J51" s="35"/>
      <c r="K51" s="35"/>
      <c r="L51" s="35"/>
    </row>
    <row r="52" spans="2:12" s="7" customFormat="1" x14ac:dyDescent="0.25">
      <c r="B52" s="35"/>
      <c r="C52" s="35"/>
      <c r="D52" s="35"/>
      <c r="E52" s="35"/>
      <c r="F52" s="35"/>
      <c r="G52" s="35"/>
      <c r="H52" s="35"/>
      <c r="I52" s="35"/>
      <c r="J52" s="35"/>
      <c r="K52" s="35"/>
      <c r="L52" s="35"/>
    </row>
    <row r="53" spans="2:12" s="7" customFormat="1" x14ac:dyDescent="0.25">
      <c r="B53" s="35"/>
      <c r="C53" s="35"/>
      <c r="D53" s="35"/>
      <c r="E53" s="35"/>
      <c r="F53" s="35"/>
      <c r="G53" s="35"/>
      <c r="H53" s="35"/>
      <c r="I53" s="35"/>
      <c r="J53" s="35"/>
      <c r="K53" s="35"/>
      <c r="L53" s="35"/>
    </row>
    <row r="54" spans="2:12" s="7" customFormat="1" x14ac:dyDescent="0.25">
      <c r="B54" s="35"/>
      <c r="C54" s="35"/>
      <c r="D54" s="35"/>
      <c r="E54" s="35"/>
      <c r="F54" s="35"/>
      <c r="G54" s="35"/>
      <c r="H54" s="35"/>
      <c r="I54" s="35"/>
      <c r="J54" s="35"/>
      <c r="K54" s="35"/>
      <c r="L54" s="35"/>
    </row>
    <row r="55" spans="2:12" s="7" customFormat="1" x14ac:dyDescent="0.25">
      <c r="B55" s="35"/>
      <c r="C55" s="35"/>
      <c r="D55" s="35"/>
      <c r="E55" s="35"/>
      <c r="F55" s="35"/>
      <c r="G55" s="35"/>
      <c r="H55" s="35"/>
      <c r="I55" s="35"/>
      <c r="J55" s="35"/>
      <c r="K55" s="35"/>
      <c r="L55" s="35"/>
    </row>
    <row r="56" spans="2:12" s="7" customFormat="1" x14ac:dyDescent="0.25">
      <c r="B56" s="35"/>
      <c r="C56" s="35"/>
      <c r="D56" s="35"/>
      <c r="E56" s="35"/>
      <c r="F56" s="35"/>
      <c r="G56" s="35"/>
      <c r="H56" s="35"/>
      <c r="I56" s="35"/>
      <c r="J56" s="35"/>
      <c r="K56" s="35"/>
      <c r="L56" s="35"/>
    </row>
    <row r="57" spans="2:12" s="7" customFormat="1" x14ac:dyDescent="0.25">
      <c r="B57" s="35"/>
      <c r="C57" s="35"/>
      <c r="D57" s="35"/>
      <c r="E57" s="35"/>
      <c r="F57" s="35"/>
      <c r="G57" s="35"/>
      <c r="H57" s="35"/>
      <c r="I57" s="35"/>
      <c r="J57" s="35"/>
      <c r="K57" s="35"/>
      <c r="L57" s="35"/>
    </row>
    <row r="58" spans="2:12" s="7" customFormat="1" x14ac:dyDescent="0.25">
      <c r="B58" s="35"/>
      <c r="C58" s="35"/>
      <c r="D58" s="35"/>
      <c r="E58" s="35"/>
      <c r="F58" s="35"/>
      <c r="G58" s="35"/>
      <c r="H58" s="35"/>
      <c r="I58" s="35"/>
      <c r="J58" s="35"/>
      <c r="K58" s="35"/>
      <c r="L58" s="35"/>
    </row>
    <row r="59" spans="2:12" s="7" customFormat="1" x14ac:dyDescent="0.25">
      <c r="B59" s="35"/>
      <c r="C59" s="35"/>
      <c r="D59" s="35"/>
      <c r="E59" s="35"/>
      <c r="F59" s="35"/>
      <c r="G59" s="35"/>
      <c r="H59" s="35"/>
      <c r="I59" s="35"/>
      <c r="J59" s="35"/>
      <c r="K59" s="35"/>
      <c r="L59" s="35"/>
    </row>
    <row r="60" spans="2:12" s="7" customFormat="1" x14ac:dyDescent="0.25">
      <c r="B60" s="35"/>
      <c r="C60" s="35"/>
      <c r="D60" s="35"/>
      <c r="E60" s="35"/>
      <c r="F60" s="35"/>
      <c r="G60" s="35"/>
      <c r="H60" s="35"/>
      <c r="I60" s="35"/>
      <c r="J60" s="35"/>
      <c r="K60" s="35"/>
      <c r="L60" s="35"/>
    </row>
    <row r="61" spans="2:12" s="7" customFormat="1" x14ac:dyDescent="0.25">
      <c r="B61" s="35"/>
      <c r="C61" s="35"/>
      <c r="D61" s="35"/>
      <c r="E61" s="35"/>
      <c r="F61" s="35"/>
      <c r="G61" s="35"/>
      <c r="H61" s="35"/>
      <c r="I61" s="35"/>
      <c r="J61" s="35"/>
      <c r="K61" s="35"/>
      <c r="L61" s="35"/>
    </row>
    <row r="62" spans="2:12" s="7" customFormat="1" x14ac:dyDescent="0.25">
      <c r="B62" s="35"/>
      <c r="C62" s="35"/>
      <c r="D62" s="35"/>
      <c r="E62" s="35"/>
      <c r="F62" s="35"/>
      <c r="G62" s="35"/>
      <c r="H62" s="35"/>
      <c r="I62" s="35"/>
      <c r="J62" s="35"/>
      <c r="K62" s="35"/>
      <c r="L62" s="35"/>
    </row>
    <row r="63" spans="2:12" s="7" customFormat="1" x14ac:dyDescent="0.25">
      <c r="B63" s="35"/>
      <c r="C63" s="35"/>
      <c r="D63" s="35"/>
      <c r="E63" s="35"/>
      <c r="F63" s="35"/>
      <c r="G63" s="35"/>
      <c r="H63" s="35"/>
      <c r="I63" s="35"/>
      <c r="J63" s="35"/>
      <c r="K63" s="35"/>
      <c r="L63" s="35"/>
    </row>
    <row r="64" spans="2:12" s="7" customFormat="1" x14ac:dyDescent="0.25">
      <c r="B64" s="35"/>
      <c r="C64" s="35"/>
      <c r="D64" s="35"/>
      <c r="E64" s="35"/>
      <c r="F64" s="35"/>
      <c r="G64" s="35"/>
      <c r="H64" s="35"/>
      <c r="I64" s="35"/>
      <c r="J64" s="35"/>
      <c r="K64" s="35"/>
      <c r="L64" s="35"/>
    </row>
    <row r="65" spans="2:12" s="7" customFormat="1" x14ac:dyDescent="0.25">
      <c r="B65" s="35"/>
      <c r="C65" s="35"/>
      <c r="D65" s="35"/>
      <c r="E65" s="35"/>
      <c r="F65" s="35"/>
      <c r="G65" s="35"/>
      <c r="H65" s="35"/>
      <c r="I65" s="35"/>
      <c r="J65" s="35"/>
      <c r="K65" s="35"/>
      <c r="L65" s="35"/>
    </row>
    <row r="66" spans="2:12" s="7" customFormat="1" x14ac:dyDescent="0.25">
      <c r="B66" s="35"/>
      <c r="C66" s="35"/>
      <c r="D66" s="35"/>
      <c r="E66" s="35"/>
      <c r="F66" s="35"/>
      <c r="G66" s="35"/>
      <c r="H66" s="35"/>
      <c r="I66" s="35"/>
      <c r="J66" s="35"/>
      <c r="K66" s="35"/>
      <c r="L66" s="35"/>
    </row>
    <row r="67" spans="2:12" s="7" customFormat="1" x14ac:dyDescent="0.25">
      <c r="B67" s="35"/>
      <c r="C67" s="35"/>
      <c r="D67" s="35"/>
      <c r="E67" s="35"/>
      <c r="F67" s="35"/>
      <c r="G67" s="35"/>
      <c r="H67" s="35"/>
      <c r="I67" s="35"/>
      <c r="J67" s="35"/>
      <c r="K67" s="35"/>
      <c r="L67" s="35"/>
    </row>
    <row r="68" spans="2:12" s="7" customFormat="1" x14ac:dyDescent="0.25">
      <c r="B68" s="35"/>
      <c r="C68" s="35"/>
      <c r="D68" s="35"/>
      <c r="E68" s="35"/>
      <c r="F68" s="35"/>
      <c r="G68" s="35"/>
      <c r="H68" s="35"/>
      <c r="I68" s="35"/>
      <c r="J68" s="35"/>
      <c r="K68" s="35"/>
      <c r="L68" s="35"/>
    </row>
    <row r="69" spans="2:12" s="7" customFormat="1" x14ac:dyDescent="0.25">
      <c r="B69" s="35"/>
      <c r="C69" s="35"/>
      <c r="D69" s="35"/>
      <c r="E69" s="35"/>
      <c r="F69" s="35"/>
      <c r="G69" s="35"/>
      <c r="H69" s="35"/>
      <c r="I69" s="35"/>
      <c r="J69" s="35"/>
      <c r="K69" s="35"/>
      <c r="L69" s="35"/>
    </row>
    <row r="70" spans="2:12" s="7" customFormat="1" x14ac:dyDescent="0.25">
      <c r="B70" s="35"/>
      <c r="C70" s="35"/>
      <c r="D70" s="35"/>
      <c r="E70" s="35"/>
      <c r="F70" s="35"/>
      <c r="G70" s="35"/>
      <c r="H70" s="35"/>
      <c r="I70" s="35"/>
      <c r="J70" s="35"/>
      <c r="K70" s="35"/>
      <c r="L70" s="35"/>
    </row>
    <row r="71" spans="2:12" s="7" customFormat="1" x14ac:dyDescent="0.25"/>
    <row r="72" spans="2:12" s="7" customFormat="1" x14ac:dyDescent="0.25"/>
    <row r="73" spans="2:12" s="7" customFormat="1" x14ac:dyDescent="0.25"/>
    <row r="74" spans="2:12" s="7" customFormat="1" x14ac:dyDescent="0.25"/>
    <row r="75" spans="2:12" s="7" customFormat="1" x14ac:dyDescent="0.25"/>
    <row r="76" spans="2:12" s="7" customFormat="1" x14ac:dyDescent="0.25"/>
    <row r="77" spans="2:12" s="7" customFormat="1" x14ac:dyDescent="0.25"/>
    <row r="78" spans="2:12" s="7" customFormat="1" x14ac:dyDescent="0.25"/>
    <row r="79" spans="2:12" s="7" customFormat="1" x14ac:dyDescent="0.25"/>
    <row r="80" spans="2:12" s="7" customFormat="1" x14ac:dyDescent="0.25"/>
    <row r="81" s="7" customFormat="1" x14ac:dyDescent="0.25"/>
    <row r="82" s="7" customFormat="1" x14ac:dyDescent="0.25"/>
    <row r="83" s="7" customFormat="1" x14ac:dyDescent="0.25"/>
    <row r="84" s="7" customFormat="1" x14ac:dyDescent="0.25"/>
    <row r="85" s="7" customFormat="1" x14ac:dyDescent="0.25"/>
    <row r="86" s="7" customFormat="1" x14ac:dyDescent="0.25"/>
    <row r="87" s="7" customFormat="1" x14ac:dyDescent="0.25"/>
    <row r="88" s="7" customFormat="1" x14ac:dyDescent="0.25"/>
    <row r="89" s="7" customFormat="1" x14ac:dyDescent="0.25"/>
    <row r="90" s="7" customFormat="1" x14ac:dyDescent="0.25"/>
    <row r="91" s="7" customFormat="1" x14ac:dyDescent="0.25"/>
    <row r="92" s="7" customFormat="1" x14ac:dyDescent="0.25"/>
    <row r="93" s="7" customFormat="1" x14ac:dyDescent="0.25"/>
    <row r="94" s="7" customFormat="1" x14ac:dyDescent="0.25"/>
    <row r="95" s="7" customFormat="1" x14ac:dyDescent="0.25"/>
    <row r="96" s="7" customFormat="1" x14ac:dyDescent="0.25"/>
    <row r="97" s="7" customFormat="1" x14ac:dyDescent="0.25"/>
    <row r="98" s="7" customFormat="1" x14ac:dyDescent="0.25"/>
    <row r="99" s="7" customFormat="1" x14ac:dyDescent="0.25"/>
    <row r="100" s="7" customFormat="1" x14ac:dyDescent="0.25"/>
    <row r="101" s="7" customFormat="1" x14ac:dyDescent="0.25"/>
    <row r="102" s="7" customFormat="1" x14ac:dyDescent="0.25"/>
    <row r="103" s="7" customFormat="1" x14ac:dyDescent="0.25"/>
    <row r="104" s="7" customFormat="1" x14ac:dyDescent="0.25"/>
    <row r="105" s="7" customFormat="1" x14ac:dyDescent="0.25"/>
    <row r="106" s="7" customFormat="1" x14ac:dyDescent="0.25"/>
    <row r="107" s="7" customFormat="1" x14ac:dyDescent="0.25"/>
    <row r="108" s="7" customFormat="1" x14ac:dyDescent="0.25"/>
    <row r="109" s="7" customFormat="1" x14ac:dyDescent="0.25"/>
    <row r="110" s="7" customFormat="1" x14ac:dyDescent="0.25"/>
    <row r="111" s="7" customFormat="1" x14ac:dyDescent="0.25"/>
    <row r="112" s="7" customFormat="1" x14ac:dyDescent="0.25"/>
    <row r="113" s="7" customFormat="1" x14ac:dyDescent="0.25"/>
    <row r="114" s="7" customFormat="1" x14ac:dyDescent="0.25"/>
    <row r="115" s="7" customFormat="1" x14ac:dyDescent="0.25"/>
    <row r="116" s="7" customFormat="1" x14ac:dyDescent="0.25"/>
    <row r="117" s="7" customFormat="1" x14ac:dyDescent="0.25"/>
    <row r="118" s="7" customFormat="1" x14ac:dyDescent="0.25"/>
    <row r="119" s="7" customFormat="1" x14ac:dyDescent="0.25"/>
    <row r="120" s="7" customFormat="1" x14ac:dyDescent="0.25"/>
    <row r="121" s="7" customFormat="1" x14ac:dyDescent="0.25"/>
    <row r="122" s="7" customFormat="1" x14ac:dyDescent="0.25"/>
    <row r="123" s="7" customFormat="1" x14ac:dyDescent="0.25"/>
    <row r="124" s="7" customFormat="1" x14ac:dyDescent="0.25"/>
    <row r="125" s="7" customFormat="1" x14ac:dyDescent="0.25"/>
    <row r="126" s="7" customFormat="1" x14ac:dyDescent="0.25"/>
    <row r="127" s="7" customFormat="1" x14ac:dyDescent="0.25"/>
    <row r="128" s="7" customFormat="1" x14ac:dyDescent="0.25"/>
    <row r="129" s="7" customFormat="1" x14ac:dyDescent="0.25"/>
    <row r="130" s="7" customFormat="1" x14ac:dyDescent="0.25"/>
    <row r="131" s="7" customFormat="1" x14ac:dyDescent="0.25"/>
    <row r="132" s="7" customFormat="1" x14ac:dyDescent="0.25"/>
    <row r="133" s="7" customFormat="1" x14ac:dyDescent="0.25"/>
    <row r="134" s="7" customFormat="1" x14ac:dyDescent="0.25"/>
    <row r="135" s="7" customFormat="1" x14ac:dyDescent="0.25"/>
    <row r="136" s="7" customFormat="1" x14ac:dyDescent="0.25"/>
    <row r="137" s="7" customFormat="1" x14ac:dyDescent="0.25"/>
    <row r="138" s="7" customFormat="1" x14ac:dyDescent="0.25"/>
    <row r="139" s="7" customFormat="1" x14ac:dyDescent="0.25"/>
    <row r="140" s="7" customFormat="1" x14ac:dyDescent="0.25"/>
    <row r="141" s="7" customFormat="1" x14ac:dyDescent="0.25"/>
    <row r="142" s="7" customFormat="1" x14ac:dyDescent="0.25"/>
    <row r="143" s="7" customFormat="1" x14ac:dyDescent="0.25"/>
    <row r="144" s="7" customFormat="1" x14ac:dyDescent="0.25"/>
    <row r="145" s="7" customFormat="1" x14ac:dyDescent="0.25"/>
    <row r="146" s="7" customFormat="1" x14ac:dyDescent="0.25"/>
    <row r="147" s="7" customFormat="1" x14ac:dyDescent="0.25"/>
    <row r="148" s="7" customFormat="1" x14ac:dyDescent="0.25"/>
    <row r="149" s="7" customFormat="1" x14ac:dyDescent="0.25"/>
    <row r="150" s="7" customFormat="1" x14ac:dyDescent="0.25"/>
    <row r="151" s="7" customFormat="1" x14ac:dyDescent="0.25"/>
    <row r="152" s="7" customFormat="1" x14ac:dyDescent="0.25"/>
    <row r="153" s="7" customFormat="1" x14ac:dyDescent="0.25"/>
    <row r="154" s="7" customFormat="1" x14ac:dyDescent="0.25"/>
    <row r="155" s="7" customFormat="1" x14ac:dyDescent="0.25"/>
    <row r="156" s="7" customFormat="1" x14ac:dyDescent="0.25"/>
    <row r="157" s="7" customFormat="1" x14ac:dyDescent="0.25"/>
    <row r="158" s="7" customFormat="1" x14ac:dyDescent="0.25"/>
    <row r="159" s="7" customFormat="1" x14ac:dyDescent="0.25"/>
    <row r="160" s="7" customFormat="1" x14ac:dyDescent="0.25"/>
    <row r="161" s="7" customFormat="1" x14ac:dyDescent="0.25"/>
    <row r="162" s="7" customFormat="1" x14ac:dyDescent="0.25"/>
    <row r="163" s="7" customFormat="1" x14ac:dyDescent="0.25"/>
    <row r="164" s="7" customFormat="1" x14ac:dyDescent="0.25"/>
    <row r="165" s="7" customFormat="1" x14ac:dyDescent="0.25"/>
    <row r="166" s="7" customFormat="1" x14ac:dyDescent="0.25"/>
    <row r="167" s="7" customFormat="1" x14ac:dyDescent="0.25"/>
    <row r="168" s="7" customFormat="1" x14ac:dyDescent="0.25"/>
    <row r="169" s="7" customFormat="1" x14ac:dyDescent="0.25"/>
    <row r="170" s="7" customFormat="1" x14ac:dyDescent="0.25"/>
    <row r="171" s="7" customFormat="1" x14ac:dyDescent="0.25"/>
    <row r="172" s="7" customFormat="1" x14ac:dyDescent="0.25"/>
    <row r="173" s="7" customFormat="1" x14ac:dyDescent="0.25"/>
    <row r="174" s="7" customFormat="1" x14ac:dyDescent="0.25"/>
    <row r="175" s="7" customFormat="1" x14ac:dyDescent="0.25"/>
    <row r="176" s="7" customFormat="1" x14ac:dyDescent="0.25"/>
    <row r="177" s="7" customFormat="1" x14ac:dyDescent="0.25"/>
    <row r="178" s="7" customFormat="1" x14ac:dyDescent="0.25"/>
    <row r="179" s="7" customFormat="1" x14ac:dyDescent="0.25"/>
    <row r="180" s="7" customFormat="1" x14ac:dyDescent="0.25"/>
    <row r="181" s="7" customFormat="1" x14ac:dyDescent="0.25"/>
    <row r="182" s="7" customFormat="1" x14ac:dyDescent="0.25"/>
    <row r="183" s="7" customFormat="1" x14ac:dyDescent="0.25"/>
    <row r="184" s="7" customFormat="1" x14ac:dyDescent="0.25"/>
    <row r="185" s="7" customFormat="1" x14ac:dyDescent="0.25"/>
    <row r="186" s="7" customFormat="1" x14ac:dyDescent="0.25"/>
    <row r="187" s="7" customFormat="1" x14ac:dyDescent="0.25"/>
    <row r="188" s="7" customFormat="1" x14ac:dyDescent="0.25"/>
    <row r="189" s="7" customFormat="1" x14ac:dyDescent="0.25"/>
    <row r="190" s="7" customFormat="1" x14ac:dyDescent="0.25"/>
    <row r="191" s="7" customFormat="1" x14ac:dyDescent="0.25"/>
    <row r="192" s="7" customFormat="1" x14ac:dyDescent="0.25"/>
    <row r="193" s="7" customFormat="1" x14ac:dyDescent="0.25"/>
    <row r="194" s="7" customFormat="1" x14ac:dyDescent="0.25"/>
    <row r="195" s="7" customFormat="1" x14ac:dyDescent="0.25"/>
    <row r="196" s="7" customFormat="1" x14ac:dyDescent="0.25"/>
    <row r="197" s="7" customFormat="1" x14ac:dyDescent="0.25"/>
    <row r="198" s="7" customFormat="1" x14ac:dyDescent="0.25"/>
    <row r="199" s="7" customFormat="1" x14ac:dyDescent="0.25"/>
    <row r="200" s="7" customFormat="1" x14ac:dyDescent="0.25"/>
    <row r="201" s="7" customFormat="1" x14ac:dyDescent="0.25"/>
    <row r="202" s="7" customFormat="1" x14ac:dyDescent="0.25"/>
    <row r="203" s="7" customFormat="1" x14ac:dyDescent="0.25"/>
    <row r="204" s="7" customFormat="1" x14ac:dyDescent="0.25"/>
    <row r="205" s="7" customFormat="1" x14ac:dyDescent="0.25"/>
    <row r="206" s="7" customFormat="1" x14ac:dyDescent="0.25"/>
    <row r="207" s="7" customFormat="1" x14ac:dyDescent="0.25"/>
    <row r="208" s="7" customFormat="1" x14ac:dyDescent="0.25"/>
    <row r="209" s="7" customFormat="1" x14ac:dyDescent="0.25"/>
    <row r="210" s="7" customFormat="1" x14ac:dyDescent="0.25"/>
    <row r="211" s="7" customFormat="1" x14ac:dyDescent="0.25"/>
    <row r="212" s="7" customFormat="1" x14ac:dyDescent="0.25"/>
    <row r="213" s="7" customFormat="1" x14ac:dyDescent="0.25"/>
    <row r="214" s="7" customFormat="1" x14ac:dyDescent="0.25"/>
    <row r="215" s="7" customFormat="1" x14ac:dyDescent="0.25"/>
    <row r="216" s="7" customFormat="1" x14ac:dyDescent="0.25"/>
    <row r="217" s="7" customFormat="1" x14ac:dyDescent="0.25"/>
    <row r="218" s="7" customFormat="1" x14ac:dyDescent="0.25"/>
    <row r="219" s="7" customFormat="1" x14ac:dyDescent="0.25"/>
    <row r="220" s="7" customFormat="1" x14ac:dyDescent="0.25"/>
    <row r="221" s="7" customFormat="1" x14ac:dyDescent="0.25"/>
    <row r="222" s="7" customFormat="1" x14ac:dyDescent="0.25"/>
    <row r="223" s="7" customFormat="1" x14ac:dyDescent="0.25"/>
    <row r="224" s="7" customFormat="1" x14ac:dyDescent="0.25"/>
    <row r="225" s="7" customFormat="1" x14ac:dyDescent="0.25"/>
    <row r="226" s="7" customFormat="1" x14ac:dyDescent="0.25"/>
    <row r="227" s="7" customFormat="1" x14ac:dyDescent="0.25"/>
    <row r="228" s="7" customFormat="1" x14ac:dyDescent="0.25"/>
    <row r="229" s="7" customFormat="1" x14ac:dyDescent="0.25"/>
    <row r="230" s="7" customFormat="1" x14ac:dyDescent="0.25"/>
    <row r="231" s="7" customFormat="1" x14ac:dyDescent="0.25"/>
    <row r="232" s="7" customFormat="1" x14ac:dyDescent="0.25"/>
    <row r="233" s="7" customFormat="1" x14ac:dyDescent="0.25"/>
    <row r="234" s="7" customFormat="1" x14ac:dyDescent="0.25"/>
    <row r="235" s="7" customFormat="1" x14ac:dyDescent="0.25"/>
    <row r="236" s="7" customFormat="1" x14ac:dyDescent="0.25"/>
    <row r="237" s="7" customFormat="1" x14ac:dyDescent="0.25"/>
    <row r="238" s="7" customFormat="1" x14ac:dyDescent="0.25"/>
    <row r="239" s="7" customFormat="1" x14ac:dyDescent="0.25"/>
    <row r="240" s="7" customFormat="1" x14ac:dyDescent="0.25"/>
    <row r="241" s="7" customFormat="1" x14ac:dyDescent="0.25"/>
    <row r="242" s="7" customFormat="1" x14ac:dyDescent="0.25"/>
    <row r="243" s="7" customFormat="1" x14ac:dyDescent="0.25"/>
    <row r="244" s="7" customFormat="1" x14ac:dyDescent="0.25"/>
    <row r="245" s="7" customFormat="1" x14ac:dyDescent="0.25"/>
    <row r="246" s="7" customFormat="1" x14ac:dyDescent="0.25"/>
    <row r="247" s="7" customFormat="1" x14ac:dyDescent="0.25"/>
    <row r="248" s="7" customFormat="1" x14ac:dyDescent="0.25"/>
    <row r="249" s="7" customFormat="1" x14ac:dyDescent="0.25"/>
    <row r="250" s="7" customFormat="1" x14ac:dyDescent="0.25"/>
    <row r="251" s="7" customFormat="1" x14ac:dyDescent="0.25"/>
    <row r="252" s="7" customFormat="1" x14ac:dyDescent="0.25"/>
    <row r="253" s="7" customFormat="1" x14ac:dyDescent="0.25"/>
    <row r="254" s="7" customFormat="1" x14ac:dyDescent="0.25"/>
    <row r="255" s="7" customFormat="1" x14ac:dyDescent="0.25"/>
    <row r="256" s="7" customFormat="1" x14ac:dyDescent="0.25"/>
    <row r="257" s="7" customFormat="1" x14ac:dyDescent="0.25"/>
    <row r="258" s="7" customFormat="1" x14ac:dyDescent="0.25"/>
    <row r="259" s="7" customFormat="1" x14ac:dyDescent="0.25"/>
    <row r="260" s="7" customFormat="1" x14ac:dyDescent="0.25"/>
    <row r="261" s="7" customFormat="1" x14ac:dyDescent="0.25"/>
    <row r="262" s="7" customFormat="1" x14ac:dyDescent="0.25"/>
    <row r="263" s="7" customFormat="1" x14ac:dyDescent="0.25"/>
    <row r="264" s="7" customFormat="1" x14ac:dyDescent="0.25"/>
    <row r="265" s="7" customFormat="1" x14ac:dyDescent="0.25"/>
    <row r="266" s="7" customFormat="1" x14ac:dyDescent="0.25"/>
    <row r="267" s="7" customFormat="1" x14ac:dyDescent="0.25"/>
    <row r="268" s="7" customFormat="1" x14ac:dyDescent="0.25"/>
    <row r="269" s="7" customFormat="1" x14ac:dyDescent="0.25"/>
    <row r="270" s="7" customFormat="1" x14ac:dyDescent="0.25"/>
    <row r="271" s="7" customFormat="1" x14ac:dyDescent="0.25"/>
    <row r="272" s="7" customFormat="1" x14ac:dyDescent="0.25"/>
    <row r="273" s="7" customFormat="1" x14ac:dyDescent="0.25"/>
    <row r="274" s="7" customFormat="1" x14ac:dyDescent="0.25"/>
    <row r="275" s="7" customFormat="1" x14ac:dyDescent="0.25"/>
    <row r="276" s="7" customFormat="1" x14ac:dyDescent="0.25"/>
    <row r="277" s="7" customFormat="1" x14ac:dyDescent="0.25"/>
    <row r="278" s="7" customFormat="1" x14ac:dyDescent="0.25"/>
    <row r="279" s="7" customFormat="1" x14ac:dyDescent="0.25"/>
    <row r="280" s="7" customFormat="1" x14ac:dyDescent="0.25"/>
    <row r="281" s="7" customFormat="1" x14ac:dyDescent="0.25"/>
    <row r="282" s="7" customFormat="1" x14ac:dyDescent="0.25"/>
    <row r="283" s="7" customFormat="1" x14ac:dyDescent="0.25"/>
    <row r="284" s="7" customFormat="1" x14ac:dyDescent="0.25"/>
    <row r="285" s="7" customFormat="1" x14ac:dyDescent="0.25"/>
    <row r="286" s="7" customFormat="1" x14ac:dyDescent="0.25"/>
    <row r="287" s="7" customFormat="1" x14ac:dyDescent="0.25"/>
    <row r="288" s="7" customFormat="1" x14ac:dyDescent="0.25"/>
    <row r="289" s="7" customFormat="1" x14ac:dyDescent="0.25"/>
    <row r="290" s="7" customFormat="1" x14ac:dyDescent="0.25"/>
    <row r="291" s="7" customFormat="1" x14ac:dyDescent="0.25"/>
    <row r="292" s="7" customFormat="1" x14ac:dyDescent="0.25"/>
    <row r="293" s="7" customFormat="1" x14ac:dyDescent="0.25"/>
    <row r="294" s="7" customFormat="1" x14ac:dyDescent="0.25"/>
    <row r="295" s="7" customFormat="1" x14ac:dyDescent="0.25"/>
    <row r="296" s="7" customFormat="1" x14ac:dyDescent="0.25"/>
    <row r="297" s="7" customFormat="1" x14ac:dyDescent="0.25"/>
    <row r="298" s="7" customFormat="1" x14ac:dyDescent="0.25"/>
    <row r="299" s="7" customFormat="1" x14ac:dyDescent="0.25"/>
    <row r="300" s="7" customFormat="1" x14ac:dyDescent="0.25"/>
    <row r="301" s="7" customFormat="1" x14ac:dyDescent="0.25"/>
    <row r="302" s="7" customFormat="1" x14ac:dyDescent="0.25"/>
    <row r="303" s="7" customFormat="1" x14ac:dyDescent="0.25"/>
    <row r="304" s="7" customFormat="1" x14ac:dyDescent="0.25"/>
    <row r="305" s="7" customFormat="1" x14ac:dyDescent="0.25"/>
    <row r="306" s="7" customFormat="1" x14ac:dyDescent="0.25"/>
    <row r="307" s="7" customFormat="1" x14ac:dyDescent="0.25"/>
    <row r="308" s="7" customFormat="1" x14ac:dyDescent="0.25"/>
    <row r="309" s="7" customFormat="1" x14ac:dyDescent="0.25"/>
    <row r="310" s="7" customFormat="1" x14ac:dyDescent="0.25"/>
  </sheetData>
  <mergeCells count="8">
    <mergeCell ref="J6:L6"/>
    <mergeCell ref="J7:L7"/>
    <mergeCell ref="B7:B8"/>
    <mergeCell ref="D7:F7"/>
    <mergeCell ref="D6:F6"/>
    <mergeCell ref="G6:I6"/>
    <mergeCell ref="G7:I7"/>
    <mergeCell ref="C6:C7"/>
  </mergeCells>
  <hyperlinks>
    <hyperlink ref="B1" location="Start!A1" display="Back to home page" xr:uid="{E9031B93-8873-47E3-ADCB-32E0F2AECFA4}"/>
  </hyperlinks>
  <pageMargins left="0.70866141732283472" right="0.70866141732283472" top="0.74803149606299213" bottom="0.74803149606299213" header="0.31496062992125984" footer="0.31496062992125984"/>
  <pageSetup paperSize="9" scale="33" orientation="landscape" horizontalDpi="4294967293" verticalDpi="0" r:id="rId1"/>
  <ignoredErrors>
    <ignoredError sqref="C27"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A940-A44F-4865-910B-85586B54D240}">
  <sheetPr codeName="Feuil62">
    <tabColor rgb="FF92D050"/>
  </sheetPr>
  <dimension ref="A1:Q44"/>
  <sheetViews>
    <sheetView showGridLines="0" zoomScale="80" zoomScaleNormal="80" workbookViewId="0">
      <pane xSplit="2" ySplit="9" topLeftCell="C28"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275</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172">
        <v>155000</v>
      </c>
      <c r="D11" s="53">
        <v>19375</v>
      </c>
      <c r="E11" s="53">
        <v>3875</v>
      </c>
      <c r="F11" s="53">
        <v>6975</v>
      </c>
      <c r="G11" s="56">
        <f>IFERROR(D11*1000/C11,"-")</f>
        <v>125</v>
      </c>
      <c r="H11" s="56">
        <f>IFERROR(E11*1000/C11,"-")</f>
        <v>25</v>
      </c>
      <c r="I11" s="56">
        <f>IFERROR(F11*1000/C11,"-")</f>
        <v>45</v>
      </c>
      <c r="J11" s="57">
        <f t="shared" ref="J11:J30" si="0">D11/$D$33</f>
        <v>0.35131459655485042</v>
      </c>
      <c r="K11" s="57">
        <f t="shared" ref="K11:K31" si="1">E11/$E$33</f>
        <v>0.32051282051282054</v>
      </c>
      <c r="L11" s="57">
        <f t="shared" ref="L11:L31" si="2">F11/$F$33</f>
        <v>0.35316455696202531</v>
      </c>
    </row>
    <row r="12" spans="1:17" x14ac:dyDescent="0.25">
      <c r="B12" s="103" t="s">
        <v>27</v>
      </c>
      <c r="C12" s="174">
        <v>138000</v>
      </c>
      <c r="D12" s="71">
        <v>13110</v>
      </c>
      <c r="E12" s="71">
        <v>2070</v>
      </c>
      <c r="F12" s="71">
        <v>4140</v>
      </c>
      <c r="G12" s="74">
        <f t="shared" ref="G12:G31" si="3">IFERROR(D12*1000/C12,"-")</f>
        <v>95</v>
      </c>
      <c r="H12" s="74">
        <f t="shared" ref="H12:H31" si="4">IFERROR(E12*1000/C12,"-")</f>
        <v>15</v>
      </c>
      <c r="I12" s="74">
        <f t="shared" ref="I12:I31" si="5">IFERROR(F12*1000/C12,"-")</f>
        <v>30</v>
      </c>
      <c r="J12" s="75">
        <f t="shared" si="0"/>
        <v>0.23771532184950137</v>
      </c>
      <c r="K12" s="75">
        <f t="shared" si="1"/>
        <v>0.17121588089330025</v>
      </c>
      <c r="L12" s="75">
        <f t="shared" si="2"/>
        <v>0.20962025316455696</v>
      </c>
    </row>
    <row r="13" spans="1:17" x14ac:dyDescent="0.25">
      <c r="B13" s="89" t="s">
        <v>28</v>
      </c>
      <c r="C13" s="172">
        <v>54000</v>
      </c>
      <c r="D13" s="53">
        <v>4050</v>
      </c>
      <c r="E13" s="53">
        <v>540</v>
      </c>
      <c r="F13" s="53">
        <v>540</v>
      </c>
      <c r="G13" s="56">
        <f t="shared" si="3"/>
        <v>75</v>
      </c>
      <c r="H13" s="56">
        <f t="shared" si="4"/>
        <v>10</v>
      </c>
      <c r="I13" s="56">
        <f t="shared" si="5"/>
        <v>10</v>
      </c>
      <c r="J13" s="57">
        <f t="shared" si="0"/>
        <v>7.3436083408884856E-2</v>
      </c>
      <c r="K13" s="57">
        <f t="shared" si="1"/>
        <v>4.4665012406947889E-2</v>
      </c>
      <c r="L13" s="57">
        <f t="shared" si="2"/>
        <v>2.7341772151898733E-2</v>
      </c>
    </row>
    <row r="14" spans="1:17" x14ac:dyDescent="0.25">
      <c r="B14" s="103" t="s">
        <v>29</v>
      </c>
      <c r="C14" s="174">
        <v>0</v>
      </c>
      <c r="D14" s="71">
        <v>0</v>
      </c>
      <c r="E14" s="71">
        <v>0</v>
      </c>
      <c r="F14" s="71">
        <v>0</v>
      </c>
      <c r="G14" s="74" t="str">
        <f t="shared" si="3"/>
        <v>-</v>
      </c>
      <c r="H14" s="74" t="str">
        <f t="shared" si="4"/>
        <v>-</v>
      </c>
      <c r="I14" s="74" t="str">
        <f t="shared" si="5"/>
        <v>-</v>
      </c>
      <c r="J14" s="75">
        <f t="shared" si="0"/>
        <v>0</v>
      </c>
      <c r="K14" s="75">
        <f t="shared" si="1"/>
        <v>0</v>
      </c>
      <c r="L14" s="75">
        <f t="shared" si="2"/>
        <v>0</v>
      </c>
    </row>
    <row r="15" spans="1:17" x14ac:dyDescent="0.25">
      <c r="B15" s="89" t="s">
        <v>30</v>
      </c>
      <c r="C15" s="172">
        <v>3000</v>
      </c>
      <c r="D15" s="53">
        <v>105</v>
      </c>
      <c r="E15" s="53">
        <v>30</v>
      </c>
      <c r="F15" s="53">
        <v>30</v>
      </c>
      <c r="G15" s="56">
        <f t="shared" si="3"/>
        <v>35</v>
      </c>
      <c r="H15" s="56">
        <f t="shared" si="4"/>
        <v>10</v>
      </c>
      <c r="I15" s="56">
        <f t="shared" si="5"/>
        <v>10</v>
      </c>
      <c r="J15" s="57">
        <f t="shared" si="0"/>
        <v>1.9038984587488668E-3</v>
      </c>
      <c r="K15" s="57">
        <f t="shared" si="1"/>
        <v>2.4813895781637717E-3</v>
      </c>
      <c r="L15" s="57">
        <f t="shared" si="2"/>
        <v>1.5189873417721519E-3</v>
      </c>
    </row>
    <row r="16" spans="1:17" x14ac:dyDescent="0.25">
      <c r="B16" s="103" t="s">
        <v>31</v>
      </c>
      <c r="C16" s="174">
        <v>73000</v>
      </c>
      <c r="D16" s="71">
        <v>8029.9999999999991</v>
      </c>
      <c r="E16" s="71">
        <v>2920</v>
      </c>
      <c r="F16" s="71">
        <v>5110</v>
      </c>
      <c r="G16" s="74">
        <f t="shared" si="3"/>
        <v>109.99999999999999</v>
      </c>
      <c r="H16" s="74">
        <f t="shared" si="4"/>
        <v>40</v>
      </c>
      <c r="I16" s="74">
        <f t="shared" si="5"/>
        <v>70</v>
      </c>
      <c r="J16" s="75">
        <f t="shared" si="0"/>
        <v>0.14560290117860378</v>
      </c>
      <c r="K16" s="75">
        <f t="shared" si="1"/>
        <v>0.24152191894127378</v>
      </c>
      <c r="L16" s="75">
        <f t="shared" si="2"/>
        <v>0.25873417721518988</v>
      </c>
    </row>
    <row r="17" spans="2:12" x14ac:dyDescent="0.25">
      <c r="B17" s="89" t="s">
        <v>32</v>
      </c>
      <c r="C17" s="172">
        <v>0</v>
      </c>
      <c r="D17" s="53">
        <v>0</v>
      </c>
      <c r="E17" s="53">
        <v>0</v>
      </c>
      <c r="F17" s="53">
        <v>0</v>
      </c>
      <c r="G17" s="56" t="str">
        <f t="shared" si="3"/>
        <v>-</v>
      </c>
      <c r="H17" s="56" t="str">
        <f t="shared" si="4"/>
        <v>-</v>
      </c>
      <c r="I17" s="56" t="str">
        <f t="shared" si="5"/>
        <v>-</v>
      </c>
      <c r="J17" s="57">
        <f t="shared" si="0"/>
        <v>0</v>
      </c>
      <c r="K17" s="57">
        <f t="shared" si="1"/>
        <v>0</v>
      </c>
      <c r="L17" s="57">
        <f t="shared" si="2"/>
        <v>0</v>
      </c>
    </row>
    <row r="18" spans="2:12" x14ac:dyDescent="0.25">
      <c r="B18" s="103" t="s">
        <v>33</v>
      </c>
      <c r="C18" s="174">
        <v>47000</v>
      </c>
      <c r="D18" s="71">
        <v>1410</v>
      </c>
      <c r="E18" s="71">
        <v>705</v>
      </c>
      <c r="F18" s="71">
        <v>705</v>
      </c>
      <c r="G18" s="74">
        <f t="shared" si="3"/>
        <v>30</v>
      </c>
      <c r="H18" s="74">
        <f t="shared" si="4"/>
        <v>15</v>
      </c>
      <c r="I18" s="74">
        <f t="shared" si="5"/>
        <v>15</v>
      </c>
      <c r="J18" s="75">
        <f t="shared" si="0"/>
        <v>2.556663644605621E-2</v>
      </c>
      <c r="K18" s="75">
        <f t="shared" si="1"/>
        <v>5.8312655086848637E-2</v>
      </c>
      <c r="L18" s="75">
        <f t="shared" si="2"/>
        <v>3.5696202531645571E-2</v>
      </c>
    </row>
    <row r="19" spans="2:12" x14ac:dyDescent="0.25">
      <c r="B19" s="89" t="s">
        <v>26</v>
      </c>
      <c r="C19" s="172">
        <v>5000</v>
      </c>
      <c r="D19" s="53">
        <v>375</v>
      </c>
      <c r="E19" s="53">
        <v>350</v>
      </c>
      <c r="F19" s="53">
        <v>450</v>
      </c>
      <c r="G19" s="56">
        <f t="shared" si="3"/>
        <v>75</v>
      </c>
      <c r="H19" s="56">
        <f t="shared" si="4"/>
        <v>70</v>
      </c>
      <c r="I19" s="56">
        <f t="shared" si="5"/>
        <v>90</v>
      </c>
      <c r="J19" s="57">
        <f t="shared" si="0"/>
        <v>6.799637352674524E-3</v>
      </c>
      <c r="K19" s="57">
        <f t="shared" si="1"/>
        <v>2.8949545078577336E-2</v>
      </c>
      <c r="L19" s="57">
        <f t="shared" si="2"/>
        <v>2.2784810126582278E-2</v>
      </c>
    </row>
    <row r="20" spans="2:12" x14ac:dyDescent="0.25">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25">
      <c r="B21" s="89" t="s">
        <v>9</v>
      </c>
      <c r="C21" s="172">
        <v>4000</v>
      </c>
      <c r="D21" s="53">
        <v>320</v>
      </c>
      <c r="E21" s="53">
        <v>240</v>
      </c>
      <c r="F21" s="53">
        <v>360</v>
      </c>
      <c r="G21" s="56">
        <f t="shared" si="3"/>
        <v>80</v>
      </c>
      <c r="H21" s="56">
        <f t="shared" si="4"/>
        <v>60</v>
      </c>
      <c r="I21" s="56">
        <f t="shared" si="5"/>
        <v>90</v>
      </c>
      <c r="J21" s="57">
        <f t="shared" si="0"/>
        <v>5.8023572076155942E-3</v>
      </c>
      <c r="K21" s="57">
        <f t="shared" si="1"/>
        <v>1.9851116625310174E-2</v>
      </c>
      <c r="L21" s="57">
        <f t="shared" si="2"/>
        <v>1.8227848101265823E-2</v>
      </c>
    </row>
    <row r="22" spans="2:12" x14ac:dyDescent="0.25">
      <c r="B22" s="103" t="s">
        <v>35</v>
      </c>
      <c r="C22" s="174">
        <v>0</v>
      </c>
      <c r="D22" s="71">
        <v>0</v>
      </c>
      <c r="E22" s="71">
        <v>0</v>
      </c>
      <c r="F22" s="71">
        <v>0</v>
      </c>
      <c r="G22" s="74" t="str">
        <f t="shared" si="3"/>
        <v>-</v>
      </c>
      <c r="H22" s="74" t="str">
        <f t="shared" si="4"/>
        <v>-</v>
      </c>
      <c r="I22" s="74" t="str">
        <f t="shared" si="5"/>
        <v>-</v>
      </c>
      <c r="J22" s="75">
        <f t="shared" si="0"/>
        <v>0</v>
      </c>
      <c r="K22" s="75">
        <f t="shared" si="1"/>
        <v>0</v>
      </c>
      <c r="L22" s="75">
        <f t="shared" si="2"/>
        <v>0</v>
      </c>
    </row>
    <row r="23" spans="2:12" x14ac:dyDescent="0.25">
      <c r="B23" s="89" t="s">
        <v>36</v>
      </c>
      <c r="C23" s="172">
        <v>34000</v>
      </c>
      <c r="D23" s="53">
        <v>510</v>
      </c>
      <c r="E23" s="53">
        <v>170</v>
      </c>
      <c r="F23" s="53">
        <v>850</v>
      </c>
      <c r="G23" s="56">
        <f t="shared" si="3"/>
        <v>15</v>
      </c>
      <c r="H23" s="56">
        <f t="shared" si="4"/>
        <v>5</v>
      </c>
      <c r="I23" s="56">
        <f t="shared" si="5"/>
        <v>25</v>
      </c>
      <c r="J23" s="57">
        <f t="shared" si="0"/>
        <v>9.2475067996373519E-3</v>
      </c>
      <c r="K23" s="57">
        <f t="shared" si="1"/>
        <v>1.4061207609594707E-2</v>
      </c>
      <c r="L23" s="57">
        <f t="shared" si="2"/>
        <v>4.3037974683544304E-2</v>
      </c>
    </row>
    <row r="24" spans="2:12" x14ac:dyDescent="0.25">
      <c r="B24" s="103" t="s">
        <v>37</v>
      </c>
      <c r="C24" s="174">
        <v>125000</v>
      </c>
      <c r="D24" s="71">
        <v>5000</v>
      </c>
      <c r="E24" s="71">
        <v>625</v>
      </c>
      <c r="F24" s="71">
        <v>0</v>
      </c>
      <c r="G24" s="74">
        <f t="shared" si="3"/>
        <v>40</v>
      </c>
      <c r="H24" s="74">
        <f t="shared" si="4"/>
        <v>5</v>
      </c>
      <c r="I24" s="74">
        <f t="shared" si="5"/>
        <v>0</v>
      </c>
      <c r="J24" s="75">
        <f t="shared" si="0"/>
        <v>9.0661831368993653E-2</v>
      </c>
      <c r="K24" s="75">
        <f t="shared" si="1"/>
        <v>5.1695616211745246E-2</v>
      </c>
      <c r="L24" s="75">
        <f t="shared" si="2"/>
        <v>0</v>
      </c>
    </row>
    <row r="25" spans="2:12" x14ac:dyDescent="0.25">
      <c r="B25" s="89" t="s">
        <v>38</v>
      </c>
      <c r="C25" s="172">
        <v>11000</v>
      </c>
      <c r="D25" s="53">
        <v>935</v>
      </c>
      <c r="E25" s="53">
        <v>165</v>
      </c>
      <c r="F25" s="53">
        <v>220</v>
      </c>
      <c r="G25" s="56">
        <f t="shared" si="3"/>
        <v>85</v>
      </c>
      <c r="H25" s="56">
        <f t="shared" si="4"/>
        <v>15</v>
      </c>
      <c r="I25" s="56">
        <f t="shared" si="5"/>
        <v>20</v>
      </c>
      <c r="J25" s="57">
        <f t="shared" si="0"/>
        <v>1.6953762466001814E-2</v>
      </c>
      <c r="K25" s="57">
        <f t="shared" si="1"/>
        <v>1.3647642679900745E-2</v>
      </c>
      <c r="L25" s="57">
        <f t="shared" si="2"/>
        <v>1.1139240506329114E-2</v>
      </c>
    </row>
    <row r="26" spans="2:12" x14ac:dyDescent="0.25">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25">
      <c r="B27" s="89" t="s">
        <v>40</v>
      </c>
      <c r="C27" s="172">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25">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25">
      <c r="B29" s="89" t="s">
        <v>42</v>
      </c>
      <c r="C29" s="172">
        <v>7000</v>
      </c>
      <c r="D29" s="53">
        <v>180</v>
      </c>
      <c r="E29" s="53">
        <v>150</v>
      </c>
      <c r="F29" s="53">
        <v>120</v>
      </c>
      <c r="G29" s="56">
        <f t="shared" si="3"/>
        <v>25.714285714285715</v>
      </c>
      <c r="H29" s="56">
        <f t="shared" si="4"/>
        <v>21.428571428571427</v>
      </c>
      <c r="I29" s="56">
        <f t="shared" si="5"/>
        <v>17.142857142857142</v>
      </c>
      <c r="J29" s="57">
        <f t="shared" si="0"/>
        <v>3.2638259292837716E-3</v>
      </c>
      <c r="K29" s="57">
        <f t="shared" si="1"/>
        <v>1.2406947890818859E-2</v>
      </c>
      <c r="L29" s="57">
        <f t="shared" si="2"/>
        <v>6.0759493670886075E-3</v>
      </c>
    </row>
    <row r="30" spans="2:12" x14ac:dyDescent="0.25">
      <c r="B30" s="103" t="s">
        <v>10</v>
      </c>
      <c r="C30" s="174">
        <v>314000</v>
      </c>
      <c r="D30" s="71">
        <v>1750</v>
      </c>
      <c r="E30" s="71">
        <v>250</v>
      </c>
      <c r="F30" s="71">
        <v>250</v>
      </c>
      <c r="G30" s="74">
        <f t="shared" si="3"/>
        <v>5.5732484076433124</v>
      </c>
      <c r="H30" s="74">
        <f t="shared" si="4"/>
        <v>0.79617834394904463</v>
      </c>
      <c r="I30" s="74">
        <f t="shared" si="5"/>
        <v>0.79617834394904463</v>
      </c>
      <c r="J30" s="75">
        <f t="shared" si="0"/>
        <v>3.1731640979147782E-2</v>
      </c>
      <c r="K30" s="75">
        <f t="shared" si="1"/>
        <v>2.0678246484698098E-2</v>
      </c>
      <c r="L30" s="75">
        <f t="shared" si="2"/>
        <v>1.2658227848101266E-2</v>
      </c>
    </row>
    <row r="31" spans="2:12" x14ac:dyDescent="0.25">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970000</v>
      </c>
      <c r="D33" s="63">
        <f>SUM(D11:D31)</f>
        <v>55150</v>
      </c>
      <c r="E33" s="62">
        <f t="shared" ref="E33:F33" si="7">SUM(E11:E31)</f>
        <v>12090</v>
      </c>
      <c r="F33" s="102">
        <f t="shared" si="7"/>
        <v>19750</v>
      </c>
      <c r="G33" s="94"/>
      <c r="H33" s="94"/>
      <c r="I33" s="94"/>
      <c r="J33" s="95">
        <f t="shared" ref="J33:L33" si="8">SUM(J11:J31)</f>
        <v>0.99999999999999989</v>
      </c>
      <c r="K33" s="64">
        <f t="shared" si="8"/>
        <v>1.0000000000000002</v>
      </c>
      <c r="L33" s="65">
        <f t="shared" si="8"/>
        <v>0.99999999999999989</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276</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DFBC42C0-4ADD-4C7E-8E29-9BDCB3DAC55B}"/>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628EA-9880-4E7E-90CE-9345C866438A}">
  <sheetPr codeName="Feuil65">
    <tabColor rgb="FF92D050"/>
  </sheetPr>
  <dimension ref="A1:Q44"/>
  <sheetViews>
    <sheetView showGridLines="0" zoomScale="80" zoomScaleNormal="80" workbookViewId="0">
      <pane xSplit="2" ySplit="9" topLeftCell="C18"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260</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172">
        <v>178000</v>
      </c>
      <c r="D11" s="53">
        <v>14062</v>
      </c>
      <c r="E11" s="53">
        <v>1780</v>
      </c>
      <c r="F11" s="53">
        <v>1780</v>
      </c>
      <c r="G11" s="56">
        <f>IFERROR(D11*1000/C11,"-")</f>
        <v>79</v>
      </c>
      <c r="H11" s="56">
        <f>IFERROR(E11*1000/C11,"-")</f>
        <v>10</v>
      </c>
      <c r="I11" s="56">
        <f>IFERROR(F11*1000/C11,"-")</f>
        <v>10</v>
      </c>
      <c r="J11" s="57">
        <f t="shared" ref="J11:J30" si="0">D11/$D$33</f>
        <v>0.10058367428685874</v>
      </c>
      <c r="K11" s="57">
        <f t="shared" ref="K11:K31" si="1">E11/$E$33</f>
        <v>8.0791575889615108E-2</v>
      </c>
      <c r="L11" s="57">
        <f t="shared" ref="L11:L31" si="2">F11/$F$33</f>
        <v>4.6895170851226388E-2</v>
      </c>
    </row>
    <row r="12" spans="1:17" x14ac:dyDescent="0.25">
      <c r="B12" s="103" t="s">
        <v>27</v>
      </c>
      <c r="C12" s="174">
        <v>463000</v>
      </c>
      <c r="D12" s="71">
        <v>27317</v>
      </c>
      <c r="E12" s="71">
        <v>4167</v>
      </c>
      <c r="F12" s="71">
        <v>4167</v>
      </c>
      <c r="G12" s="74">
        <f t="shared" ref="G12:G31" si="3">IFERROR(D12*1000/C12,"-")</f>
        <v>59</v>
      </c>
      <c r="H12" s="74">
        <f t="shared" ref="H12:H31" si="4">IFERROR(E12*1000/C12,"-")</f>
        <v>9</v>
      </c>
      <c r="I12" s="74">
        <f t="shared" ref="I12:I31" si="5">IFERROR(F12*1000/C12,"-")</f>
        <v>9</v>
      </c>
      <c r="J12" s="75">
        <f t="shared" si="0"/>
        <v>0.1953949815455924</v>
      </c>
      <c r="K12" s="75">
        <f t="shared" si="1"/>
        <v>0.18913398692810457</v>
      </c>
      <c r="L12" s="75">
        <f t="shared" si="2"/>
        <v>0.10978212187475302</v>
      </c>
    </row>
    <row r="13" spans="1:17" x14ac:dyDescent="0.25">
      <c r="B13" s="89" t="s">
        <v>28</v>
      </c>
      <c r="C13" s="172">
        <v>340000</v>
      </c>
      <c r="D13" s="53">
        <v>17000</v>
      </c>
      <c r="E13" s="53">
        <v>2720</v>
      </c>
      <c r="F13" s="53">
        <v>2720</v>
      </c>
      <c r="G13" s="56">
        <f t="shared" si="3"/>
        <v>50</v>
      </c>
      <c r="H13" s="56">
        <f t="shared" si="4"/>
        <v>8</v>
      </c>
      <c r="I13" s="56">
        <f t="shared" si="5"/>
        <v>8</v>
      </c>
      <c r="J13" s="57">
        <f t="shared" si="0"/>
        <v>0.12159880976223857</v>
      </c>
      <c r="K13" s="57">
        <f t="shared" si="1"/>
        <v>0.12345679012345678</v>
      </c>
      <c r="L13" s="57">
        <f t="shared" si="2"/>
        <v>7.1660036356930204E-2</v>
      </c>
    </row>
    <row r="14" spans="1:17" x14ac:dyDescent="0.25">
      <c r="B14" s="103" t="s">
        <v>29</v>
      </c>
      <c r="C14" s="174">
        <v>0</v>
      </c>
      <c r="D14" s="71">
        <v>0</v>
      </c>
      <c r="E14" s="71">
        <v>0</v>
      </c>
      <c r="F14" s="71">
        <v>0</v>
      </c>
      <c r="G14" s="74" t="str">
        <f t="shared" si="3"/>
        <v>-</v>
      </c>
      <c r="H14" s="74" t="str">
        <f t="shared" si="4"/>
        <v>-</v>
      </c>
      <c r="I14" s="74" t="str">
        <f t="shared" si="5"/>
        <v>-</v>
      </c>
      <c r="J14" s="75">
        <f t="shared" si="0"/>
        <v>0</v>
      </c>
      <c r="K14" s="75">
        <f t="shared" si="1"/>
        <v>0</v>
      </c>
      <c r="L14" s="75">
        <f t="shared" si="2"/>
        <v>0</v>
      </c>
    </row>
    <row r="15" spans="1:17" x14ac:dyDescent="0.25">
      <c r="B15" s="89" t="s">
        <v>30</v>
      </c>
      <c r="C15" s="172">
        <v>62000</v>
      </c>
      <c r="D15" s="53">
        <v>3410</v>
      </c>
      <c r="E15" s="53">
        <v>496</v>
      </c>
      <c r="F15" s="53">
        <v>496</v>
      </c>
      <c r="G15" s="56">
        <f t="shared" si="3"/>
        <v>55</v>
      </c>
      <c r="H15" s="56">
        <f t="shared" si="4"/>
        <v>8</v>
      </c>
      <c r="I15" s="56">
        <f t="shared" si="5"/>
        <v>8</v>
      </c>
      <c r="J15" s="57">
        <f t="shared" si="0"/>
        <v>2.439129066407256E-2</v>
      </c>
      <c r="K15" s="57">
        <f t="shared" si="1"/>
        <v>2.2512708787218592E-2</v>
      </c>
      <c r="L15" s="57">
        <f t="shared" si="2"/>
        <v>1.3067418394499038E-2</v>
      </c>
    </row>
    <row r="16" spans="1:17" x14ac:dyDescent="0.25">
      <c r="B16" s="103" t="s">
        <v>31</v>
      </c>
      <c r="C16" s="174">
        <v>56000</v>
      </c>
      <c r="D16" s="71">
        <v>4592</v>
      </c>
      <c r="E16" s="71">
        <v>1008</v>
      </c>
      <c r="F16" s="71">
        <v>1008</v>
      </c>
      <c r="G16" s="74">
        <f t="shared" si="3"/>
        <v>82</v>
      </c>
      <c r="H16" s="74">
        <f t="shared" si="4"/>
        <v>18</v>
      </c>
      <c r="I16" s="74">
        <f t="shared" si="5"/>
        <v>18</v>
      </c>
      <c r="J16" s="75">
        <f t="shared" si="0"/>
        <v>3.2845984378129384E-2</v>
      </c>
      <c r="K16" s="75">
        <f t="shared" si="1"/>
        <v>4.5751633986928102E-2</v>
      </c>
      <c r="L16" s="75">
        <f t="shared" si="2"/>
        <v>2.6556366414627077E-2</v>
      </c>
    </row>
    <row r="17" spans="2:12" x14ac:dyDescent="0.25">
      <c r="B17" s="89" t="s">
        <v>32</v>
      </c>
      <c r="C17" s="172">
        <v>4000</v>
      </c>
      <c r="D17" s="53">
        <v>160</v>
      </c>
      <c r="E17" s="53">
        <v>72</v>
      </c>
      <c r="F17" s="53">
        <v>80</v>
      </c>
      <c r="G17" s="56">
        <f t="shared" si="3"/>
        <v>40</v>
      </c>
      <c r="H17" s="56">
        <f t="shared" si="4"/>
        <v>18</v>
      </c>
      <c r="I17" s="56">
        <f t="shared" si="5"/>
        <v>20</v>
      </c>
      <c r="J17" s="57">
        <f t="shared" si="0"/>
        <v>1.1444593859975395E-3</v>
      </c>
      <c r="K17" s="57">
        <f t="shared" si="1"/>
        <v>3.2679738562091504E-3</v>
      </c>
      <c r="L17" s="57">
        <f t="shared" si="2"/>
        <v>2.1076481281450061E-3</v>
      </c>
    </row>
    <row r="18" spans="2:12" x14ac:dyDescent="0.25">
      <c r="B18" s="103" t="s">
        <v>33</v>
      </c>
      <c r="C18" s="174">
        <v>31000</v>
      </c>
      <c r="D18" s="71">
        <v>1085</v>
      </c>
      <c r="E18" s="71">
        <v>744</v>
      </c>
      <c r="F18" s="71">
        <v>775</v>
      </c>
      <c r="G18" s="74">
        <f t="shared" si="3"/>
        <v>35</v>
      </c>
      <c r="H18" s="74">
        <f t="shared" si="4"/>
        <v>24</v>
      </c>
      <c r="I18" s="74">
        <f t="shared" si="5"/>
        <v>25</v>
      </c>
      <c r="J18" s="75">
        <f t="shared" si="0"/>
        <v>7.7608652112958138E-3</v>
      </c>
      <c r="K18" s="75">
        <f t="shared" si="1"/>
        <v>3.3769063180827889E-2</v>
      </c>
      <c r="L18" s="75">
        <f t="shared" si="2"/>
        <v>2.0417841241404746E-2</v>
      </c>
    </row>
    <row r="19" spans="2:12" x14ac:dyDescent="0.25">
      <c r="B19" s="89" t="s">
        <v>26</v>
      </c>
      <c r="C19" s="172">
        <v>21000</v>
      </c>
      <c r="D19" s="53">
        <v>1365</v>
      </c>
      <c r="E19" s="53">
        <v>1659</v>
      </c>
      <c r="F19" s="53">
        <v>1848</v>
      </c>
      <c r="G19" s="56">
        <f t="shared" si="3"/>
        <v>65</v>
      </c>
      <c r="H19" s="56">
        <f t="shared" si="4"/>
        <v>79</v>
      </c>
      <c r="I19" s="56">
        <f t="shared" si="5"/>
        <v>88</v>
      </c>
      <c r="J19" s="57">
        <f t="shared" si="0"/>
        <v>9.7636691367915078E-3</v>
      </c>
      <c r="K19" s="57">
        <f t="shared" si="1"/>
        <v>7.5299564270152511E-2</v>
      </c>
      <c r="L19" s="57">
        <f t="shared" si="2"/>
        <v>4.8686671760149645E-2</v>
      </c>
    </row>
    <row r="20" spans="2:12" x14ac:dyDescent="0.25">
      <c r="B20" s="103" t="s">
        <v>34</v>
      </c>
      <c r="C20" s="174">
        <v>10000</v>
      </c>
      <c r="D20" s="71">
        <v>850</v>
      </c>
      <c r="E20" s="71">
        <v>550</v>
      </c>
      <c r="F20" s="71">
        <v>540</v>
      </c>
      <c r="G20" s="74">
        <f t="shared" si="3"/>
        <v>85</v>
      </c>
      <c r="H20" s="74">
        <f t="shared" si="4"/>
        <v>55</v>
      </c>
      <c r="I20" s="74">
        <f t="shared" si="5"/>
        <v>54</v>
      </c>
      <c r="J20" s="75">
        <f t="shared" si="0"/>
        <v>6.0799404881119283E-3</v>
      </c>
      <c r="K20" s="75">
        <f t="shared" si="1"/>
        <v>2.4963689179375453E-2</v>
      </c>
      <c r="L20" s="75">
        <f t="shared" si="2"/>
        <v>1.4226624864978792E-2</v>
      </c>
    </row>
    <row r="21" spans="2:12" x14ac:dyDescent="0.25">
      <c r="B21" s="89" t="s">
        <v>9</v>
      </c>
      <c r="C21" s="172">
        <v>15000</v>
      </c>
      <c r="D21" s="53">
        <v>1200</v>
      </c>
      <c r="E21" s="53">
        <v>945</v>
      </c>
      <c r="F21" s="53">
        <v>1320</v>
      </c>
      <c r="G21" s="56">
        <f t="shared" si="3"/>
        <v>80</v>
      </c>
      <c r="H21" s="56">
        <f t="shared" si="4"/>
        <v>63</v>
      </c>
      <c r="I21" s="56">
        <f t="shared" si="5"/>
        <v>88</v>
      </c>
      <c r="J21" s="57">
        <f t="shared" si="0"/>
        <v>8.583445394981546E-3</v>
      </c>
      <c r="K21" s="57">
        <f t="shared" si="1"/>
        <v>4.2892156862745098E-2</v>
      </c>
      <c r="L21" s="57">
        <f t="shared" si="2"/>
        <v>3.4776194114392603E-2</v>
      </c>
    </row>
    <row r="22" spans="2:12" x14ac:dyDescent="0.25">
      <c r="B22" s="103" t="s">
        <v>35</v>
      </c>
      <c r="C22" s="174">
        <v>22000</v>
      </c>
      <c r="D22" s="71">
        <v>660</v>
      </c>
      <c r="E22" s="71">
        <v>484</v>
      </c>
      <c r="F22" s="71">
        <v>660</v>
      </c>
      <c r="G22" s="74">
        <f t="shared" si="3"/>
        <v>30</v>
      </c>
      <c r="H22" s="74">
        <f t="shared" si="4"/>
        <v>22</v>
      </c>
      <c r="I22" s="74">
        <f t="shared" si="5"/>
        <v>30</v>
      </c>
      <c r="J22" s="75">
        <f t="shared" si="0"/>
        <v>4.7208949672398505E-3</v>
      </c>
      <c r="K22" s="75">
        <f t="shared" si="1"/>
        <v>2.19680464778504E-2</v>
      </c>
      <c r="L22" s="75">
        <f t="shared" si="2"/>
        <v>1.7388097057196301E-2</v>
      </c>
    </row>
    <row r="23" spans="2:12" x14ac:dyDescent="0.25">
      <c r="B23" s="89" t="s">
        <v>36</v>
      </c>
      <c r="C23" s="172">
        <v>0</v>
      </c>
      <c r="D23" s="53">
        <v>0</v>
      </c>
      <c r="E23" s="53">
        <v>0</v>
      </c>
      <c r="F23" s="53">
        <v>0</v>
      </c>
      <c r="G23" s="56" t="str">
        <f t="shared" si="3"/>
        <v>-</v>
      </c>
      <c r="H23" s="56" t="str">
        <f t="shared" si="4"/>
        <v>-</v>
      </c>
      <c r="I23" s="56" t="str">
        <f t="shared" si="5"/>
        <v>-</v>
      </c>
      <c r="J23" s="57">
        <f t="shared" si="0"/>
        <v>0</v>
      </c>
      <c r="K23" s="57">
        <f t="shared" si="1"/>
        <v>0</v>
      </c>
      <c r="L23" s="57">
        <f t="shared" si="2"/>
        <v>0</v>
      </c>
    </row>
    <row r="24" spans="2:12" x14ac:dyDescent="0.25">
      <c r="B24" s="103" t="s">
        <v>37</v>
      </c>
      <c r="C24" s="174">
        <v>49000</v>
      </c>
      <c r="D24" s="71">
        <v>3430</v>
      </c>
      <c r="E24" s="71">
        <v>392</v>
      </c>
      <c r="F24" s="71">
        <v>343</v>
      </c>
      <c r="G24" s="74">
        <f t="shared" si="3"/>
        <v>70</v>
      </c>
      <c r="H24" s="74">
        <f t="shared" si="4"/>
        <v>8</v>
      </c>
      <c r="I24" s="74">
        <f t="shared" si="5"/>
        <v>7</v>
      </c>
      <c r="J24" s="75">
        <f t="shared" si="0"/>
        <v>2.4534348087322251E-2</v>
      </c>
      <c r="K24" s="75">
        <f t="shared" si="1"/>
        <v>1.7792302106027596E-2</v>
      </c>
      <c r="L24" s="75">
        <f t="shared" si="2"/>
        <v>9.0365413494217142E-3</v>
      </c>
    </row>
    <row r="25" spans="2:12" x14ac:dyDescent="0.25">
      <c r="B25" s="89" t="s">
        <v>38</v>
      </c>
      <c r="C25" s="172">
        <v>1000</v>
      </c>
      <c r="D25" s="53">
        <v>50</v>
      </c>
      <c r="E25" s="53">
        <v>9</v>
      </c>
      <c r="F25" s="53">
        <v>0</v>
      </c>
      <c r="G25" s="56">
        <f t="shared" si="3"/>
        <v>50</v>
      </c>
      <c r="H25" s="56">
        <f t="shared" si="4"/>
        <v>9</v>
      </c>
      <c r="I25" s="56">
        <f t="shared" si="5"/>
        <v>0</v>
      </c>
      <c r="J25" s="57">
        <f t="shared" si="0"/>
        <v>3.5764355812423107E-4</v>
      </c>
      <c r="K25" s="57">
        <f t="shared" si="1"/>
        <v>4.084967320261438E-4</v>
      </c>
      <c r="L25" s="57">
        <f t="shared" si="2"/>
        <v>0</v>
      </c>
    </row>
    <row r="26" spans="2:12" x14ac:dyDescent="0.25">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25">
      <c r="B27" s="89" t="s">
        <v>40</v>
      </c>
      <c r="C27" s="172">
        <v>4000</v>
      </c>
      <c r="D27" s="53">
        <v>160</v>
      </c>
      <c r="E27" s="53">
        <v>28</v>
      </c>
      <c r="F27" s="53">
        <v>76</v>
      </c>
      <c r="G27" s="56">
        <f t="shared" si="3"/>
        <v>40</v>
      </c>
      <c r="H27" s="56">
        <f t="shared" si="4"/>
        <v>7</v>
      </c>
      <c r="I27" s="56">
        <f t="shared" si="5"/>
        <v>19</v>
      </c>
      <c r="J27" s="57">
        <f t="shared" si="0"/>
        <v>1.1444593859975395E-3</v>
      </c>
      <c r="K27" s="57">
        <f t="shared" si="1"/>
        <v>1.270878721859114E-3</v>
      </c>
      <c r="L27" s="57">
        <f t="shared" si="2"/>
        <v>2.002265721737756E-3</v>
      </c>
    </row>
    <row r="28" spans="2:12" x14ac:dyDescent="0.25">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25">
      <c r="B29" s="89" t="s">
        <v>42</v>
      </c>
      <c r="C29" s="172">
        <v>4000</v>
      </c>
      <c r="D29" s="53">
        <v>160</v>
      </c>
      <c r="E29" s="53">
        <v>124</v>
      </c>
      <c r="F29" s="53">
        <v>280</v>
      </c>
      <c r="G29" s="56">
        <f t="shared" si="3"/>
        <v>40</v>
      </c>
      <c r="H29" s="56">
        <f t="shared" si="4"/>
        <v>31</v>
      </c>
      <c r="I29" s="56">
        <f t="shared" si="5"/>
        <v>70</v>
      </c>
      <c r="J29" s="57">
        <f t="shared" si="0"/>
        <v>1.1444593859975395E-3</v>
      </c>
      <c r="K29" s="57">
        <f t="shared" si="1"/>
        <v>5.6281771968046479E-3</v>
      </c>
      <c r="L29" s="57">
        <f t="shared" si="2"/>
        <v>7.3767684485075216E-3</v>
      </c>
    </row>
    <row r="30" spans="2:12" x14ac:dyDescent="0.25">
      <c r="B30" s="103" t="s">
        <v>10</v>
      </c>
      <c r="C30" s="174">
        <v>763000</v>
      </c>
      <c r="D30" s="71">
        <v>61803</v>
      </c>
      <c r="E30" s="71">
        <v>6104</v>
      </c>
      <c r="F30" s="71">
        <v>21364</v>
      </c>
      <c r="G30" s="74">
        <f t="shared" si="3"/>
        <v>81</v>
      </c>
      <c r="H30" s="74">
        <f t="shared" si="4"/>
        <v>8</v>
      </c>
      <c r="I30" s="74">
        <f t="shared" si="5"/>
        <v>28</v>
      </c>
      <c r="J30" s="75">
        <f t="shared" si="0"/>
        <v>0.44206889645503705</v>
      </c>
      <c r="K30" s="75">
        <f t="shared" si="1"/>
        <v>0.27705156136528686</v>
      </c>
      <c r="L30" s="75">
        <f t="shared" si="2"/>
        <v>0.56284743262112391</v>
      </c>
    </row>
    <row r="31" spans="2:12" x14ac:dyDescent="0.25">
      <c r="B31" s="89" t="s">
        <v>43</v>
      </c>
      <c r="C31" s="53">
        <v>50000</v>
      </c>
      <c r="D31" s="184">
        <v>2500</v>
      </c>
      <c r="E31" s="164">
        <v>750</v>
      </c>
      <c r="F31" s="164">
        <v>500</v>
      </c>
      <c r="G31" s="56">
        <f t="shared" si="3"/>
        <v>50</v>
      </c>
      <c r="H31" s="56">
        <f t="shared" si="4"/>
        <v>15</v>
      </c>
      <c r="I31" s="56">
        <f t="shared" si="5"/>
        <v>10</v>
      </c>
      <c r="J31" s="57">
        <f>D31/$D$33</f>
        <v>1.7882177906211553E-2</v>
      </c>
      <c r="K31" s="57">
        <f t="shared" si="1"/>
        <v>3.4041394335511982E-2</v>
      </c>
      <c r="L31" s="57">
        <f t="shared" si="2"/>
        <v>1.3172800800906289E-2</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2073000</v>
      </c>
      <c r="D33" s="63">
        <f>SUM(D11:D31)</f>
        <v>139804</v>
      </c>
      <c r="E33" s="62">
        <f t="shared" ref="E33:F33" si="7">SUM(E11:E31)</f>
        <v>22032</v>
      </c>
      <c r="F33" s="102">
        <f t="shared" si="7"/>
        <v>37957</v>
      </c>
      <c r="G33" s="94"/>
      <c r="H33" s="94"/>
      <c r="I33" s="94"/>
      <c r="J33" s="95">
        <f t="shared" ref="J33:L33" si="8">SUM(J11:J31)</f>
        <v>0.99999999999999989</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257</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3C2668E6-74B6-478F-83B3-B4E9AEA56CF4}"/>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3F96B-5CAE-4245-A095-69DE554A976F}">
  <sheetPr>
    <tabColor rgb="FF92D050"/>
  </sheetPr>
  <dimension ref="A1:Q42"/>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411</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v>2018</v>
      </c>
      <c r="K9" s="49">
        <v>2018</v>
      </c>
      <c r="L9" s="49">
        <v>2018</v>
      </c>
    </row>
    <row r="10" spans="1:17" ht="6" customHeight="1" thickTop="1" x14ac:dyDescent="0.25">
      <c r="B10" s="96"/>
      <c r="C10" s="97"/>
      <c r="D10" s="98"/>
      <c r="E10" s="98"/>
      <c r="F10" s="98"/>
      <c r="G10" s="98"/>
      <c r="H10" s="98"/>
      <c r="I10" s="98"/>
      <c r="J10" s="98"/>
      <c r="K10" s="98"/>
      <c r="L10" s="98"/>
    </row>
    <row r="11" spans="1:17" x14ac:dyDescent="0.25">
      <c r="B11" s="89" t="s">
        <v>3</v>
      </c>
      <c r="C11" s="260">
        <v>5236000</v>
      </c>
      <c r="D11" s="261">
        <f>863.94*1000</f>
        <v>863940</v>
      </c>
      <c r="E11" s="264">
        <f>99.484*1000</f>
        <v>99484</v>
      </c>
      <c r="F11" s="264">
        <f>83.776*1000</f>
        <v>83776</v>
      </c>
      <c r="G11" s="56">
        <f>IFERROR(D11*1000/C11,"-")</f>
        <v>165</v>
      </c>
      <c r="H11" s="56">
        <f>IFERROR(E11*1000/C11,"-")</f>
        <v>19</v>
      </c>
      <c r="I11" s="56">
        <f>IFERROR(F11*1000/C11,"-")</f>
        <v>16</v>
      </c>
      <c r="J11" s="57">
        <f t="shared" ref="J11:J29" si="0">D11/$D$31</f>
        <v>0.38518435293897346</v>
      </c>
      <c r="K11" s="57">
        <f t="shared" ref="K11:K29" si="1">E11/$E$31</f>
        <v>0.23339738130596865</v>
      </c>
      <c r="L11" s="57">
        <f t="shared" ref="L11:L29" si="2">F11/$F$31</f>
        <v>0.18732028423599278</v>
      </c>
    </row>
    <row r="12" spans="1:17" x14ac:dyDescent="0.25">
      <c r="B12" s="103" t="s">
        <v>27</v>
      </c>
      <c r="C12" s="265">
        <v>1768000</v>
      </c>
      <c r="D12" s="266">
        <f>238.68*1000</f>
        <v>238680</v>
      </c>
      <c r="E12" s="267">
        <f>31.824*1000</f>
        <v>31824</v>
      </c>
      <c r="F12" s="267">
        <f>28.288*1000</f>
        <v>28288</v>
      </c>
      <c r="G12" s="74">
        <f t="shared" ref="G12:G29" si="3">IFERROR(D12*1000/C12,"-")</f>
        <v>135</v>
      </c>
      <c r="H12" s="74">
        <f t="shared" ref="H12:H29" si="4">IFERROR(E12*1000/C12,"-")</f>
        <v>18</v>
      </c>
      <c r="I12" s="74">
        <f t="shared" ref="I12:I29" si="5">IFERROR(F12*1000/C12,"-")</f>
        <v>16</v>
      </c>
      <c r="J12" s="75">
        <f t="shared" si="0"/>
        <v>0.1064145673999053</v>
      </c>
      <c r="K12" s="75">
        <f t="shared" si="1"/>
        <v>7.4661636672039192E-2</v>
      </c>
      <c r="L12" s="75">
        <f t="shared" si="2"/>
        <v>6.3251005066698868E-2</v>
      </c>
    </row>
    <row r="13" spans="1:17" x14ac:dyDescent="0.25">
      <c r="B13" s="89" t="s">
        <v>28</v>
      </c>
      <c r="C13" s="256">
        <v>412000</v>
      </c>
      <c r="D13" s="258">
        <f>37.08*1000</f>
        <v>37080</v>
      </c>
      <c r="E13" s="262">
        <f>7.416*1000</f>
        <v>7416</v>
      </c>
      <c r="F13" s="262">
        <f>5.768*1000</f>
        <v>5768</v>
      </c>
      <c r="G13" s="56">
        <f t="shared" si="3"/>
        <v>90</v>
      </c>
      <c r="H13" s="56">
        <f t="shared" si="4"/>
        <v>18</v>
      </c>
      <c r="I13" s="56">
        <f t="shared" si="5"/>
        <v>14</v>
      </c>
      <c r="J13" s="57">
        <f t="shared" si="0"/>
        <v>1.65319765342236E-2</v>
      </c>
      <c r="K13" s="57">
        <f t="shared" si="1"/>
        <v>1.7398526192805512E-2</v>
      </c>
      <c r="L13" s="57">
        <f t="shared" si="2"/>
        <v>1.28970516552856E-2</v>
      </c>
    </row>
    <row r="14" spans="1:17" x14ac:dyDescent="0.25">
      <c r="B14" s="103" t="s">
        <v>29</v>
      </c>
      <c r="C14" s="265">
        <v>1490000</v>
      </c>
      <c r="D14" s="266">
        <f>216.05*1000</f>
        <v>216050</v>
      </c>
      <c r="E14" s="267">
        <f>56.62*1000</f>
        <v>56620</v>
      </c>
      <c r="F14" s="267">
        <f>52.15*1000</f>
        <v>52150</v>
      </c>
      <c r="G14" s="74">
        <f t="shared" si="3"/>
        <v>145</v>
      </c>
      <c r="H14" s="74">
        <f t="shared" si="4"/>
        <v>38</v>
      </c>
      <c r="I14" s="74">
        <f t="shared" si="5"/>
        <v>35</v>
      </c>
      <c r="J14" s="75">
        <f t="shared" si="0"/>
        <v>9.6325068236758585E-2</v>
      </c>
      <c r="K14" s="75">
        <f t="shared" si="1"/>
        <v>0.13283502602975297</v>
      </c>
      <c r="L14" s="75">
        <f t="shared" si="2"/>
        <v>0.1166056247959681</v>
      </c>
    </row>
    <row r="15" spans="1:17" x14ac:dyDescent="0.25">
      <c r="B15" s="89" t="s">
        <v>30</v>
      </c>
      <c r="C15" s="256">
        <v>153000</v>
      </c>
      <c r="D15" s="258">
        <f>7.65*1000</f>
        <v>7650</v>
      </c>
      <c r="E15" s="262">
        <f>2.754*1000</f>
        <v>2754</v>
      </c>
      <c r="F15" s="262">
        <f>2.142*1000</f>
        <v>2142</v>
      </c>
      <c r="G15" s="56">
        <f t="shared" si="3"/>
        <v>50</v>
      </c>
      <c r="H15" s="56">
        <f t="shared" si="4"/>
        <v>18</v>
      </c>
      <c r="I15" s="56">
        <f t="shared" si="5"/>
        <v>14</v>
      </c>
      <c r="J15" s="57">
        <f t="shared" si="0"/>
        <v>3.410723314099529E-3</v>
      </c>
      <c r="K15" s="57">
        <f t="shared" si="1"/>
        <v>6.4611031735418529E-3</v>
      </c>
      <c r="L15" s="57">
        <f t="shared" si="2"/>
        <v>4.7894390855793608E-3</v>
      </c>
    </row>
    <row r="16" spans="1:17" x14ac:dyDescent="0.25">
      <c r="B16" s="103" t="s">
        <v>31</v>
      </c>
      <c r="C16" s="265">
        <v>1617000</v>
      </c>
      <c r="D16" s="266">
        <f>258.72*1000</f>
        <v>258720.00000000003</v>
      </c>
      <c r="E16" s="267">
        <f>51.744*1000</f>
        <v>51744</v>
      </c>
      <c r="F16" s="267">
        <f>56.595*1000</f>
        <v>56595</v>
      </c>
      <c r="G16" s="74">
        <f t="shared" si="3"/>
        <v>160.00000000000003</v>
      </c>
      <c r="H16" s="74">
        <f t="shared" si="4"/>
        <v>32</v>
      </c>
      <c r="I16" s="74">
        <f t="shared" si="5"/>
        <v>35</v>
      </c>
      <c r="J16" s="75">
        <f t="shared" si="0"/>
        <v>0.11534932494429154</v>
      </c>
      <c r="K16" s="75">
        <f t="shared" si="1"/>
        <v>0.12139554197957503</v>
      </c>
      <c r="L16" s="75">
        <f t="shared" si="2"/>
        <v>0.12654449348663116</v>
      </c>
    </row>
    <row r="17" spans="1:17" x14ac:dyDescent="0.25">
      <c r="B17" s="89" t="s">
        <v>32</v>
      </c>
      <c r="C17" s="256">
        <v>741000</v>
      </c>
      <c r="D17" s="258">
        <f>26.676*1000</f>
        <v>26676</v>
      </c>
      <c r="E17" s="262">
        <f>19.266*1000</f>
        <v>19266</v>
      </c>
      <c r="F17" s="262">
        <f>14.82*1000</f>
        <v>14820</v>
      </c>
      <c r="G17" s="56">
        <f t="shared" si="3"/>
        <v>36</v>
      </c>
      <c r="H17" s="56">
        <f t="shared" si="4"/>
        <v>26</v>
      </c>
      <c r="I17" s="56">
        <f t="shared" si="5"/>
        <v>20</v>
      </c>
      <c r="J17" s="57">
        <f t="shared" si="0"/>
        <v>1.189339282704824E-2</v>
      </c>
      <c r="K17" s="57">
        <f t="shared" si="1"/>
        <v>4.5199569259788429E-2</v>
      </c>
      <c r="L17" s="57">
        <f t="shared" si="2"/>
        <v>3.3137015522075694E-2</v>
      </c>
    </row>
    <row r="18" spans="1:17" x14ac:dyDescent="0.25">
      <c r="B18" s="103" t="s">
        <v>33</v>
      </c>
      <c r="C18" s="265">
        <v>227000</v>
      </c>
      <c r="D18" s="266"/>
      <c r="E18" s="267">
        <f>7.945*1000</f>
        <v>7945</v>
      </c>
      <c r="F18" s="267">
        <f>6.81*1000</f>
        <v>6810</v>
      </c>
      <c r="G18" s="74">
        <f t="shared" si="3"/>
        <v>0</v>
      </c>
      <c r="H18" s="74">
        <f t="shared" si="4"/>
        <v>35</v>
      </c>
      <c r="I18" s="74">
        <f t="shared" si="5"/>
        <v>30</v>
      </c>
      <c r="J18" s="75">
        <f t="shared" si="0"/>
        <v>0</v>
      </c>
      <c r="K18" s="75">
        <f t="shared" si="1"/>
        <v>1.8639602292588969E-2</v>
      </c>
      <c r="L18" s="75">
        <f t="shared" si="2"/>
        <v>1.5226928185245308E-2</v>
      </c>
    </row>
    <row r="19" spans="1:17" x14ac:dyDescent="0.25">
      <c r="B19" s="89" t="s">
        <v>26</v>
      </c>
      <c r="C19" s="256">
        <v>191000</v>
      </c>
      <c r="D19" s="258">
        <f>22.92*1000</f>
        <v>22920</v>
      </c>
      <c r="E19" s="262">
        <f>9.55*1000</f>
        <v>9550</v>
      </c>
      <c r="F19" s="262">
        <f>16.235*1000</f>
        <v>16235</v>
      </c>
      <c r="G19" s="56">
        <f t="shared" si="3"/>
        <v>120</v>
      </c>
      <c r="H19" s="56">
        <f t="shared" si="4"/>
        <v>50</v>
      </c>
      <c r="I19" s="56">
        <f t="shared" si="5"/>
        <v>85</v>
      </c>
      <c r="J19" s="57">
        <f t="shared" si="0"/>
        <v>1.0218794556753098E-2</v>
      </c>
      <c r="K19" s="57">
        <f t="shared" si="1"/>
        <v>2.2405060024446151E-2</v>
      </c>
      <c r="L19" s="57">
        <f t="shared" si="2"/>
        <v>3.6300907354986429E-2</v>
      </c>
    </row>
    <row r="20" spans="1:17" x14ac:dyDescent="0.25">
      <c r="B20" s="103" t="s">
        <v>34</v>
      </c>
      <c r="C20" s="265">
        <v>486000</v>
      </c>
      <c r="D20" s="266">
        <f>48.6*1000</f>
        <v>48600</v>
      </c>
      <c r="E20" s="267">
        <f>24.3*1000</f>
        <v>24300</v>
      </c>
      <c r="F20" s="267">
        <f>36.45*1000</f>
        <v>36450</v>
      </c>
      <c r="G20" s="74">
        <f t="shared" si="3"/>
        <v>100</v>
      </c>
      <c r="H20" s="74">
        <f t="shared" si="4"/>
        <v>50</v>
      </c>
      <c r="I20" s="74">
        <f t="shared" si="5"/>
        <v>75</v>
      </c>
      <c r="J20" s="75">
        <f t="shared" si="0"/>
        <v>2.1668124583691124E-2</v>
      </c>
      <c r="K20" s="75">
        <f t="shared" si="1"/>
        <v>5.7009733884192816E-2</v>
      </c>
      <c r="L20" s="75">
        <f t="shared" si="2"/>
        <v>8.1500959229396694E-2</v>
      </c>
    </row>
    <row r="21" spans="1:17" x14ac:dyDescent="0.25">
      <c r="B21" s="89" t="s">
        <v>9</v>
      </c>
      <c r="C21" s="256">
        <v>240000</v>
      </c>
      <c r="D21" s="258">
        <f>21.6*1000</f>
        <v>21600</v>
      </c>
      <c r="E21" s="262">
        <f>12*1000</f>
        <v>12000</v>
      </c>
      <c r="F21" s="262">
        <f>13.2*1000</f>
        <v>13200</v>
      </c>
      <c r="G21" s="56">
        <f t="shared" si="3"/>
        <v>90</v>
      </c>
      <c r="H21" s="56">
        <f t="shared" si="4"/>
        <v>50</v>
      </c>
      <c r="I21" s="56">
        <f t="shared" si="5"/>
        <v>55</v>
      </c>
      <c r="J21" s="57">
        <f t="shared" si="0"/>
        <v>9.6302775927516113E-3</v>
      </c>
      <c r="K21" s="57">
        <f t="shared" si="1"/>
        <v>2.8152955004539664E-2</v>
      </c>
      <c r="L21" s="57">
        <f t="shared" si="2"/>
        <v>2.9514750667435839E-2</v>
      </c>
    </row>
    <row r="22" spans="1:17" x14ac:dyDescent="0.25">
      <c r="B22" s="103" t="s">
        <v>35</v>
      </c>
      <c r="C22" s="265">
        <v>60000</v>
      </c>
      <c r="D22" s="268">
        <f>2.4*1000</f>
        <v>2400</v>
      </c>
      <c r="E22" s="269">
        <f>1.8*1000</f>
        <v>1800</v>
      </c>
      <c r="F22" s="269">
        <f>2.4*1000</f>
        <v>2400</v>
      </c>
      <c r="G22" s="74">
        <f t="shared" si="3"/>
        <v>40</v>
      </c>
      <c r="H22" s="74">
        <f t="shared" si="4"/>
        <v>30</v>
      </c>
      <c r="I22" s="74">
        <f t="shared" si="5"/>
        <v>40</v>
      </c>
      <c r="J22" s="75">
        <f t="shared" si="0"/>
        <v>1.0700308436390679E-3</v>
      </c>
      <c r="K22" s="75">
        <f t="shared" si="1"/>
        <v>4.2229432506809498E-3</v>
      </c>
      <c r="L22" s="75">
        <f t="shared" si="2"/>
        <v>5.3663183031701523E-3</v>
      </c>
    </row>
    <row r="23" spans="1:17" x14ac:dyDescent="0.25">
      <c r="B23" s="89" t="s">
        <v>36</v>
      </c>
      <c r="C23" s="257">
        <v>370000</v>
      </c>
      <c r="D23" s="259"/>
      <c r="E23" s="263">
        <f>11.1*1000</f>
        <v>11100</v>
      </c>
      <c r="F23" s="263">
        <f>29.6*1000</f>
        <v>29600</v>
      </c>
      <c r="G23" s="56">
        <f t="shared" si="3"/>
        <v>0</v>
      </c>
      <c r="H23" s="56">
        <f t="shared" si="4"/>
        <v>30</v>
      </c>
      <c r="I23" s="56">
        <f t="shared" si="5"/>
        <v>80</v>
      </c>
      <c r="J23" s="57">
        <f t="shared" si="0"/>
        <v>0</v>
      </c>
      <c r="K23" s="57">
        <f t="shared" si="1"/>
        <v>2.604148337919919E-2</v>
      </c>
      <c r="L23" s="57">
        <f t="shared" si="2"/>
        <v>6.6184592405765214E-2</v>
      </c>
    </row>
    <row r="24" spans="1:17" x14ac:dyDescent="0.25">
      <c r="B24" s="103" t="s">
        <v>37</v>
      </c>
      <c r="C24" s="270">
        <v>280000</v>
      </c>
      <c r="D24" s="268">
        <f>14*1000</f>
        <v>14000</v>
      </c>
      <c r="E24" s="269">
        <f>4.2*1000</f>
        <v>4200</v>
      </c>
      <c r="F24" s="269">
        <f>2.8*1000</f>
        <v>2800</v>
      </c>
      <c r="G24" s="74">
        <f t="shared" si="3"/>
        <v>50</v>
      </c>
      <c r="H24" s="74">
        <f t="shared" si="4"/>
        <v>15</v>
      </c>
      <c r="I24" s="74">
        <f t="shared" si="5"/>
        <v>10</v>
      </c>
      <c r="J24" s="75">
        <f t="shared" si="0"/>
        <v>6.2418465878945626E-3</v>
      </c>
      <c r="K24" s="75">
        <f t="shared" si="1"/>
        <v>9.8535342515888823E-3</v>
      </c>
      <c r="L24" s="75">
        <f t="shared" si="2"/>
        <v>6.2607046870318444E-3</v>
      </c>
    </row>
    <row r="25" spans="1:17" x14ac:dyDescent="0.25">
      <c r="B25" s="89" t="s">
        <v>38</v>
      </c>
      <c r="C25" s="256">
        <v>1420000</v>
      </c>
      <c r="D25" s="258">
        <f>49.7*1000</f>
        <v>49700</v>
      </c>
      <c r="E25" s="262">
        <f>28.4*1000</f>
        <v>28400</v>
      </c>
      <c r="F25" s="262">
        <f>28.4*1000</f>
        <v>28400</v>
      </c>
      <c r="G25" s="56">
        <f t="shared" si="3"/>
        <v>35</v>
      </c>
      <c r="H25" s="56">
        <f t="shared" si="4"/>
        <v>20</v>
      </c>
      <c r="I25" s="56">
        <f t="shared" si="5"/>
        <v>20</v>
      </c>
      <c r="J25" s="57">
        <f t="shared" si="0"/>
        <v>2.2158555387025696E-2</v>
      </c>
      <c r="K25" s="57">
        <f t="shared" si="1"/>
        <v>6.6628660177410537E-2</v>
      </c>
      <c r="L25" s="57">
        <f t="shared" si="2"/>
        <v>6.3501433254180145E-2</v>
      </c>
    </row>
    <row r="26" spans="1:17" x14ac:dyDescent="0.25">
      <c r="B26" s="103" t="s">
        <v>39</v>
      </c>
      <c r="C26" s="270">
        <v>5000</v>
      </c>
      <c r="D26" s="268"/>
      <c r="E26" s="269"/>
      <c r="F26" s="269"/>
      <c r="G26" s="74">
        <f t="shared" si="3"/>
        <v>0</v>
      </c>
      <c r="H26" s="74">
        <f t="shared" si="4"/>
        <v>0</v>
      </c>
      <c r="I26" s="74">
        <f t="shared" si="5"/>
        <v>0</v>
      </c>
      <c r="J26" s="75">
        <f t="shared" si="0"/>
        <v>0</v>
      </c>
      <c r="K26" s="75">
        <f t="shared" si="1"/>
        <v>0</v>
      </c>
      <c r="L26" s="75">
        <f t="shared" si="2"/>
        <v>0</v>
      </c>
    </row>
    <row r="27" spans="1:17" x14ac:dyDescent="0.25">
      <c r="B27" s="89" t="s">
        <v>40</v>
      </c>
      <c r="C27" s="257">
        <v>6000</v>
      </c>
      <c r="D27" s="259"/>
      <c r="E27" s="263"/>
      <c r="F27" s="263"/>
      <c r="G27" s="56">
        <f t="shared" si="3"/>
        <v>0</v>
      </c>
      <c r="H27" s="56">
        <f t="shared" si="4"/>
        <v>0</v>
      </c>
      <c r="I27" s="56">
        <f t="shared" si="5"/>
        <v>0</v>
      </c>
      <c r="J27" s="57">
        <f t="shared" si="0"/>
        <v>0</v>
      </c>
      <c r="K27" s="57">
        <f t="shared" si="1"/>
        <v>0</v>
      </c>
      <c r="L27" s="57">
        <f t="shared" si="2"/>
        <v>0</v>
      </c>
    </row>
    <row r="28" spans="1:17" x14ac:dyDescent="0.25">
      <c r="B28" s="103" t="s">
        <v>42</v>
      </c>
      <c r="C28" s="270">
        <v>930000</v>
      </c>
      <c r="D28" s="268">
        <f>(32.55*1000)+150</f>
        <v>32699.999999999996</v>
      </c>
      <c r="E28" s="269">
        <f>18.6*1000</f>
        <v>18600</v>
      </c>
      <c r="F28" s="269">
        <f>(18.6*1000)+150</f>
        <v>18750</v>
      </c>
      <c r="G28" s="74">
        <f t="shared" si="3"/>
        <v>35.161290322580641</v>
      </c>
      <c r="H28" s="74">
        <f t="shared" si="4"/>
        <v>20</v>
      </c>
      <c r="I28" s="74">
        <f t="shared" si="5"/>
        <v>20.161290322580644</v>
      </c>
      <c r="J28" s="75">
        <f t="shared" si="0"/>
        <v>1.4579170244582298E-2</v>
      </c>
      <c r="K28" s="75">
        <f t="shared" si="1"/>
        <v>4.3637080257036477E-2</v>
      </c>
      <c r="L28" s="75">
        <f t="shared" si="2"/>
        <v>4.1924361743516818E-2</v>
      </c>
    </row>
    <row r="29" spans="1:17" x14ac:dyDescent="0.25">
      <c r="B29" s="89" t="s">
        <v>10</v>
      </c>
      <c r="C29" s="257">
        <v>12260000</v>
      </c>
      <c r="D29" s="259">
        <v>402210</v>
      </c>
      <c r="E29" s="263">
        <v>39240</v>
      </c>
      <c r="F29" s="263">
        <v>49050</v>
      </c>
      <c r="G29" s="56">
        <f t="shared" si="3"/>
        <v>32.806688417618268</v>
      </c>
      <c r="H29" s="56">
        <f t="shared" si="4"/>
        <v>3.2006525285481238</v>
      </c>
      <c r="I29" s="56">
        <f t="shared" si="5"/>
        <v>4.0008156606851548</v>
      </c>
      <c r="J29" s="57">
        <f t="shared" si="0"/>
        <v>0.17932379400836229</v>
      </c>
      <c r="K29" s="57">
        <f t="shared" si="1"/>
        <v>9.2060162864844697E-2</v>
      </c>
      <c r="L29" s="57">
        <f t="shared" si="2"/>
        <v>0.10967413032103999</v>
      </c>
    </row>
    <row r="30" spans="1:17" s="7" customFormat="1" ht="6" customHeight="1" thickBot="1" x14ac:dyDescent="0.3">
      <c r="B30" s="89"/>
      <c r="C30" s="99"/>
      <c r="D30" s="99"/>
      <c r="E30" s="93"/>
      <c r="F30" s="92"/>
      <c r="G30" s="100"/>
      <c r="H30" s="84"/>
      <c r="I30" s="101"/>
      <c r="J30" s="85"/>
      <c r="K30" s="85"/>
      <c r="L30" s="85"/>
    </row>
    <row r="31" spans="1:17" s="12" customFormat="1" ht="24.95" customHeight="1" thickTop="1" thickBot="1" x14ac:dyDescent="0.3">
      <c r="A31" s="13"/>
      <c r="B31" s="90" t="s">
        <v>13</v>
      </c>
      <c r="C31" s="63">
        <f>SUM(C11:C29)</f>
        <v>27892000</v>
      </c>
      <c r="D31" s="63">
        <f>SUM(D11:D29)</f>
        <v>2242926</v>
      </c>
      <c r="E31" s="62">
        <f>SUM(E11:E29)</f>
        <v>426243</v>
      </c>
      <c r="F31" s="102">
        <f>SUM(F11:F29)</f>
        <v>447234</v>
      </c>
      <c r="G31" s="94"/>
      <c r="H31" s="94"/>
      <c r="I31" s="94"/>
      <c r="J31" s="95">
        <f>SUM(J11:J29)</f>
        <v>1</v>
      </c>
      <c r="K31" s="64">
        <f>SUM(K11:K29)</f>
        <v>1</v>
      </c>
      <c r="L31" s="65">
        <f>SUM(L11:L29)</f>
        <v>1</v>
      </c>
      <c r="M31" s="13"/>
      <c r="N31" s="13"/>
      <c r="O31" s="13"/>
      <c r="P31" s="13"/>
      <c r="Q31" s="13"/>
    </row>
    <row r="32" spans="1:17" ht="15.75" thickTop="1" x14ac:dyDescent="0.25">
      <c r="B32" s="15"/>
    </row>
    <row r="33" spans="1:17" x14ac:dyDescent="0.25">
      <c r="B33" s="15"/>
    </row>
    <row r="34" spans="1:17" x14ac:dyDescent="0.25">
      <c r="B34" s="66" t="s">
        <v>396</v>
      </c>
      <c r="C34" s="67"/>
      <c r="D34" s="67"/>
      <c r="E34" s="67"/>
      <c r="F34" s="67"/>
    </row>
    <row r="35" spans="1:17" x14ac:dyDescent="0.25">
      <c r="A35" s="21"/>
      <c r="B35" s="67" t="s">
        <v>97</v>
      </c>
      <c r="C35" s="68"/>
      <c r="D35" s="68"/>
      <c r="E35" s="68"/>
      <c r="F35" s="68"/>
      <c r="G35" s="87"/>
      <c r="H35" s="88"/>
      <c r="I35"/>
      <c r="J35"/>
      <c r="K35"/>
      <c r="L35"/>
      <c r="M35"/>
      <c r="N35"/>
      <c r="O35"/>
      <c r="P35"/>
      <c r="Q35"/>
    </row>
    <row r="36" spans="1:17" ht="14.45" customHeight="1" x14ac:dyDescent="0.25">
      <c r="A36" s="21"/>
      <c r="B36" s="67"/>
      <c r="C36" s="68"/>
      <c r="D36" s="68"/>
      <c r="E36" s="68"/>
      <c r="F36" s="68"/>
      <c r="G36" s="87"/>
      <c r="H36" s="88"/>
      <c r="I36"/>
      <c r="J36"/>
      <c r="K36"/>
      <c r="L36"/>
      <c r="M36"/>
      <c r="N36"/>
      <c r="O36"/>
      <c r="P36"/>
      <c r="Q36"/>
    </row>
    <row r="37" spans="1:17" x14ac:dyDescent="0.25">
      <c r="A37"/>
      <c r="B37" s="79" t="s">
        <v>397</v>
      </c>
      <c r="C37" s="68"/>
      <c r="D37" s="68"/>
      <c r="E37" s="68"/>
      <c r="F37" s="68"/>
      <c r="G37" s="88"/>
      <c r="H37" s="88"/>
      <c r="I37"/>
      <c r="J37"/>
      <c r="K37"/>
      <c r="L37"/>
      <c r="M37"/>
      <c r="N37"/>
      <c r="O37"/>
      <c r="P37"/>
      <c r="Q37"/>
    </row>
    <row r="38" spans="1:17" x14ac:dyDescent="0.25">
      <c r="A38" s="21"/>
      <c r="B38" s="69" t="s">
        <v>96</v>
      </c>
      <c r="C38" s="68"/>
      <c r="D38" s="68"/>
      <c r="E38" s="68"/>
      <c r="F38" s="68"/>
      <c r="G38" s="88"/>
      <c r="H38" s="88"/>
      <c r="I38"/>
      <c r="J38"/>
      <c r="K38"/>
      <c r="L38"/>
      <c r="M38"/>
      <c r="N38"/>
      <c r="O38"/>
      <c r="P38"/>
      <c r="Q38"/>
    </row>
    <row r="39" spans="1:17" x14ac:dyDescent="0.25">
      <c r="B39" s="67" t="s">
        <v>178</v>
      </c>
      <c r="C39" s="67"/>
      <c r="D39" s="67"/>
      <c r="E39" s="67"/>
      <c r="F39" s="67"/>
      <c r="G39" s="87"/>
      <c r="H39" s="87"/>
    </row>
    <row r="40" spans="1:17" x14ac:dyDescent="0.25">
      <c r="B40" s="69" t="s">
        <v>382</v>
      </c>
      <c r="C40" s="67"/>
      <c r="D40" s="67"/>
      <c r="E40" s="67"/>
      <c r="F40" s="67"/>
      <c r="G40" s="87"/>
      <c r="H40" s="87"/>
    </row>
    <row r="41" spans="1:17" x14ac:dyDescent="0.25">
      <c r="B41" s="87"/>
      <c r="C41" s="87"/>
      <c r="D41" s="87"/>
      <c r="E41" s="87"/>
      <c r="F41" s="87"/>
      <c r="G41" s="87"/>
      <c r="H41" s="87"/>
    </row>
    <row r="42" spans="1:17" x14ac:dyDescent="0.25">
      <c r="B42" s="66" t="s">
        <v>398</v>
      </c>
    </row>
  </sheetData>
  <mergeCells count="8">
    <mergeCell ref="C6:C7"/>
    <mergeCell ref="D6:F6"/>
    <mergeCell ref="G6:I6"/>
    <mergeCell ref="J6:L6"/>
    <mergeCell ref="B7:B8"/>
    <mergeCell ref="D7:F7"/>
    <mergeCell ref="G7:I7"/>
    <mergeCell ref="J7:L7"/>
  </mergeCells>
  <hyperlinks>
    <hyperlink ref="B1" location="Start!A1" display="Back to home page" xr:uid="{44DD6269-1E40-493C-83D6-50FA4EF5DEAB}"/>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CAC13-B88C-4103-AED5-8B1961627773}">
  <sheetPr>
    <tabColor rgb="FF92D050"/>
  </sheetPr>
  <dimension ref="A1:Q44"/>
  <sheetViews>
    <sheetView showGridLines="0" zoomScale="80" zoomScaleNormal="80" workbookViewId="0">
      <pane xSplit="2" ySplit="9" topLeftCell="C22" activePane="bottomRight" state="frozen"/>
      <selection pane="topRight" activeCell="C1" sqref="C1"/>
      <selection pane="bottomLeft" activeCell="A10" sqref="A10"/>
      <selection pane="bottomRight" activeCell="B37" sqref="B37"/>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92</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3202000</v>
      </c>
      <c r="D11" s="53">
        <v>480300</v>
      </c>
      <c r="E11" s="187">
        <v>38424</v>
      </c>
      <c r="F11" s="164">
        <v>48030</v>
      </c>
      <c r="G11" s="56">
        <f>IFERROR(D11*1000/C11,"-")</f>
        <v>150</v>
      </c>
      <c r="H11" s="56">
        <f>IFERROR(E11*1000/C11,"-")</f>
        <v>12</v>
      </c>
      <c r="I11" s="56">
        <f>IFERROR(F11*1000/C11,"-")</f>
        <v>15</v>
      </c>
      <c r="J11" s="57">
        <f t="shared" ref="J11:J30" si="0">D11/$D$33</f>
        <v>0.31550072191399831</v>
      </c>
      <c r="K11" s="57">
        <f t="shared" ref="K11:K31" si="1">E11/$E$33</f>
        <v>0.17618010500011463</v>
      </c>
      <c r="L11" s="57">
        <f t="shared" ref="L11:L31" si="2">F11/$F$33</f>
        <v>0.11567361880448919</v>
      </c>
    </row>
    <row r="12" spans="1:17" x14ac:dyDescent="0.25">
      <c r="B12" s="103" t="s">
        <v>27</v>
      </c>
      <c r="C12" s="71">
        <v>1566000</v>
      </c>
      <c r="D12" s="71">
        <v>195750</v>
      </c>
      <c r="E12" s="166">
        <v>20358</v>
      </c>
      <c r="F12" s="166">
        <v>21924</v>
      </c>
      <c r="G12" s="74">
        <f t="shared" ref="G12:G31" si="3">IFERROR(D12*1000/C12,"-")</f>
        <v>125</v>
      </c>
      <c r="H12" s="74">
        <f t="shared" ref="H12:H31" si="4">IFERROR(E12*1000/C12,"-")</f>
        <v>13</v>
      </c>
      <c r="I12" s="74">
        <f t="shared" ref="I12:I31" si="5">IFERROR(F12*1000/C12,"-")</f>
        <v>14</v>
      </c>
      <c r="J12" s="75">
        <f t="shared" si="0"/>
        <v>0.12858477267263205</v>
      </c>
      <c r="K12" s="75">
        <f t="shared" si="1"/>
        <v>9.3344643389348683E-2</v>
      </c>
      <c r="L12" s="75">
        <f t="shared" si="2"/>
        <v>5.2800924810943596E-2</v>
      </c>
    </row>
    <row r="13" spans="1:17" x14ac:dyDescent="0.25">
      <c r="B13" s="89" t="s">
        <v>28</v>
      </c>
      <c r="C13" s="53">
        <v>1054000</v>
      </c>
      <c r="D13" s="53">
        <v>110670</v>
      </c>
      <c r="E13" s="164">
        <v>15810</v>
      </c>
      <c r="F13" s="164">
        <v>14756</v>
      </c>
      <c r="G13" s="56">
        <f t="shared" si="3"/>
        <v>105</v>
      </c>
      <c r="H13" s="56">
        <f t="shared" si="4"/>
        <v>15</v>
      </c>
      <c r="I13" s="56">
        <f t="shared" si="5"/>
        <v>14</v>
      </c>
      <c r="J13" s="57">
        <f t="shared" si="0"/>
        <v>7.2697199446642088E-2</v>
      </c>
      <c r="K13" s="57">
        <f t="shared" si="1"/>
        <v>7.2491345514569344E-2</v>
      </c>
      <c r="L13" s="57">
        <f t="shared" si="2"/>
        <v>3.55377871971485E-2</v>
      </c>
    </row>
    <row r="14" spans="1:17" x14ac:dyDescent="0.25">
      <c r="B14" s="103" t="s">
        <v>29</v>
      </c>
      <c r="C14" s="71">
        <v>432000</v>
      </c>
      <c r="D14" s="71">
        <v>51840</v>
      </c>
      <c r="E14" s="166">
        <v>19440</v>
      </c>
      <c r="F14" s="166">
        <v>23328</v>
      </c>
      <c r="G14" s="74">
        <f t="shared" si="3"/>
        <v>120</v>
      </c>
      <c r="H14" s="74">
        <f t="shared" si="4"/>
        <v>45</v>
      </c>
      <c r="I14" s="74">
        <f t="shared" si="5"/>
        <v>54</v>
      </c>
      <c r="J14" s="75">
        <f t="shared" si="0"/>
        <v>3.4052794969855658E-2</v>
      </c>
      <c r="K14" s="75">
        <f t="shared" si="1"/>
        <v>8.913546848850272E-2</v>
      </c>
      <c r="L14" s="75">
        <f t="shared" si="2"/>
        <v>5.6182264823467075E-2</v>
      </c>
    </row>
    <row r="15" spans="1:17" x14ac:dyDescent="0.25">
      <c r="B15" s="89" t="s">
        <v>30</v>
      </c>
      <c r="C15" s="53">
        <v>23000</v>
      </c>
      <c r="D15" s="53">
        <v>1955</v>
      </c>
      <c r="E15" s="164">
        <v>391</v>
      </c>
      <c r="F15" s="164">
        <v>322</v>
      </c>
      <c r="G15" s="56">
        <f t="shared" si="3"/>
        <v>85</v>
      </c>
      <c r="H15" s="56">
        <f t="shared" si="4"/>
        <v>17</v>
      </c>
      <c r="I15" s="56">
        <f t="shared" si="5"/>
        <v>14</v>
      </c>
      <c r="J15" s="57">
        <f t="shared" si="0"/>
        <v>1.2842055201787771E-3</v>
      </c>
      <c r="K15" s="57">
        <f t="shared" si="1"/>
        <v>1.7927967170269837E-3</v>
      </c>
      <c r="L15" s="57">
        <f t="shared" si="2"/>
        <v>7.7549250999470166E-4</v>
      </c>
    </row>
    <row r="16" spans="1:17" x14ac:dyDescent="0.25">
      <c r="B16" s="103" t="s">
        <v>31</v>
      </c>
      <c r="C16" s="71">
        <v>1224000</v>
      </c>
      <c r="D16" s="71">
        <v>171360</v>
      </c>
      <c r="E16" s="166">
        <v>30600</v>
      </c>
      <c r="F16" s="166">
        <v>91800</v>
      </c>
      <c r="G16" s="74">
        <f t="shared" si="3"/>
        <v>140</v>
      </c>
      <c r="H16" s="74">
        <f t="shared" si="4"/>
        <v>25</v>
      </c>
      <c r="I16" s="74">
        <f t="shared" si="5"/>
        <v>75</v>
      </c>
      <c r="J16" s="75">
        <f t="shared" si="0"/>
        <v>0.11256340559480064</v>
      </c>
      <c r="K16" s="75">
        <f t="shared" si="1"/>
        <v>0.14030583002819871</v>
      </c>
      <c r="L16" s="75">
        <f t="shared" si="2"/>
        <v>0.2210876162034584</v>
      </c>
    </row>
    <row r="17" spans="2:12" x14ac:dyDescent="0.25">
      <c r="B17" s="89" t="s">
        <v>32</v>
      </c>
      <c r="C17" s="53">
        <v>45000</v>
      </c>
      <c r="D17" s="53">
        <v>1800</v>
      </c>
      <c r="E17" s="164">
        <v>765</v>
      </c>
      <c r="F17" s="164">
        <v>1980</v>
      </c>
      <c r="G17" s="56">
        <f t="shared" si="3"/>
        <v>40</v>
      </c>
      <c r="H17" s="56">
        <f t="shared" si="4"/>
        <v>17</v>
      </c>
      <c r="I17" s="56">
        <f t="shared" si="5"/>
        <v>44</v>
      </c>
      <c r="J17" s="57">
        <f t="shared" si="0"/>
        <v>1.1823887142310991E-3</v>
      </c>
      <c r="K17" s="57">
        <f t="shared" si="1"/>
        <v>3.507645750704968E-3</v>
      </c>
      <c r="L17" s="57">
        <f t="shared" si="2"/>
        <v>4.7685564279177301E-3</v>
      </c>
    </row>
    <row r="18" spans="2:12" x14ac:dyDescent="0.25">
      <c r="B18" s="103" t="s">
        <v>33</v>
      </c>
      <c r="C18" s="71">
        <v>115000</v>
      </c>
      <c r="D18" s="71">
        <v>805</v>
      </c>
      <c r="E18" s="166">
        <v>1725</v>
      </c>
      <c r="F18" s="166">
        <v>5175</v>
      </c>
      <c r="G18" s="74">
        <f t="shared" si="3"/>
        <v>7</v>
      </c>
      <c r="H18" s="74">
        <f t="shared" si="4"/>
        <v>15</v>
      </c>
      <c r="I18" s="74">
        <f t="shared" si="5"/>
        <v>45</v>
      </c>
      <c r="J18" s="75">
        <f t="shared" si="0"/>
        <v>5.2879050830890821E-4</v>
      </c>
      <c r="K18" s="75">
        <f t="shared" si="1"/>
        <v>7.9093972810013978E-3</v>
      </c>
      <c r="L18" s="75">
        <f t="shared" si="2"/>
        <v>1.2463272482057704E-2</v>
      </c>
    </row>
    <row r="19" spans="2:12" x14ac:dyDescent="0.25">
      <c r="B19" s="89" t="s">
        <v>26</v>
      </c>
      <c r="C19" s="53">
        <v>252000</v>
      </c>
      <c r="D19" s="53">
        <v>34020</v>
      </c>
      <c r="E19" s="164">
        <v>15120</v>
      </c>
      <c r="F19" s="164">
        <v>41580</v>
      </c>
      <c r="G19" s="56">
        <f t="shared" si="3"/>
        <v>135</v>
      </c>
      <c r="H19" s="56">
        <f t="shared" si="4"/>
        <v>60</v>
      </c>
      <c r="I19" s="56">
        <f t="shared" si="5"/>
        <v>165</v>
      </c>
      <c r="J19" s="57">
        <f t="shared" si="0"/>
        <v>2.2347146698967774E-2</v>
      </c>
      <c r="K19" s="57">
        <f t="shared" si="1"/>
        <v>6.9327586602168784E-2</v>
      </c>
      <c r="L19" s="57">
        <f t="shared" si="2"/>
        <v>0.10013968498627233</v>
      </c>
    </row>
    <row r="20" spans="2:12" x14ac:dyDescent="0.25">
      <c r="B20" s="103" t="s">
        <v>34</v>
      </c>
      <c r="C20" s="71">
        <v>410000</v>
      </c>
      <c r="D20" s="71">
        <v>51250</v>
      </c>
      <c r="E20" s="166">
        <v>24600</v>
      </c>
      <c r="F20" s="166">
        <v>56990</v>
      </c>
      <c r="G20" s="74">
        <f t="shared" si="3"/>
        <v>125</v>
      </c>
      <c r="H20" s="74">
        <f t="shared" si="4"/>
        <v>60</v>
      </c>
      <c r="I20" s="74">
        <f t="shared" si="5"/>
        <v>139</v>
      </c>
      <c r="J20" s="75">
        <f t="shared" si="0"/>
        <v>3.3665234224635465E-2</v>
      </c>
      <c r="K20" s="75">
        <f t="shared" si="1"/>
        <v>0.11279488296384603</v>
      </c>
      <c r="L20" s="75">
        <f t="shared" si="2"/>
        <v>0.13725254082173305</v>
      </c>
    </row>
    <row r="21" spans="2:12" x14ac:dyDescent="0.25">
      <c r="B21" s="89" t="s">
        <v>9</v>
      </c>
      <c r="C21" s="53">
        <v>140000</v>
      </c>
      <c r="D21" s="53">
        <v>23100</v>
      </c>
      <c r="E21" s="164">
        <v>7000</v>
      </c>
      <c r="F21" s="164">
        <v>18200</v>
      </c>
      <c r="G21" s="56">
        <f t="shared" si="3"/>
        <v>165</v>
      </c>
      <c r="H21" s="56">
        <f t="shared" si="4"/>
        <v>50</v>
      </c>
      <c r="I21" s="56">
        <f t="shared" si="5"/>
        <v>130</v>
      </c>
      <c r="J21" s="57">
        <f t="shared" si="0"/>
        <v>1.5173988499299107E-2</v>
      </c>
      <c r="K21" s="57">
        <f t="shared" si="1"/>
        <v>3.2096104908411471E-2</v>
      </c>
      <c r="L21" s="57">
        <f t="shared" si="2"/>
        <v>4.3832185347526614E-2</v>
      </c>
    </row>
    <row r="22" spans="2:12" x14ac:dyDescent="0.25">
      <c r="B22" s="103" t="s">
        <v>35</v>
      </c>
      <c r="C22" s="71">
        <v>100000</v>
      </c>
      <c r="D22" s="71">
        <v>6000</v>
      </c>
      <c r="E22" s="166">
        <v>2000</v>
      </c>
      <c r="F22" s="166">
        <v>3000</v>
      </c>
      <c r="G22" s="74">
        <f t="shared" si="3"/>
        <v>60</v>
      </c>
      <c r="H22" s="74">
        <f t="shared" si="4"/>
        <v>20</v>
      </c>
      <c r="I22" s="74">
        <f t="shared" si="5"/>
        <v>30</v>
      </c>
      <c r="J22" s="75">
        <f t="shared" si="0"/>
        <v>3.9412957141036643E-3</v>
      </c>
      <c r="K22" s="75">
        <f t="shared" si="1"/>
        <v>9.170315688117563E-3</v>
      </c>
      <c r="L22" s="75">
        <f t="shared" si="2"/>
        <v>7.225085496845046E-3</v>
      </c>
    </row>
    <row r="23" spans="2:12" x14ac:dyDescent="0.25">
      <c r="B23" s="89" t="s">
        <v>36</v>
      </c>
      <c r="C23" s="53">
        <v>300000</v>
      </c>
      <c r="D23" s="53">
        <v>3000</v>
      </c>
      <c r="E23" s="164">
        <v>3300</v>
      </c>
      <c r="F23" s="164">
        <v>12000</v>
      </c>
      <c r="G23" s="56">
        <f t="shared" si="3"/>
        <v>10</v>
      </c>
      <c r="H23" s="56">
        <f t="shared" si="4"/>
        <v>11</v>
      </c>
      <c r="I23" s="56">
        <f t="shared" si="5"/>
        <v>40</v>
      </c>
      <c r="J23" s="57">
        <f t="shared" si="0"/>
        <v>1.9706478570518321E-3</v>
      </c>
      <c r="K23" s="57">
        <f t="shared" si="1"/>
        <v>1.5131020885393979E-2</v>
      </c>
      <c r="L23" s="57">
        <f t="shared" si="2"/>
        <v>2.8900341987380184E-2</v>
      </c>
    </row>
    <row r="24" spans="2:12" x14ac:dyDescent="0.25">
      <c r="B24" s="103" t="s">
        <v>37</v>
      </c>
      <c r="C24" s="71">
        <v>390000</v>
      </c>
      <c r="D24" s="71">
        <v>42900</v>
      </c>
      <c r="E24" s="166">
        <v>4290</v>
      </c>
      <c r="F24" s="166">
        <v>13650</v>
      </c>
      <c r="G24" s="74">
        <f t="shared" si="3"/>
        <v>110</v>
      </c>
      <c r="H24" s="74">
        <f t="shared" si="4"/>
        <v>11</v>
      </c>
      <c r="I24" s="74">
        <f t="shared" si="5"/>
        <v>35</v>
      </c>
      <c r="J24" s="75">
        <f t="shared" si="0"/>
        <v>2.8180264355841197E-2</v>
      </c>
      <c r="K24" s="75">
        <f t="shared" si="1"/>
        <v>1.9670327151012173E-2</v>
      </c>
      <c r="L24" s="75">
        <f t="shared" si="2"/>
        <v>3.2874139010644961E-2</v>
      </c>
    </row>
    <row r="25" spans="2:12" x14ac:dyDescent="0.25">
      <c r="B25" s="89" t="s">
        <v>38</v>
      </c>
      <c r="C25" s="53">
        <v>1200000</v>
      </c>
      <c r="D25" s="53">
        <v>60000</v>
      </c>
      <c r="E25" s="164">
        <v>9600</v>
      </c>
      <c r="F25" s="164">
        <v>18000</v>
      </c>
      <c r="G25" s="56">
        <f t="shared" si="3"/>
        <v>50</v>
      </c>
      <c r="H25" s="56">
        <f t="shared" si="4"/>
        <v>8</v>
      </c>
      <c r="I25" s="56">
        <f t="shared" si="5"/>
        <v>15</v>
      </c>
      <c r="J25" s="57">
        <f t="shared" si="0"/>
        <v>3.9412957141036639E-2</v>
      </c>
      <c r="K25" s="57">
        <f t="shared" si="1"/>
        <v>4.4017515302964307E-2</v>
      </c>
      <c r="L25" s="57">
        <f t="shared" si="2"/>
        <v>4.3350512981070274E-2</v>
      </c>
    </row>
    <row r="26" spans="2:12" x14ac:dyDescent="0.25">
      <c r="B26" s="103" t="s">
        <v>39</v>
      </c>
      <c r="C26" s="71">
        <v>20000</v>
      </c>
      <c r="D26" s="71">
        <v>160</v>
      </c>
      <c r="E26" s="166">
        <v>60</v>
      </c>
      <c r="F26" s="166">
        <v>200</v>
      </c>
      <c r="G26" s="74">
        <f t="shared" si="3"/>
        <v>8</v>
      </c>
      <c r="H26" s="74">
        <f t="shared" si="4"/>
        <v>3</v>
      </c>
      <c r="I26" s="74">
        <f t="shared" si="5"/>
        <v>10</v>
      </c>
      <c r="J26" s="75">
        <f t="shared" si="0"/>
        <v>1.0510121904276438E-4</v>
      </c>
      <c r="K26" s="75">
        <f t="shared" si="1"/>
        <v>2.7510947064352692E-4</v>
      </c>
      <c r="L26" s="75">
        <f t="shared" si="2"/>
        <v>4.8167236645633641E-4</v>
      </c>
    </row>
    <row r="27" spans="2:12" x14ac:dyDescent="0.25">
      <c r="B27" s="89" t="s">
        <v>40</v>
      </c>
      <c r="C27" s="53">
        <v>3000</v>
      </c>
      <c r="D27" s="53">
        <v>60</v>
      </c>
      <c r="E27" s="164">
        <v>24</v>
      </c>
      <c r="F27" s="164">
        <v>75</v>
      </c>
      <c r="G27" s="56">
        <f t="shared" si="3"/>
        <v>20</v>
      </c>
      <c r="H27" s="56">
        <f t="shared" si="4"/>
        <v>8</v>
      </c>
      <c r="I27" s="56">
        <f t="shared" si="5"/>
        <v>25</v>
      </c>
      <c r="J27" s="57">
        <f t="shared" si="0"/>
        <v>3.9412957141036636E-5</v>
      </c>
      <c r="K27" s="57">
        <f t="shared" si="1"/>
        <v>1.1004378825741076E-4</v>
      </c>
      <c r="L27" s="57">
        <f t="shared" si="2"/>
        <v>1.8062713742112615E-4</v>
      </c>
    </row>
    <row r="28" spans="2:12" x14ac:dyDescent="0.25">
      <c r="B28" s="103" t="s">
        <v>41</v>
      </c>
      <c r="C28" s="71">
        <v>944000</v>
      </c>
      <c r="D28" s="71">
        <v>50032</v>
      </c>
      <c r="E28" s="166">
        <v>7552</v>
      </c>
      <c r="F28" s="166">
        <v>14160</v>
      </c>
      <c r="G28" s="74">
        <f t="shared" si="3"/>
        <v>53</v>
      </c>
      <c r="H28" s="74">
        <f t="shared" si="4"/>
        <v>8</v>
      </c>
      <c r="I28" s="74">
        <f t="shared" si="5"/>
        <v>15</v>
      </c>
      <c r="J28" s="75">
        <f t="shared" si="0"/>
        <v>3.2865151194672419E-2</v>
      </c>
      <c r="K28" s="75">
        <f t="shared" si="1"/>
        <v>3.4627112038331923E-2</v>
      </c>
      <c r="L28" s="75">
        <f t="shared" si="2"/>
        <v>3.4102403545108614E-2</v>
      </c>
    </row>
    <row r="29" spans="2:12" x14ac:dyDescent="0.25">
      <c r="B29" s="89" t="s">
        <v>42</v>
      </c>
      <c r="C29" s="53">
        <v>206000</v>
      </c>
      <c r="D29" s="53">
        <v>8240</v>
      </c>
      <c r="E29" s="164">
        <v>1236</v>
      </c>
      <c r="F29" s="164">
        <v>10300</v>
      </c>
      <c r="G29" s="56">
        <f t="shared" si="3"/>
        <v>40</v>
      </c>
      <c r="H29" s="56">
        <f t="shared" si="4"/>
        <v>6</v>
      </c>
      <c r="I29" s="56">
        <f t="shared" si="5"/>
        <v>50</v>
      </c>
      <c r="J29" s="57">
        <f t="shared" si="0"/>
        <v>5.4127127807023648E-3</v>
      </c>
      <c r="K29" s="57">
        <f t="shared" si="1"/>
        <v>5.6672550952566545E-3</v>
      </c>
      <c r="L29" s="57">
        <f t="shared" si="2"/>
        <v>2.4806126872501326E-2</v>
      </c>
    </row>
    <row r="30" spans="2:12" x14ac:dyDescent="0.25">
      <c r="B30" s="103" t="s">
        <v>10</v>
      </c>
      <c r="C30" s="71">
        <v>4650000</v>
      </c>
      <c r="D30" s="71">
        <v>229100</v>
      </c>
      <c r="E30" s="166">
        <v>15800</v>
      </c>
      <c r="F30" s="166">
        <v>19750</v>
      </c>
      <c r="G30" s="74">
        <f t="shared" si="3"/>
        <v>49.268817204301072</v>
      </c>
      <c r="H30" s="74">
        <f t="shared" si="4"/>
        <v>3.3978494623655915</v>
      </c>
      <c r="I30" s="74">
        <f t="shared" si="5"/>
        <v>4.247311827956989</v>
      </c>
      <c r="J30" s="75">
        <f t="shared" si="0"/>
        <v>0.15049180801685824</v>
      </c>
      <c r="K30" s="75">
        <f t="shared" si="1"/>
        <v>7.2445493936128758E-2</v>
      </c>
      <c r="L30" s="75">
        <f t="shared" si="2"/>
        <v>4.7565146187563218E-2</v>
      </c>
    </row>
    <row r="31" spans="2:12" x14ac:dyDescent="0.25">
      <c r="B31" s="89" t="s">
        <v>43</v>
      </c>
      <c r="C31" s="53" t="s">
        <v>17</v>
      </c>
      <c r="D31" s="53" t="s">
        <v>17</v>
      </c>
      <c r="E31" s="164"/>
      <c r="F31" s="164"/>
      <c r="G31" s="56" t="str">
        <f t="shared" si="3"/>
        <v>-</v>
      </c>
      <c r="H31" s="56" t="str">
        <f t="shared" si="4"/>
        <v>-</v>
      </c>
      <c r="I31" s="56" t="str">
        <f t="shared" si="5"/>
        <v>-</v>
      </c>
      <c r="J31" s="57">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16276000</v>
      </c>
      <c r="D33" s="63">
        <f>SUM(D11:D31)</f>
        <v>1522342</v>
      </c>
      <c r="E33" s="62">
        <f t="shared" ref="E33:F33" si="7">SUM(E11:E31)</f>
        <v>218095</v>
      </c>
      <c r="F33" s="102">
        <f t="shared" si="7"/>
        <v>415220</v>
      </c>
      <c r="G33" s="94"/>
      <c r="H33" s="94"/>
      <c r="I33" s="94"/>
      <c r="J33" s="64">
        <f t="shared" ref="J33:L33" si="8">SUM(J11:J31)</f>
        <v>1</v>
      </c>
      <c r="K33" s="64">
        <f t="shared" si="8"/>
        <v>0.99999999999999978</v>
      </c>
      <c r="L33" s="65">
        <f t="shared" si="8"/>
        <v>1.0000000000000002</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94</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93</v>
      </c>
      <c r="C40" s="68"/>
      <c r="D40" s="68"/>
      <c r="E40" s="68"/>
      <c r="F40" s="68"/>
      <c r="G40" s="88"/>
      <c r="H40" s="88"/>
      <c r="I40"/>
      <c r="J40"/>
      <c r="K40"/>
      <c r="L40"/>
      <c r="M40"/>
      <c r="N40"/>
      <c r="O40"/>
      <c r="P40"/>
      <c r="Q40"/>
    </row>
    <row r="41" spans="1:17" x14ac:dyDescent="0.25">
      <c r="B41" s="67" t="s">
        <v>178</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0341BEAC-46BD-47D1-982E-829A99FF3E2C}"/>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88BE6-B3CC-4B8D-8585-1A5E855946AC}">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259</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430000</v>
      </c>
      <c r="D11" s="53">
        <v>22360</v>
      </c>
      <c r="E11" s="53">
        <v>5590</v>
      </c>
      <c r="F11" s="53">
        <v>0</v>
      </c>
      <c r="G11" s="56">
        <f>IFERROR(D11*1000/C11,"-")</f>
        <v>52</v>
      </c>
      <c r="H11" s="56">
        <f>IFERROR(E11*1000/C11,"-")</f>
        <v>13</v>
      </c>
      <c r="I11" s="56">
        <f>IFERROR(F11*1000/C11,"-")</f>
        <v>0</v>
      </c>
      <c r="J11" s="57">
        <f t="shared" ref="J11:J30" si="0">D11/$D$33</f>
        <v>0.12543264726836192</v>
      </c>
      <c r="K11" s="57">
        <f t="shared" ref="K11:K31" si="1">E11/$E$33</f>
        <v>0.11143005222660766</v>
      </c>
      <c r="L11" s="57">
        <f t="shared" ref="L11:L31" si="2">F11/$F$33</f>
        <v>0</v>
      </c>
    </row>
    <row r="12" spans="1:17" x14ac:dyDescent="0.25">
      <c r="B12" s="103" t="s">
        <v>27</v>
      </c>
      <c r="C12" s="71">
        <v>130000</v>
      </c>
      <c r="D12" s="71">
        <v>6500</v>
      </c>
      <c r="E12" s="71">
        <v>1690</v>
      </c>
      <c r="F12" s="71">
        <v>0</v>
      </c>
      <c r="G12" s="74">
        <f t="shared" ref="G12:G31" si="3">IFERROR(D12*1000/C12,"-")</f>
        <v>50</v>
      </c>
      <c r="H12" s="74">
        <f t="shared" ref="H12:H31" si="4">IFERROR(E12*1000/C12,"-")</f>
        <v>13</v>
      </c>
      <c r="I12" s="74">
        <f t="shared" ref="I12:I31" si="5">IFERROR(F12*1000/C12,"-")</f>
        <v>0</v>
      </c>
      <c r="J12" s="75">
        <f t="shared" si="0"/>
        <v>3.6462978857081954E-2</v>
      </c>
      <c r="K12" s="75">
        <f t="shared" si="1"/>
        <v>3.3688155324323246E-2</v>
      </c>
      <c r="L12" s="75">
        <f t="shared" si="2"/>
        <v>0</v>
      </c>
    </row>
    <row r="13" spans="1:17" x14ac:dyDescent="0.25">
      <c r="B13" s="89" t="s">
        <v>28</v>
      </c>
      <c r="C13" s="53">
        <v>150000</v>
      </c>
      <c r="D13" s="53">
        <v>7500</v>
      </c>
      <c r="E13" s="53">
        <v>2550</v>
      </c>
      <c r="F13" s="53">
        <v>150</v>
      </c>
      <c r="G13" s="56">
        <f t="shared" si="3"/>
        <v>50</v>
      </c>
      <c r="H13" s="56">
        <f t="shared" si="4"/>
        <v>17</v>
      </c>
      <c r="I13" s="56">
        <f t="shared" si="5"/>
        <v>1</v>
      </c>
      <c r="J13" s="57">
        <f t="shared" si="0"/>
        <v>4.2072667912017636E-2</v>
      </c>
      <c r="K13" s="57">
        <f t="shared" si="1"/>
        <v>5.0831240282262886E-2</v>
      </c>
      <c r="L13" s="57">
        <f t="shared" si="2"/>
        <v>3.2834971433574854E-3</v>
      </c>
    </row>
    <row r="14" spans="1:17" x14ac:dyDescent="0.25">
      <c r="B14" s="103" t="s">
        <v>29</v>
      </c>
      <c r="C14" s="71">
        <v>100000</v>
      </c>
      <c r="D14" s="71">
        <v>25000</v>
      </c>
      <c r="E14" s="71">
        <v>2400</v>
      </c>
      <c r="F14" s="71">
        <v>700</v>
      </c>
      <c r="G14" s="74">
        <f t="shared" si="3"/>
        <v>250</v>
      </c>
      <c r="H14" s="74">
        <f t="shared" si="4"/>
        <v>24</v>
      </c>
      <c r="I14" s="74">
        <f t="shared" si="5"/>
        <v>7</v>
      </c>
      <c r="J14" s="75">
        <f t="shared" si="0"/>
        <v>0.14024222637339212</v>
      </c>
      <c r="K14" s="75">
        <f t="shared" si="1"/>
        <v>4.7841167324482715E-2</v>
      </c>
      <c r="L14" s="75">
        <f t="shared" si="2"/>
        <v>1.5322986669001597E-2</v>
      </c>
    </row>
    <row r="15" spans="1:17" x14ac:dyDescent="0.25">
      <c r="B15" s="89" t="s">
        <v>30</v>
      </c>
      <c r="C15" s="53">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25">
      <c r="B16" s="103" t="s">
        <v>31</v>
      </c>
      <c r="C16" s="71">
        <v>10000</v>
      </c>
      <c r="D16" s="71">
        <v>500</v>
      </c>
      <c r="E16" s="71">
        <v>150</v>
      </c>
      <c r="F16" s="71">
        <v>100</v>
      </c>
      <c r="G16" s="74">
        <f t="shared" si="3"/>
        <v>50</v>
      </c>
      <c r="H16" s="74">
        <f t="shared" si="4"/>
        <v>15</v>
      </c>
      <c r="I16" s="74">
        <f t="shared" si="5"/>
        <v>10</v>
      </c>
      <c r="J16" s="75">
        <f t="shared" si="0"/>
        <v>2.8048445274678423E-3</v>
      </c>
      <c r="K16" s="75">
        <f t="shared" si="1"/>
        <v>2.9900729577801697E-3</v>
      </c>
      <c r="L16" s="75">
        <f t="shared" si="2"/>
        <v>2.1889980955716567E-3</v>
      </c>
    </row>
    <row r="17" spans="2:12" x14ac:dyDescent="0.25">
      <c r="B17" s="89" t="s">
        <v>32</v>
      </c>
      <c r="C17" s="53">
        <v>80000</v>
      </c>
      <c r="D17" s="53">
        <v>3600</v>
      </c>
      <c r="E17" s="53">
        <v>1760</v>
      </c>
      <c r="F17" s="53">
        <v>800</v>
      </c>
      <c r="G17" s="56">
        <f t="shared" si="3"/>
        <v>45</v>
      </c>
      <c r="H17" s="56">
        <f t="shared" si="4"/>
        <v>22</v>
      </c>
      <c r="I17" s="56">
        <f t="shared" si="5"/>
        <v>10</v>
      </c>
      <c r="J17" s="57">
        <f t="shared" si="0"/>
        <v>2.0194880597768465E-2</v>
      </c>
      <c r="K17" s="57">
        <f t="shared" si="1"/>
        <v>3.5083522704620659E-2</v>
      </c>
      <c r="L17" s="57">
        <f t="shared" si="2"/>
        <v>1.7511984764573253E-2</v>
      </c>
    </row>
    <row r="18" spans="2:12" x14ac:dyDescent="0.25">
      <c r="B18" s="103" t="s">
        <v>33</v>
      </c>
      <c r="C18" s="71">
        <v>17000</v>
      </c>
      <c r="D18" s="71">
        <v>255</v>
      </c>
      <c r="E18" s="71">
        <v>102</v>
      </c>
      <c r="F18" s="71">
        <v>102</v>
      </c>
      <c r="G18" s="74">
        <f t="shared" si="3"/>
        <v>15</v>
      </c>
      <c r="H18" s="74">
        <f t="shared" si="4"/>
        <v>6</v>
      </c>
      <c r="I18" s="74">
        <f t="shared" si="5"/>
        <v>6</v>
      </c>
      <c r="J18" s="75">
        <f t="shared" si="0"/>
        <v>1.4304707090085998E-3</v>
      </c>
      <c r="K18" s="75">
        <f t="shared" si="1"/>
        <v>2.0332496112905156E-3</v>
      </c>
      <c r="L18" s="75">
        <f t="shared" si="2"/>
        <v>2.2327780574830898E-3</v>
      </c>
    </row>
    <row r="19" spans="2:12" x14ac:dyDescent="0.25">
      <c r="B19" s="89" t="s">
        <v>26</v>
      </c>
      <c r="C19" s="53">
        <v>20000</v>
      </c>
      <c r="D19" s="53">
        <v>3300</v>
      </c>
      <c r="E19" s="53">
        <v>1840</v>
      </c>
      <c r="F19" s="53">
        <v>2960</v>
      </c>
      <c r="G19" s="56">
        <f t="shared" si="3"/>
        <v>165</v>
      </c>
      <c r="H19" s="56">
        <f t="shared" si="4"/>
        <v>92</v>
      </c>
      <c r="I19" s="56">
        <f t="shared" si="5"/>
        <v>148</v>
      </c>
      <c r="J19" s="57">
        <f t="shared" si="0"/>
        <v>1.8511973881287759E-2</v>
      </c>
      <c r="K19" s="57">
        <f t="shared" si="1"/>
        <v>3.6678228282103417E-2</v>
      </c>
      <c r="L19" s="57">
        <f t="shared" si="2"/>
        <v>6.4794343628921044E-2</v>
      </c>
    </row>
    <row r="20" spans="2:12" x14ac:dyDescent="0.25">
      <c r="B20" s="103" t="s">
        <v>34</v>
      </c>
      <c r="C20" s="71">
        <v>5000</v>
      </c>
      <c r="D20" s="71">
        <v>475</v>
      </c>
      <c r="E20" s="71">
        <v>150</v>
      </c>
      <c r="F20" s="71">
        <v>80</v>
      </c>
      <c r="G20" s="74">
        <f t="shared" si="3"/>
        <v>95</v>
      </c>
      <c r="H20" s="74">
        <f t="shared" si="4"/>
        <v>30</v>
      </c>
      <c r="I20" s="74">
        <f t="shared" si="5"/>
        <v>16</v>
      </c>
      <c r="J20" s="75">
        <f t="shared" si="0"/>
        <v>2.6646023010944504E-3</v>
      </c>
      <c r="K20" s="75">
        <f t="shared" si="1"/>
        <v>2.9900729577801697E-3</v>
      </c>
      <c r="L20" s="75">
        <f t="shared" si="2"/>
        <v>1.7511984764573255E-3</v>
      </c>
    </row>
    <row r="21" spans="2:12" x14ac:dyDescent="0.25">
      <c r="B21" s="89" t="s">
        <v>9</v>
      </c>
      <c r="C21" s="53">
        <v>64000</v>
      </c>
      <c r="D21" s="53">
        <v>14080</v>
      </c>
      <c r="E21" s="53">
        <v>4864</v>
      </c>
      <c r="F21" s="53">
        <v>10432</v>
      </c>
      <c r="G21" s="56">
        <f t="shared" si="3"/>
        <v>220</v>
      </c>
      <c r="H21" s="56">
        <f t="shared" si="4"/>
        <v>76</v>
      </c>
      <c r="I21" s="56">
        <f t="shared" si="5"/>
        <v>163</v>
      </c>
      <c r="J21" s="57">
        <f t="shared" si="0"/>
        <v>7.8984421893494444E-2</v>
      </c>
      <c r="K21" s="57">
        <f t="shared" si="1"/>
        <v>9.6958099110951643E-2</v>
      </c>
      <c r="L21" s="57">
        <f t="shared" si="2"/>
        <v>0.22835628133003524</v>
      </c>
    </row>
    <row r="22" spans="2:12" x14ac:dyDescent="0.25">
      <c r="B22" s="103" t="s">
        <v>35</v>
      </c>
      <c r="C22" s="71">
        <v>350000</v>
      </c>
      <c r="D22" s="71">
        <v>39200</v>
      </c>
      <c r="E22" s="71">
        <v>7000</v>
      </c>
      <c r="F22" s="71">
        <v>10500</v>
      </c>
      <c r="G22" s="74">
        <f t="shared" si="3"/>
        <v>112</v>
      </c>
      <c r="H22" s="74">
        <f t="shared" si="4"/>
        <v>20</v>
      </c>
      <c r="I22" s="74">
        <f t="shared" si="5"/>
        <v>30</v>
      </c>
      <c r="J22" s="75">
        <f t="shared" si="0"/>
        <v>0.21989981095347885</v>
      </c>
      <c r="K22" s="75">
        <f t="shared" si="1"/>
        <v>0.13953673802974126</v>
      </c>
      <c r="L22" s="75">
        <f t="shared" si="2"/>
        <v>0.22984480003502397</v>
      </c>
    </row>
    <row r="23" spans="2:12" x14ac:dyDescent="0.25">
      <c r="B23" s="89" t="s">
        <v>36</v>
      </c>
      <c r="C23" s="53">
        <v>305000</v>
      </c>
      <c r="D23" s="53">
        <v>2440</v>
      </c>
      <c r="E23" s="53">
        <v>3660</v>
      </c>
      <c r="F23" s="53">
        <v>3050</v>
      </c>
      <c r="G23" s="56">
        <f t="shared" si="3"/>
        <v>8</v>
      </c>
      <c r="H23" s="56">
        <f t="shared" si="4"/>
        <v>12</v>
      </c>
      <c r="I23" s="56">
        <f t="shared" si="5"/>
        <v>10</v>
      </c>
      <c r="J23" s="57">
        <f t="shared" si="0"/>
        <v>1.3687641294043072E-2</v>
      </c>
      <c r="K23" s="57">
        <f t="shared" si="1"/>
        <v>7.2957780169836145E-2</v>
      </c>
      <c r="L23" s="57">
        <f t="shared" si="2"/>
        <v>6.6764441914935538E-2</v>
      </c>
    </row>
    <row r="24" spans="2:12" x14ac:dyDescent="0.25">
      <c r="B24" s="103" t="s">
        <v>37</v>
      </c>
      <c r="C24" s="71">
        <v>135000</v>
      </c>
      <c r="D24" s="71">
        <v>1215</v>
      </c>
      <c r="E24" s="71">
        <v>1080</v>
      </c>
      <c r="F24" s="71">
        <v>945</v>
      </c>
      <c r="G24" s="74">
        <f t="shared" si="3"/>
        <v>9</v>
      </c>
      <c r="H24" s="74">
        <f t="shared" si="4"/>
        <v>8</v>
      </c>
      <c r="I24" s="74">
        <f t="shared" si="5"/>
        <v>7</v>
      </c>
      <c r="J24" s="75">
        <f t="shared" si="0"/>
        <v>6.8157722017468574E-3</v>
      </c>
      <c r="K24" s="75">
        <f t="shared" si="1"/>
        <v>2.1528525296017224E-2</v>
      </c>
      <c r="L24" s="75">
        <f t="shared" si="2"/>
        <v>2.0686032003152156E-2</v>
      </c>
    </row>
    <row r="25" spans="2:12" x14ac:dyDescent="0.25">
      <c r="B25" s="89" t="s">
        <v>38</v>
      </c>
      <c r="C25" s="53">
        <v>20000</v>
      </c>
      <c r="D25" s="53">
        <v>3600</v>
      </c>
      <c r="E25" s="53">
        <v>440</v>
      </c>
      <c r="F25" s="53">
        <v>100</v>
      </c>
      <c r="G25" s="56">
        <f t="shared" si="3"/>
        <v>180</v>
      </c>
      <c r="H25" s="56">
        <f t="shared" si="4"/>
        <v>22</v>
      </c>
      <c r="I25" s="56">
        <f t="shared" si="5"/>
        <v>5</v>
      </c>
      <c r="J25" s="57">
        <f t="shared" si="0"/>
        <v>2.0194880597768465E-2</v>
      </c>
      <c r="K25" s="57">
        <f t="shared" si="1"/>
        <v>8.7708806761551648E-3</v>
      </c>
      <c r="L25" s="57">
        <f t="shared" si="2"/>
        <v>2.1889980955716567E-3</v>
      </c>
    </row>
    <row r="26" spans="2:12" x14ac:dyDescent="0.25">
      <c r="B26" s="103" t="s">
        <v>39</v>
      </c>
      <c r="C26" s="71">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25">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25">
      <c r="B28" s="103" t="s">
        <v>41</v>
      </c>
      <c r="C28" s="71">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25">
      <c r="B29" s="89" t="s">
        <v>42</v>
      </c>
      <c r="C29" s="53">
        <v>1116000</v>
      </c>
      <c r="D29" s="53">
        <v>48238</v>
      </c>
      <c r="E29" s="53">
        <v>16890</v>
      </c>
      <c r="F29" s="53">
        <v>15764</v>
      </c>
      <c r="G29" s="56">
        <f t="shared" si="3"/>
        <v>43.224014336917563</v>
      </c>
      <c r="H29" s="56">
        <f t="shared" si="4"/>
        <v>15.134408602150538</v>
      </c>
      <c r="I29" s="56">
        <f t="shared" si="5"/>
        <v>14.125448028673835</v>
      </c>
      <c r="J29" s="57">
        <f t="shared" si="0"/>
        <v>0.27060018063198754</v>
      </c>
      <c r="K29" s="57">
        <f t="shared" si="1"/>
        <v>0.33668221504604712</v>
      </c>
      <c r="L29" s="57">
        <f t="shared" si="2"/>
        <v>0.34507365978591598</v>
      </c>
    </row>
    <row r="30" spans="2:12" x14ac:dyDescent="0.25">
      <c r="B30" s="103" t="s">
        <v>10</v>
      </c>
      <c r="C30" s="71">
        <v>3560000</v>
      </c>
      <c r="D30" s="71">
        <v>0</v>
      </c>
      <c r="E30" s="71">
        <v>0</v>
      </c>
      <c r="F30" s="71">
        <v>0</v>
      </c>
      <c r="G30" s="74">
        <f t="shared" si="3"/>
        <v>0</v>
      </c>
      <c r="H30" s="74">
        <f t="shared" si="4"/>
        <v>0</v>
      </c>
      <c r="I30" s="74">
        <f t="shared" si="5"/>
        <v>0</v>
      </c>
      <c r="J30" s="75">
        <f t="shared" si="0"/>
        <v>0</v>
      </c>
      <c r="K30" s="75">
        <f t="shared" si="1"/>
        <v>0</v>
      </c>
      <c r="L30" s="75">
        <f t="shared" si="2"/>
        <v>0</v>
      </c>
    </row>
    <row r="31" spans="2:12" x14ac:dyDescent="0.25">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6492000</v>
      </c>
      <c r="D33" s="63">
        <f>SUM(D11:D31)</f>
        <v>178263</v>
      </c>
      <c r="E33" s="62">
        <f t="shared" ref="E33:F33" si="7">SUM(E11:E31)</f>
        <v>50166</v>
      </c>
      <c r="F33" s="102">
        <f t="shared" si="7"/>
        <v>45683</v>
      </c>
      <c r="G33" s="94"/>
      <c r="H33" s="94"/>
      <c r="I33" s="94"/>
      <c r="J33" s="95">
        <f t="shared" ref="J33:L33" si="8">SUM(J11:J31)</f>
        <v>1</v>
      </c>
      <c r="K33" s="64">
        <f t="shared" si="8"/>
        <v>1</v>
      </c>
      <c r="L33" s="65">
        <f t="shared" si="8"/>
        <v>0.99999999999999989</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258</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A39BA444-9074-47E8-8D61-E0057CE1D6A6}"/>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442D-DDF6-4106-99AA-88EC581FAD0F}">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279</v>
      </c>
      <c r="C7" s="590"/>
      <c r="D7" s="593" t="s">
        <v>14</v>
      </c>
      <c r="E7" s="593"/>
      <c r="F7" s="593"/>
      <c r="G7" s="591" t="s">
        <v>415</v>
      </c>
      <c r="H7" s="591"/>
      <c r="I7" s="591"/>
      <c r="J7" s="591" t="s">
        <v>0</v>
      </c>
      <c r="K7" s="591"/>
      <c r="L7" s="591"/>
    </row>
    <row r="8" spans="1:17" s="12" customFormat="1" ht="34.15" customHeight="1" thickTop="1" thickBot="1" x14ac:dyDescent="0.3">
      <c r="A8" s="13"/>
      <c r="B8" s="619"/>
      <c r="C8" s="189" t="s">
        <v>405</v>
      </c>
      <c r="D8" s="41" t="s">
        <v>388</v>
      </c>
      <c r="E8" s="41" t="s">
        <v>394</v>
      </c>
      <c r="F8" s="41" t="s">
        <v>395</v>
      </c>
      <c r="G8" s="42" t="s">
        <v>388</v>
      </c>
      <c r="H8" s="42" t="s">
        <v>394</v>
      </c>
      <c r="I8" s="42" t="s">
        <v>404</v>
      </c>
      <c r="J8" s="41" t="s">
        <v>388</v>
      </c>
      <c r="K8" s="41" t="s">
        <v>394</v>
      </c>
      <c r="L8" s="41"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178"/>
      <c r="E10" s="98"/>
      <c r="F10" s="97"/>
      <c r="G10" s="98"/>
      <c r="H10" s="98"/>
      <c r="I10" s="98"/>
      <c r="J10" s="98"/>
      <c r="K10" s="98"/>
      <c r="L10" s="98"/>
    </row>
    <row r="11" spans="1:17" x14ac:dyDescent="0.25">
      <c r="B11" s="89" t="s">
        <v>3</v>
      </c>
      <c r="C11" s="53">
        <v>960000</v>
      </c>
      <c r="D11" s="54">
        <v>115200</v>
      </c>
      <c r="E11" s="53">
        <v>24000</v>
      </c>
      <c r="F11" s="91">
        <v>12480</v>
      </c>
      <c r="G11" s="56">
        <f>IFERROR(D11*1000/C11,"-")</f>
        <v>120</v>
      </c>
      <c r="H11" s="56">
        <f>IFERROR(E11*1000/C11,"-")</f>
        <v>25</v>
      </c>
      <c r="I11" s="56">
        <f>IFERROR(F11*1000/C11,"-")</f>
        <v>13</v>
      </c>
      <c r="J11" s="57">
        <f t="shared" ref="J11:J30" si="0">D11/$D$33</f>
        <v>0.29308204261901372</v>
      </c>
      <c r="K11" s="57">
        <f t="shared" ref="K11:K31" si="1">E11/$E$33</f>
        <v>0.29842951467900175</v>
      </c>
      <c r="L11" s="57">
        <f t="shared" ref="L11:L31" si="2">F11/$F$33</f>
        <v>0.15569250729808629</v>
      </c>
    </row>
    <row r="12" spans="1:17" x14ac:dyDescent="0.25">
      <c r="B12" s="103" t="s">
        <v>27</v>
      </c>
      <c r="C12" s="71">
        <v>285000</v>
      </c>
      <c r="D12" s="72">
        <v>19665</v>
      </c>
      <c r="E12" s="71">
        <v>4275</v>
      </c>
      <c r="F12" s="104">
        <v>3705</v>
      </c>
      <c r="G12" s="74">
        <f t="shared" ref="G12:G31" si="3">IFERROR(D12*1000/C12,"-")</f>
        <v>69</v>
      </c>
      <c r="H12" s="74">
        <f t="shared" ref="H12:H31" si="4">IFERROR(E12*1000/C12,"-")</f>
        <v>15</v>
      </c>
      <c r="I12" s="74">
        <f t="shared" ref="I12:I31" si="5">IFERROR(F12*1000/C12,"-")</f>
        <v>13</v>
      </c>
      <c r="J12" s="75">
        <f t="shared" si="0"/>
        <v>5.0030020556448826E-2</v>
      </c>
      <c r="K12" s="75">
        <f t="shared" si="1"/>
        <v>5.3157757302197184E-2</v>
      </c>
      <c r="L12" s="75">
        <f t="shared" si="2"/>
        <v>4.6221213104119363E-2</v>
      </c>
    </row>
    <row r="13" spans="1:17" x14ac:dyDescent="0.25">
      <c r="B13" s="89" t="s">
        <v>28</v>
      </c>
      <c r="C13" s="53">
        <v>165000</v>
      </c>
      <c r="D13" s="54">
        <v>7260</v>
      </c>
      <c r="E13" s="53">
        <v>2475</v>
      </c>
      <c r="F13" s="91">
        <v>2145</v>
      </c>
      <c r="G13" s="56">
        <f t="shared" si="3"/>
        <v>44</v>
      </c>
      <c r="H13" s="56">
        <f t="shared" si="4"/>
        <v>15</v>
      </c>
      <c r="I13" s="56">
        <f t="shared" si="5"/>
        <v>13</v>
      </c>
      <c r="J13" s="57">
        <f t="shared" si="0"/>
        <v>1.847027456088576E-2</v>
      </c>
      <c r="K13" s="57">
        <f t="shared" si="1"/>
        <v>3.0775543701272057E-2</v>
      </c>
      <c r="L13" s="57">
        <f t="shared" si="2"/>
        <v>2.6759649691858581E-2</v>
      </c>
    </row>
    <row r="14" spans="1:17" x14ac:dyDescent="0.25">
      <c r="B14" s="103" t="s">
        <v>29</v>
      </c>
      <c r="C14" s="71">
        <v>990000</v>
      </c>
      <c r="D14" s="72">
        <v>118800</v>
      </c>
      <c r="E14" s="71">
        <v>21780</v>
      </c>
      <c r="F14" s="104">
        <v>29700</v>
      </c>
      <c r="G14" s="74">
        <f t="shared" si="3"/>
        <v>120</v>
      </c>
      <c r="H14" s="74">
        <f t="shared" si="4"/>
        <v>22</v>
      </c>
      <c r="I14" s="74">
        <f t="shared" si="5"/>
        <v>30</v>
      </c>
      <c r="J14" s="75">
        <f t="shared" si="0"/>
        <v>0.30224085645085785</v>
      </c>
      <c r="K14" s="75">
        <f t="shared" si="1"/>
        <v>0.27082478457119408</v>
      </c>
      <c r="L14" s="75">
        <f t="shared" si="2"/>
        <v>0.37051822650265726</v>
      </c>
    </row>
    <row r="15" spans="1:17" x14ac:dyDescent="0.25">
      <c r="B15" s="89" t="s">
        <v>30</v>
      </c>
      <c r="C15" s="53">
        <v>5000</v>
      </c>
      <c r="D15" s="54">
        <v>220</v>
      </c>
      <c r="E15" s="53">
        <v>75</v>
      </c>
      <c r="F15" s="91">
        <v>75</v>
      </c>
      <c r="G15" s="56">
        <f t="shared" si="3"/>
        <v>44</v>
      </c>
      <c r="H15" s="56">
        <f t="shared" si="4"/>
        <v>15</v>
      </c>
      <c r="I15" s="56">
        <f t="shared" si="5"/>
        <v>15</v>
      </c>
      <c r="J15" s="57">
        <f t="shared" si="0"/>
        <v>5.5970528972381088E-4</v>
      </c>
      <c r="K15" s="57">
        <f t="shared" si="1"/>
        <v>9.3259223337188051E-4</v>
      </c>
      <c r="L15" s="57">
        <f t="shared" si="2"/>
        <v>9.3565208712792231E-4</v>
      </c>
    </row>
    <row r="16" spans="1:17" x14ac:dyDescent="0.25">
      <c r="B16" s="103" t="s">
        <v>31</v>
      </c>
      <c r="C16" s="71">
        <v>293000</v>
      </c>
      <c r="D16" s="72">
        <v>38090</v>
      </c>
      <c r="E16" s="71">
        <v>11720</v>
      </c>
      <c r="F16" s="104">
        <v>8790</v>
      </c>
      <c r="G16" s="74">
        <f t="shared" si="3"/>
        <v>130</v>
      </c>
      <c r="H16" s="74">
        <f t="shared" si="4"/>
        <v>40</v>
      </c>
      <c r="I16" s="74">
        <f t="shared" si="5"/>
        <v>30</v>
      </c>
      <c r="J16" s="75">
        <f t="shared" si="0"/>
        <v>9.6905338570817984E-2</v>
      </c>
      <c r="K16" s="75">
        <f t="shared" si="1"/>
        <v>0.14573307966824586</v>
      </c>
      <c r="L16" s="75">
        <f t="shared" si="2"/>
        <v>0.1096584246113925</v>
      </c>
    </row>
    <row r="17" spans="2:12" x14ac:dyDescent="0.25">
      <c r="B17" s="89" t="s">
        <v>32</v>
      </c>
      <c r="C17" s="53">
        <v>730000</v>
      </c>
      <c r="D17" s="54">
        <v>54750</v>
      </c>
      <c r="E17" s="53">
        <v>11680</v>
      </c>
      <c r="F17" s="91">
        <v>16790</v>
      </c>
      <c r="G17" s="56">
        <f t="shared" si="3"/>
        <v>75</v>
      </c>
      <c r="H17" s="56">
        <f t="shared" si="4"/>
        <v>16</v>
      </c>
      <c r="I17" s="56">
        <f t="shared" si="5"/>
        <v>23</v>
      </c>
      <c r="J17" s="57">
        <f t="shared" si="0"/>
        <v>0.13929029369263021</v>
      </c>
      <c r="K17" s="57">
        <f t="shared" si="1"/>
        <v>0.14523569714378085</v>
      </c>
      <c r="L17" s="57">
        <f t="shared" si="2"/>
        <v>0.20946131390503755</v>
      </c>
    </row>
    <row r="18" spans="2:12" x14ac:dyDescent="0.25">
      <c r="B18" s="103" t="s">
        <v>33</v>
      </c>
      <c r="C18" s="71">
        <v>20000</v>
      </c>
      <c r="D18" s="72">
        <v>1000</v>
      </c>
      <c r="E18" s="71">
        <v>300</v>
      </c>
      <c r="F18" s="104">
        <v>440</v>
      </c>
      <c r="G18" s="74">
        <f t="shared" si="3"/>
        <v>50</v>
      </c>
      <c r="H18" s="74">
        <f t="shared" si="4"/>
        <v>15</v>
      </c>
      <c r="I18" s="74">
        <f t="shared" si="5"/>
        <v>22</v>
      </c>
      <c r="J18" s="75">
        <f t="shared" si="0"/>
        <v>2.5441149532900494E-3</v>
      </c>
      <c r="K18" s="75">
        <f t="shared" si="1"/>
        <v>3.7303689334875221E-3</v>
      </c>
      <c r="L18" s="75">
        <f t="shared" si="2"/>
        <v>5.489158911150478E-3</v>
      </c>
    </row>
    <row r="19" spans="2:12" x14ac:dyDescent="0.25">
      <c r="B19" s="89" t="s">
        <v>26</v>
      </c>
      <c r="C19" s="53">
        <v>13000</v>
      </c>
      <c r="D19" s="54">
        <v>715</v>
      </c>
      <c r="E19" s="53">
        <v>260</v>
      </c>
      <c r="F19" s="91">
        <v>286</v>
      </c>
      <c r="G19" s="56">
        <f t="shared" si="3"/>
        <v>55</v>
      </c>
      <c r="H19" s="56">
        <f t="shared" si="4"/>
        <v>20</v>
      </c>
      <c r="I19" s="56">
        <f t="shared" si="5"/>
        <v>22</v>
      </c>
      <c r="J19" s="57">
        <f t="shared" si="0"/>
        <v>1.8190421916023853E-3</v>
      </c>
      <c r="K19" s="57">
        <f t="shared" si="1"/>
        <v>3.2329864090225192E-3</v>
      </c>
      <c r="L19" s="57">
        <f t="shared" si="2"/>
        <v>3.5679532922478106E-3</v>
      </c>
    </row>
    <row r="20" spans="2:12" x14ac:dyDescent="0.25">
      <c r="B20" s="103" t="s">
        <v>34</v>
      </c>
      <c r="C20" s="71">
        <v>15000</v>
      </c>
      <c r="D20" s="72">
        <v>1245</v>
      </c>
      <c r="E20" s="71">
        <v>180</v>
      </c>
      <c r="F20" s="104">
        <v>555</v>
      </c>
      <c r="G20" s="74">
        <f t="shared" si="3"/>
        <v>83</v>
      </c>
      <c r="H20" s="74">
        <f t="shared" si="4"/>
        <v>12</v>
      </c>
      <c r="I20" s="74">
        <f t="shared" si="5"/>
        <v>37</v>
      </c>
      <c r="J20" s="75">
        <f t="shared" si="0"/>
        <v>3.1674231168461117E-3</v>
      </c>
      <c r="K20" s="75">
        <f t="shared" si="1"/>
        <v>2.238221360092513E-3</v>
      </c>
      <c r="L20" s="75">
        <f t="shared" si="2"/>
        <v>6.9238254447466256E-3</v>
      </c>
    </row>
    <row r="21" spans="2:12" x14ac:dyDescent="0.25">
      <c r="B21" s="89" t="s">
        <v>9</v>
      </c>
      <c r="C21" s="53">
        <v>75000</v>
      </c>
      <c r="D21" s="54">
        <v>6600</v>
      </c>
      <c r="E21" s="53">
        <v>1275</v>
      </c>
      <c r="F21" s="91">
        <v>3600</v>
      </c>
      <c r="G21" s="56">
        <f t="shared" si="3"/>
        <v>88</v>
      </c>
      <c r="H21" s="56">
        <f t="shared" si="4"/>
        <v>17</v>
      </c>
      <c r="I21" s="56">
        <f t="shared" si="5"/>
        <v>48</v>
      </c>
      <c r="J21" s="57">
        <f t="shared" si="0"/>
        <v>1.6791158691714325E-2</v>
      </c>
      <c r="K21" s="57">
        <f t="shared" si="1"/>
        <v>1.5854067967321969E-2</v>
      </c>
      <c r="L21" s="57">
        <f t="shared" si="2"/>
        <v>4.4911300182140276E-2</v>
      </c>
    </row>
    <row r="22" spans="2:12" x14ac:dyDescent="0.25">
      <c r="B22" s="103" t="s">
        <v>35</v>
      </c>
      <c r="C22" s="71">
        <v>8500</v>
      </c>
      <c r="D22" s="72">
        <v>561</v>
      </c>
      <c r="E22" s="71">
        <v>51</v>
      </c>
      <c r="F22" s="104">
        <v>51</v>
      </c>
      <c r="G22" s="74">
        <f t="shared" si="3"/>
        <v>66</v>
      </c>
      <c r="H22" s="74">
        <f t="shared" si="4"/>
        <v>6</v>
      </c>
      <c r="I22" s="74">
        <f t="shared" si="5"/>
        <v>6</v>
      </c>
      <c r="J22" s="75">
        <f t="shared" si="0"/>
        <v>1.4272484887957178E-3</v>
      </c>
      <c r="K22" s="75">
        <f t="shared" si="1"/>
        <v>6.3416271869287872E-4</v>
      </c>
      <c r="L22" s="75">
        <f t="shared" si="2"/>
        <v>6.3624341924698716E-4</v>
      </c>
    </row>
    <row r="23" spans="2:12" x14ac:dyDescent="0.25">
      <c r="B23" s="89" t="s">
        <v>36</v>
      </c>
      <c r="C23" s="53">
        <v>190000</v>
      </c>
      <c r="D23" s="54">
        <v>5890</v>
      </c>
      <c r="E23" s="53">
        <v>1140</v>
      </c>
      <c r="F23" s="91">
        <v>950</v>
      </c>
      <c r="G23" s="56">
        <f t="shared" si="3"/>
        <v>31</v>
      </c>
      <c r="H23" s="56">
        <f t="shared" si="4"/>
        <v>6</v>
      </c>
      <c r="I23" s="56">
        <f t="shared" si="5"/>
        <v>5</v>
      </c>
      <c r="J23" s="57">
        <f t="shared" si="0"/>
        <v>1.4984837074878391E-2</v>
      </c>
      <c r="K23" s="57">
        <f t="shared" si="1"/>
        <v>1.4175401947252583E-2</v>
      </c>
      <c r="L23" s="57">
        <f t="shared" si="2"/>
        <v>1.1851593103620349E-2</v>
      </c>
    </row>
    <row r="24" spans="2:12" x14ac:dyDescent="0.25">
      <c r="B24" s="103" t="s">
        <v>37</v>
      </c>
      <c r="C24" s="71">
        <v>17000</v>
      </c>
      <c r="D24" s="72">
        <v>561</v>
      </c>
      <c r="E24" s="71">
        <v>68</v>
      </c>
      <c r="F24" s="104">
        <v>68</v>
      </c>
      <c r="G24" s="74">
        <f t="shared" si="3"/>
        <v>33</v>
      </c>
      <c r="H24" s="74">
        <f t="shared" si="4"/>
        <v>4</v>
      </c>
      <c r="I24" s="74">
        <f t="shared" si="5"/>
        <v>4</v>
      </c>
      <c r="J24" s="75">
        <f t="shared" si="0"/>
        <v>1.4272484887957178E-3</v>
      </c>
      <c r="K24" s="75">
        <f t="shared" si="1"/>
        <v>8.4555029159050492E-4</v>
      </c>
      <c r="L24" s="75">
        <f t="shared" si="2"/>
        <v>8.4832455899598298E-4</v>
      </c>
    </row>
    <row r="25" spans="2:12" x14ac:dyDescent="0.25">
      <c r="B25" s="89" t="s">
        <v>38</v>
      </c>
      <c r="C25" s="53">
        <v>60000</v>
      </c>
      <c r="D25" s="54">
        <v>7200</v>
      </c>
      <c r="E25" s="53">
        <v>180</v>
      </c>
      <c r="F25" s="91">
        <v>360</v>
      </c>
      <c r="G25" s="56">
        <f t="shared" si="3"/>
        <v>120</v>
      </c>
      <c r="H25" s="56">
        <f t="shared" si="4"/>
        <v>3</v>
      </c>
      <c r="I25" s="56">
        <f t="shared" si="5"/>
        <v>6</v>
      </c>
      <c r="J25" s="57">
        <f t="shared" si="0"/>
        <v>1.8317627663688357E-2</v>
      </c>
      <c r="K25" s="57">
        <f t="shared" si="1"/>
        <v>2.238221360092513E-3</v>
      </c>
      <c r="L25" s="57">
        <f t="shared" si="2"/>
        <v>4.4911300182140269E-3</v>
      </c>
    </row>
    <row r="26" spans="2:12" x14ac:dyDescent="0.25">
      <c r="B26" s="103" t="s">
        <v>39</v>
      </c>
      <c r="C26" s="71">
        <v>1000</v>
      </c>
      <c r="D26" s="72">
        <v>46</v>
      </c>
      <c r="E26" s="71">
        <v>2</v>
      </c>
      <c r="F26" s="104">
        <v>3</v>
      </c>
      <c r="G26" s="74">
        <f t="shared" si="3"/>
        <v>46</v>
      </c>
      <c r="H26" s="74">
        <f t="shared" si="4"/>
        <v>2</v>
      </c>
      <c r="I26" s="74">
        <f t="shared" si="5"/>
        <v>3</v>
      </c>
      <c r="J26" s="75">
        <f t="shared" si="0"/>
        <v>1.1702928785134227E-4</v>
      </c>
      <c r="K26" s="75">
        <f t="shared" si="1"/>
        <v>2.4869126223250146E-5</v>
      </c>
      <c r="L26" s="75">
        <f t="shared" si="2"/>
        <v>3.7426083485116895E-5</v>
      </c>
    </row>
    <row r="27" spans="2:12" x14ac:dyDescent="0.25">
      <c r="B27" s="89" t="s">
        <v>40</v>
      </c>
      <c r="C27" s="53">
        <v>1000</v>
      </c>
      <c r="D27" s="54">
        <v>1</v>
      </c>
      <c r="E27" s="53">
        <v>0</v>
      </c>
      <c r="F27" s="91">
        <v>0</v>
      </c>
      <c r="G27" s="56">
        <f t="shared" si="3"/>
        <v>1</v>
      </c>
      <c r="H27" s="56">
        <f t="shared" si="4"/>
        <v>0</v>
      </c>
      <c r="I27" s="56">
        <f t="shared" si="5"/>
        <v>0</v>
      </c>
      <c r="J27" s="57">
        <f t="shared" si="0"/>
        <v>2.5441149532900493E-6</v>
      </c>
      <c r="K27" s="57">
        <f t="shared" si="1"/>
        <v>0</v>
      </c>
      <c r="L27" s="57">
        <f t="shared" si="2"/>
        <v>0</v>
      </c>
    </row>
    <row r="28" spans="2:12" x14ac:dyDescent="0.25">
      <c r="B28" s="103" t="s">
        <v>41</v>
      </c>
      <c r="C28" s="71">
        <v>2000</v>
      </c>
      <c r="D28" s="72">
        <v>220</v>
      </c>
      <c r="E28" s="71">
        <v>0</v>
      </c>
      <c r="F28" s="104">
        <v>0</v>
      </c>
      <c r="G28" s="74">
        <f t="shared" si="3"/>
        <v>110</v>
      </c>
      <c r="H28" s="74">
        <f t="shared" si="4"/>
        <v>0</v>
      </c>
      <c r="I28" s="74">
        <f t="shared" si="5"/>
        <v>0</v>
      </c>
      <c r="J28" s="75">
        <f t="shared" si="0"/>
        <v>5.5970528972381088E-4</v>
      </c>
      <c r="K28" s="75">
        <f t="shared" si="1"/>
        <v>0</v>
      </c>
      <c r="L28" s="75">
        <f t="shared" si="2"/>
        <v>0</v>
      </c>
    </row>
    <row r="29" spans="2:12" x14ac:dyDescent="0.25">
      <c r="B29" s="89" t="s">
        <v>42</v>
      </c>
      <c r="C29" s="53">
        <v>164000</v>
      </c>
      <c r="D29" s="54">
        <v>13280</v>
      </c>
      <c r="E29" s="53">
        <v>800</v>
      </c>
      <c r="F29" s="91">
        <v>0</v>
      </c>
      <c r="G29" s="56">
        <f t="shared" si="3"/>
        <v>80.975609756097555</v>
      </c>
      <c r="H29" s="56">
        <f t="shared" si="4"/>
        <v>4.8780487804878048</v>
      </c>
      <c r="I29" s="56">
        <f t="shared" si="5"/>
        <v>0</v>
      </c>
      <c r="J29" s="57">
        <f t="shared" si="0"/>
        <v>3.3785846579691858E-2</v>
      </c>
      <c r="K29" s="57">
        <f t="shared" si="1"/>
        <v>9.9476504893000577E-3</v>
      </c>
      <c r="L29" s="57">
        <f t="shared" si="2"/>
        <v>0</v>
      </c>
    </row>
    <row r="30" spans="2:12" x14ac:dyDescent="0.25">
      <c r="B30" s="103" t="s">
        <v>10</v>
      </c>
      <c r="C30" s="71">
        <v>790000</v>
      </c>
      <c r="D30" s="72">
        <v>1760</v>
      </c>
      <c r="E30" s="71">
        <v>160</v>
      </c>
      <c r="F30" s="104">
        <v>160</v>
      </c>
      <c r="G30" s="74">
        <f t="shared" si="3"/>
        <v>2.2278481012658227</v>
      </c>
      <c r="H30" s="74">
        <f t="shared" si="4"/>
        <v>0.20253164556962025</v>
      </c>
      <c r="I30" s="74">
        <f t="shared" si="5"/>
        <v>0.20253164556962025</v>
      </c>
      <c r="J30" s="75">
        <f t="shared" si="0"/>
        <v>4.4776423177904871E-3</v>
      </c>
      <c r="K30" s="75">
        <f t="shared" si="1"/>
        <v>1.9895300978600115E-3</v>
      </c>
      <c r="L30" s="75">
        <f t="shared" si="2"/>
        <v>1.9960577858729009E-3</v>
      </c>
    </row>
    <row r="31" spans="2:12" x14ac:dyDescent="0.25">
      <c r="B31" s="89" t="s">
        <v>43</v>
      </c>
      <c r="C31" s="53">
        <v>0</v>
      </c>
      <c r="D31" s="54">
        <v>0</v>
      </c>
      <c r="E31" s="53">
        <v>0</v>
      </c>
      <c r="F31" s="91">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4784500</v>
      </c>
      <c r="D33" s="63">
        <f>SUM(D11:D31)</f>
        <v>393064</v>
      </c>
      <c r="E33" s="62">
        <f t="shared" ref="E33:F33" si="7">SUM(E11:E31)</f>
        <v>80421</v>
      </c>
      <c r="F33" s="102">
        <f t="shared" si="7"/>
        <v>80158</v>
      </c>
      <c r="G33" s="94"/>
      <c r="H33" s="94"/>
      <c r="I33" s="94"/>
      <c r="J33" s="95">
        <f t="shared" ref="J33:L33" si="8">SUM(J11:J31)</f>
        <v>1</v>
      </c>
      <c r="K33" s="64">
        <f t="shared" si="8"/>
        <v>0.99999999999999978</v>
      </c>
      <c r="L33" s="65">
        <f t="shared" si="8"/>
        <v>0.99999999999999989</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280</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179</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5A5889F4-802A-4217-AE94-EC52BDE96A9C}"/>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A28A3-3EC2-445B-84BF-4ADBA0F127EA}">
  <sheetPr>
    <tabColor rgb="FF92D050"/>
  </sheetPr>
  <dimension ref="A1:Q43"/>
  <sheetViews>
    <sheetView showGridLines="0" zoomScale="80" zoomScaleNormal="80" workbookViewId="0">
      <pane xSplit="2" ySplit="9" topLeftCell="C21"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194</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2</v>
      </c>
      <c r="D9" s="49" t="s">
        <v>2</v>
      </c>
      <c r="E9" s="49" t="s">
        <v>2</v>
      </c>
      <c r="F9" s="49" t="s">
        <v>2</v>
      </c>
      <c r="G9" s="49" t="s">
        <v>2</v>
      </c>
      <c r="H9" s="49" t="s">
        <v>2</v>
      </c>
      <c r="I9" s="49" t="s">
        <v>2</v>
      </c>
      <c r="J9" s="49" t="s">
        <v>2</v>
      </c>
      <c r="K9" s="49" t="s">
        <v>2</v>
      </c>
      <c r="L9" s="49" t="s">
        <v>2</v>
      </c>
    </row>
    <row r="10" spans="1:17" ht="6" customHeight="1" thickTop="1" x14ac:dyDescent="0.25">
      <c r="B10" s="96"/>
      <c r="C10" s="97"/>
      <c r="D10" s="98"/>
      <c r="E10" s="98"/>
      <c r="F10" s="98"/>
      <c r="G10" s="98"/>
      <c r="H10" s="98"/>
      <c r="I10" s="98"/>
      <c r="J10" s="98"/>
      <c r="K10" s="98"/>
      <c r="L10" s="98"/>
    </row>
    <row r="11" spans="1:17" x14ac:dyDescent="0.25">
      <c r="B11" s="89" t="s">
        <v>3</v>
      </c>
      <c r="C11" s="53">
        <v>31478000</v>
      </c>
      <c r="D11" s="271">
        <v>3535940</v>
      </c>
      <c r="E11" s="274">
        <v>1050847</v>
      </c>
      <c r="F11" s="261">
        <v>181360</v>
      </c>
      <c r="G11" s="56">
        <f>IFERROR(D11*1000/C11,"-")</f>
        <v>112.33051655124214</v>
      </c>
      <c r="H11" s="56">
        <f>IFERROR(E11*1000/C11,"-")</f>
        <v>33.383537708876041</v>
      </c>
      <c r="I11" s="56">
        <f>IFERROR(F11*1000/C11,"-")</f>
        <v>5.7614842111951203</v>
      </c>
      <c r="J11" s="57">
        <f t="shared" ref="J11:J29" si="0">D11/$D$31</f>
        <v>0.20047555922772736</v>
      </c>
      <c r="K11" s="57">
        <f t="shared" ref="K11:K29" si="1">E11/$E$31</f>
        <v>0.15207294312381886</v>
      </c>
      <c r="L11" s="57">
        <f t="shared" ref="L11:L29" si="2">F11/$F$31</f>
        <v>6.7663840251254617E-2</v>
      </c>
    </row>
    <row r="12" spans="1:17" x14ac:dyDescent="0.25">
      <c r="B12" s="103" t="s">
        <v>16</v>
      </c>
      <c r="C12" s="71">
        <v>45530000</v>
      </c>
      <c r="D12" s="276">
        <v>6163176</v>
      </c>
      <c r="E12" s="277">
        <v>2351298</v>
      </c>
      <c r="F12" s="278">
        <v>1002328</v>
      </c>
      <c r="G12" s="74">
        <f t="shared" ref="G12:G29" si="3">IFERROR(D12*1000/C12,"-")</f>
        <v>135.36516582473095</v>
      </c>
      <c r="H12" s="74">
        <f t="shared" ref="H12:H29" si="4">IFERROR(E12*1000/C12,"-")</f>
        <v>51.642828904019325</v>
      </c>
      <c r="I12" s="74">
        <f t="shared" ref="I12:I29" si="5">IFERROR(F12*1000/C12,"-")</f>
        <v>22.014671645069186</v>
      </c>
      <c r="J12" s="75">
        <f t="shared" si="0"/>
        <v>0.3494307469071613</v>
      </c>
      <c r="K12" s="75">
        <f t="shared" si="1"/>
        <v>0.34026723873327802</v>
      </c>
      <c r="L12" s="75">
        <f t="shared" si="2"/>
        <v>0.3739598680599886</v>
      </c>
    </row>
    <row r="13" spans="1:17" x14ac:dyDescent="0.25">
      <c r="B13" s="89" t="s">
        <v>51</v>
      </c>
      <c r="C13" s="53">
        <v>8992000</v>
      </c>
      <c r="D13" s="272">
        <v>936623</v>
      </c>
      <c r="E13" s="275">
        <v>381314</v>
      </c>
      <c r="F13" s="273">
        <v>168810</v>
      </c>
      <c r="G13" s="56">
        <f t="shared" si="3"/>
        <v>104.16181049822065</v>
      </c>
      <c r="H13" s="56">
        <f t="shared" si="4"/>
        <v>42.405916370106759</v>
      </c>
      <c r="I13" s="56">
        <f t="shared" si="5"/>
        <v>18.773354092526692</v>
      </c>
      <c r="J13" s="57">
        <f t="shared" si="0"/>
        <v>5.3103282213655123E-2</v>
      </c>
      <c r="K13" s="57">
        <f t="shared" si="1"/>
        <v>5.5181717447274306E-2</v>
      </c>
      <c r="L13" s="57">
        <f t="shared" si="2"/>
        <v>6.2981544292094682E-2</v>
      </c>
    </row>
    <row r="14" spans="1:17" x14ac:dyDescent="0.25">
      <c r="B14" s="103" t="s">
        <v>5</v>
      </c>
      <c r="C14" s="71">
        <v>14940000</v>
      </c>
      <c r="D14" s="276">
        <v>978694</v>
      </c>
      <c r="E14" s="277">
        <v>256746</v>
      </c>
      <c r="F14" s="278">
        <v>51061</v>
      </c>
      <c r="G14" s="74">
        <f t="shared" si="3"/>
        <v>65.508299866131196</v>
      </c>
      <c r="H14" s="74">
        <f t="shared" si="4"/>
        <v>17.185140562248996</v>
      </c>
      <c r="I14" s="74">
        <f t="shared" si="5"/>
        <v>3.4177376171352076</v>
      </c>
      <c r="J14" s="75">
        <f t="shared" si="0"/>
        <v>5.5488562295406996E-2</v>
      </c>
      <c r="K14" s="75">
        <f t="shared" si="1"/>
        <v>3.7154904429729539E-2</v>
      </c>
      <c r="L14" s="75">
        <f t="shared" si="2"/>
        <v>1.9050415455829906E-2</v>
      </c>
    </row>
    <row r="15" spans="1:17" x14ac:dyDescent="0.25">
      <c r="B15" s="89" t="s">
        <v>6</v>
      </c>
      <c r="C15" s="53">
        <v>10945000</v>
      </c>
      <c r="D15" s="271">
        <v>399090</v>
      </c>
      <c r="E15" s="274">
        <v>343157</v>
      </c>
      <c r="F15" s="261">
        <v>39651</v>
      </c>
      <c r="G15" s="56">
        <f t="shared" si="3"/>
        <v>36.463225216994061</v>
      </c>
      <c r="H15" s="56">
        <f t="shared" si="4"/>
        <v>31.35285518501599</v>
      </c>
      <c r="I15" s="56">
        <f t="shared" si="5"/>
        <v>3.6227501142074008</v>
      </c>
      <c r="J15" s="57">
        <f t="shared" si="0"/>
        <v>2.2627021649743412E-2</v>
      </c>
      <c r="K15" s="57">
        <f t="shared" si="1"/>
        <v>4.965984100781589E-2</v>
      </c>
      <c r="L15" s="57">
        <f t="shared" si="2"/>
        <v>1.4793443591764979E-2</v>
      </c>
    </row>
    <row r="16" spans="1:17" x14ac:dyDescent="0.25">
      <c r="B16" s="103" t="s">
        <v>86</v>
      </c>
      <c r="C16" s="71">
        <v>79000</v>
      </c>
      <c r="D16" s="279">
        <v>8873</v>
      </c>
      <c r="E16" s="280">
        <v>4098</v>
      </c>
      <c r="F16" s="281">
        <v>6314</v>
      </c>
      <c r="G16" s="74">
        <f t="shared" si="3"/>
        <v>112.31645569620254</v>
      </c>
      <c r="H16" s="74">
        <f t="shared" si="4"/>
        <v>51.87341772151899</v>
      </c>
      <c r="I16" s="74">
        <f t="shared" si="5"/>
        <v>79.924050632911388</v>
      </c>
      <c r="J16" s="75">
        <f t="shared" si="0"/>
        <v>5.0306838832888138E-4</v>
      </c>
      <c r="K16" s="75">
        <f t="shared" si="1"/>
        <v>5.9304058623320963E-4</v>
      </c>
      <c r="L16" s="75">
        <f t="shared" si="2"/>
        <v>2.3556985407279536E-3</v>
      </c>
    </row>
    <row r="17" spans="1:17" x14ac:dyDescent="0.25">
      <c r="B17" s="89" t="s">
        <v>56</v>
      </c>
      <c r="C17" s="53">
        <v>5629000</v>
      </c>
      <c r="D17" s="271">
        <v>312408</v>
      </c>
      <c r="E17" s="274">
        <v>149349</v>
      </c>
      <c r="F17" s="261">
        <v>63761</v>
      </c>
      <c r="G17" s="56">
        <f t="shared" si="3"/>
        <v>55.499733522828208</v>
      </c>
      <c r="H17" s="56">
        <f t="shared" si="4"/>
        <v>26.532066086338602</v>
      </c>
      <c r="I17" s="56">
        <f t="shared" si="5"/>
        <v>11.327233966956831</v>
      </c>
      <c r="J17" s="57">
        <f t="shared" si="0"/>
        <v>1.7712452277814629E-2</v>
      </c>
      <c r="K17" s="57">
        <f t="shared" si="1"/>
        <v>2.1612986460064331E-2</v>
      </c>
      <c r="L17" s="57">
        <f t="shared" si="2"/>
        <v>2.3788675111712867E-2</v>
      </c>
    </row>
    <row r="18" spans="1:17" x14ac:dyDescent="0.25">
      <c r="B18" s="103" t="s">
        <v>19</v>
      </c>
      <c r="C18" s="71">
        <v>10217000</v>
      </c>
      <c r="D18" s="279">
        <v>506986</v>
      </c>
      <c r="E18" s="280">
        <v>238554</v>
      </c>
      <c r="F18" s="281">
        <v>87754</v>
      </c>
      <c r="G18" s="74">
        <f t="shared" si="3"/>
        <v>49.621806792600566</v>
      </c>
      <c r="H18" s="74">
        <f t="shared" si="4"/>
        <v>23.348732504649114</v>
      </c>
      <c r="I18" s="74">
        <f t="shared" si="5"/>
        <v>8.5890183028286184</v>
      </c>
      <c r="J18" s="75">
        <f t="shared" si="0"/>
        <v>2.8744351394715009E-2</v>
      </c>
      <c r="K18" s="75">
        <f t="shared" si="1"/>
        <v>3.4522255736524426E-2</v>
      </c>
      <c r="L18" s="75">
        <f t="shared" si="2"/>
        <v>3.2740254948216793E-2</v>
      </c>
    </row>
    <row r="19" spans="1:17" x14ac:dyDescent="0.25">
      <c r="B19" s="89" t="s">
        <v>25</v>
      </c>
      <c r="C19" s="53">
        <v>12440000</v>
      </c>
      <c r="D19" s="271">
        <v>1519200</v>
      </c>
      <c r="E19" s="274">
        <v>610971</v>
      </c>
      <c r="F19" s="261">
        <v>204220</v>
      </c>
      <c r="G19" s="56">
        <f t="shared" si="3"/>
        <v>122.12218649517685</v>
      </c>
      <c r="H19" s="56">
        <f t="shared" si="4"/>
        <v>49.113424437299038</v>
      </c>
      <c r="I19" s="56">
        <f t="shared" si="5"/>
        <v>16.416398713826368</v>
      </c>
      <c r="J19" s="57">
        <f t="shared" si="0"/>
        <v>8.6133381669022499E-2</v>
      </c>
      <c r="K19" s="57">
        <f t="shared" si="1"/>
        <v>8.8416447050144051E-2</v>
      </c>
      <c r="L19" s="57">
        <f t="shared" si="2"/>
        <v>7.6192707631843937E-2</v>
      </c>
    </row>
    <row r="20" spans="1:17" x14ac:dyDescent="0.25">
      <c r="B20" s="103" t="s">
        <v>87</v>
      </c>
      <c r="C20" s="71">
        <v>687000</v>
      </c>
      <c r="D20" s="279">
        <v>48379</v>
      </c>
      <c r="E20" s="280">
        <v>14798</v>
      </c>
      <c r="F20" s="281">
        <v>15068</v>
      </c>
      <c r="G20" s="74">
        <f t="shared" si="3"/>
        <v>70.420669577874818</v>
      </c>
      <c r="H20" s="74">
        <f t="shared" si="4"/>
        <v>21.540029112081513</v>
      </c>
      <c r="I20" s="74">
        <f t="shared" si="5"/>
        <v>21.933042212518195</v>
      </c>
      <c r="J20" s="75">
        <f t="shared" si="0"/>
        <v>2.7429218481869666E-3</v>
      </c>
      <c r="K20" s="75">
        <f t="shared" si="1"/>
        <v>2.1414872120739475E-3</v>
      </c>
      <c r="L20" s="75">
        <f t="shared" si="2"/>
        <v>5.6217398814838136E-3</v>
      </c>
    </row>
    <row r="21" spans="1:17" x14ac:dyDescent="0.25">
      <c r="B21" s="89" t="s">
        <v>55</v>
      </c>
      <c r="C21" s="53">
        <v>5094000</v>
      </c>
      <c r="D21" s="271">
        <v>937148</v>
      </c>
      <c r="E21" s="274">
        <v>464725</v>
      </c>
      <c r="F21" s="261">
        <v>278320</v>
      </c>
      <c r="G21" s="56">
        <f t="shared" si="3"/>
        <v>183.97094621122889</v>
      </c>
      <c r="H21" s="56">
        <f t="shared" si="4"/>
        <v>91.229878288182178</v>
      </c>
      <c r="I21" s="56">
        <f t="shared" si="5"/>
        <v>54.636827640361211</v>
      </c>
      <c r="J21" s="57">
        <f t="shared" si="0"/>
        <v>5.3133047896498878E-2</v>
      </c>
      <c r="K21" s="57">
        <f t="shared" si="1"/>
        <v>6.7252510111573544E-2</v>
      </c>
      <c r="L21" s="57">
        <f t="shared" si="2"/>
        <v>0.10383877381301931</v>
      </c>
    </row>
    <row r="22" spans="1:17" x14ac:dyDescent="0.25">
      <c r="B22" s="103" t="s">
        <v>7</v>
      </c>
      <c r="C22" s="71">
        <v>675000</v>
      </c>
      <c r="D22" s="279">
        <v>20298</v>
      </c>
      <c r="E22" s="280">
        <v>2763</v>
      </c>
      <c r="F22" s="281">
        <v>1133</v>
      </c>
      <c r="G22" s="74">
        <f t="shared" si="3"/>
        <v>30.071111111111112</v>
      </c>
      <c r="H22" s="74">
        <f t="shared" si="4"/>
        <v>4.0933333333333337</v>
      </c>
      <c r="I22" s="74">
        <f t="shared" si="5"/>
        <v>1.6785185185185185</v>
      </c>
      <c r="J22" s="75">
        <f t="shared" si="0"/>
        <v>1.1508263435478006E-3</v>
      </c>
      <c r="K22" s="75">
        <f t="shared" si="1"/>
        <v>3.9984654459794002E-4</v>
      </c>
      <c r="L22" s="75">
        <f t="shared" si="2"/>
        <v>4.227124559145979E-4</v>
      </c>
    </row>
    <row r="23" spans="1:17" x14ac:dyDescent="0.25">
      <c r="B23" s="89" t="s">
        <v>57</v>
      </c>
      <c r="C23" s="53">
        <v>366000</v>
      </c>
      <c r="D23" s="271">
        <v>50061</v>
      </c>
      <c r="E23" s="274">
        <v>20409</v>
      </c>
      <c r="F23" s="261">
        <v>10925</v>
      </c>
      <c r="G23" s="56">
        <f t="shared" si="3"/>
        <v>136.77868852459017</v>
      </c>
      <c r="H23" s="56">
        <f t="shared" si="4"/>
        <v>55.76229508196721</v>
      </c>
      <c r="I23" s="56">
        <f t="shared" si="5"/>
        <v>29.849726775956285</v>
      </c>
      <c r="J23" s="57">
        <f t="shared" si="0"/>
        <v>2.8382854263644913E-3</v>
      </c>
      <c r="K23" s="57">
        <f t="shared" si="1"/>
        <v>2.9534810454937962E-3</v>
      </c>
      <c r="L23" s="57">
        <f t="shared" si="2"/>
        <v>4.0760225779938059E-3</v>
      </c>
    </row>
    <row r="24" spans="1:17" x14ac:dyDescent="0.25">
      <c r="B24" s="103" t="s">
        <v>88</v>
      </c>
      <c r="C24" s="71">
        <v>10000</v>
      </c>
      <c r="D24" s="279">
        <v>237</v>
      </c>
      <c r="E24" s="280">
        <v>53</v>
      </c>
      <c r="F24" s="281">
        <v>201</v>
      </c>
      <c r="G24" s="74">
        <f t="shared" si="3"/>
        <v>23.7</v>
      </c>
      <c r="H24" s="74">
        <f t="shared" si="4"/>
        <v>5.3</v>
      </c>
      <c r="I24" s="74">
        <f t="shared" si="5"/>
        <v>20.100000000000001</v>
      </c>
      <c r="J24" s="75">
        <f t="shared" si="0"/>
        <v>1.3437079683753511E-5</v>
      </c>
      <c r="K24" s="75">
        <f t="shared" si="1"/>
        <v>7.6698758102391684E-6</v>
      </c>
      <c r="L24" s="75">
        <f t="shared" si="2"/>
        <v>7.4991353608856295E-5</v>
      </c>
    </row>
    <row r="25" spans="1:17" x14ac:dyDescent="0.25">
      <c r="B25" s="89" t="s">
        <v>8</v>
      </c>
      <c r="C25" s="53">
        <v>540000</v>
      </c>
      <c r="D25" s="271">
        <v>46887</v>
      </c>
      <c r="E25" s="274">
        <v>28024</v>
      </c>
      <c r="F25" s="261">
        <v>22996</v>
      </c>
      <c r="G25" s="56">
        <f t="shared" si="3"/>
        <v>86.827777777777783</v>
      </c>
      <c r="H25" s="56">
        <f t="shared" si="4"/>
        <v>51.896296296296299</v>
      </c>
      <c r="I25" s="56">
        <f t="shared" si="5"/>
        <v>42.585185185185182</v>
      </c>
      <c r="J25" s="57">
        <f t="shared" si="0"/>
        <v>2.6583306123719444E-3</v>
      </c>
      <c r="K25" s="57">
        <f t="shared" si="1"/>
        <v>4.0554830133234425E-3</v>
      </c>
      <c r="L25" s="57">
        <f t="shared" si="2"/>
        <v>8.5796077989515381E-3</v>
      </c>
    </row>
    <row r="26" spans="1:17" x14ac:dyDescent="0.25">
      <c r="B26" s="103" t="s">
        <v>20</v>
      </c>
      <c r="C26" s="71">
        <v>4771000</v>
      </c>
      <c r="D26" s="279">
        <v>376916</v>
      </c>
      <c r="E26" s="280">
        <v>137408</v>
      </c>
      <c r="F26" s="281">
        <v>203668</v>
      </c>
      <c r="G26" s="74">
        <f t="shared" si="3"/>
        <v>79.001467197652488</v>
      </c>
      <c r="H26" s="74">
        <f t="shared" si="4"/>
        <v>28.800670718926849</v>
      </c>
      <c r="I26" s="74">
        <f t="shared" si="5"/>
        <v>42.688744498008802</v>
      </c>
      <c r="J26" s="75">
        <f t="shared" si="0"/>
        <v>2.1369832599500583E-2</v>
      </c>
      <c r="K26" s="75">
        <f t="shared" si="1"/>
        <v>1.9884948968553653E-2</v>
      </c>
      <c r="L26" s="75">
        <f t="shared" si="2"/>
        <v>7.5986761227903196E-2</v>
      </c>
    </row>
    <row r="27" spans="1:17" x14ac:dyDescent="0.25">
      <c r="B27" s="89" t="s">
        <v>9</v>
      </c>
      <c r="C27" s="53">
        <v>6615000</v>
      </c>
      <c r="D27" s="271">
        <v>452234</v>
      </c>
      <c r="E27" s="274">
        <v>223691</v>
      </c>
      <c r="F27" s="261">
        <v>156510</v>
      </c>
      <c r="G27" s="56">
        <f t="shared" si="3"/>
        <v>68.364928193499622</v>
      </c>
      <c r="H27" s="56">
        <f t="shared" si="4"/>
        <v>33.815721844293272</v>
      </c>
      <c r="I27" s="56">
        <f t="shared" si="5"/>
        <v>23.65986394557823</v>
      </c>
      <c r="J27" s="57">
        <f t="shared" si="0"/>
        <v>2.5640102505074199E-2</v>
      </c>
      <c r="K27" s="57">
        <f t="shared" si="1"/>
        <v>3.2371362072985091E-2</v>
      </c>
      <c r="L27" s="57">
        <f t="shared" si="2"/>
        <v>5.8392521160806461E-2</v>
      </c>
    </row>
    <row r="28" spans="1:17" x14ac:dyDescent="0.25">
      <c r="B28" s="103" t="s">
        <v>21</v>
      </c>
      <c r="C28" s="71">
        <v>28352000</v>
      </c>
      <c r="D28" s="279">
        <v>806075</v>
      </c>
      <c r="E28" s="280">
        <v>407673</v>
      </c>
      <c r="F28" s="281">
        <v>64091</v>
      </c>
      <c r="G28" s="74">
        <f t="shared" si="3"/>
        <v>28.430974887133182</v>
      </c>
      <c r="H28" s="74">
        <f t="shared" si="4"/>
        <v>14.378985609480813</v>
      </c>
      <c r="I28" s="74">
        <f t="shared" si="5"/>
        <v>2.260545993227991</v>
      </c>
      <c r="J28" s="75">
        <f t="shared" si="0"/>
        <v>4.5701662472918188E-2</v>
      </c>
      <c r="K28" s="75">
        <f t="shared" si="1"/>
        <v>5.8996250588445896E-2</v>
      </c>
      <c r="L28" s="75">
        <f t="shared" si="2"/>
        <v>2.3911795244503525E-2</v>
      </c>
    </row>
    <row r="29" spans="1:17" x14ac:dyDescent="0.25">
      <c r="B29" s="89" t="s">
        <v>12</v>
      </c>
      <c r="C29" s="83">
        <v>14717000</v>
      </c>
      <c r="D29" s="271">
        <v>538536</v>
      </c>
      <c r="E29" s="274">
        <v>224273</v>
      </c>
      <c r="F29" s="261">
        <v>122138</v>
      </c>
      <c r="G29" s="56">
        <f t="shared" si="3"/>
        <v>36.592783855405315</v>
      </c>
      <c r="H29" s="56">
        <f t="shared" si="4"/>
        <v>15.239043283277843</v>
      </c>
      <c r="I29" s="56">
        <f t="shared" si="5"/>
        <v>8.2991098729360608</v>
      </c>
      <c r="J29" s="57">
        <f t="shared" si="0"/>
        <v>3.0533127192277978E-2</v>
      </c>
      <c r="K29" s="57">
        <f t="shared" si="1"/>
        <v>3.245558599225979E-2</v>
      </c>
      <c r="L29" s="57">
        <f t="shared" si="2"/>
        <v>4.5568626602380549E-2</v>
      </c>
    </row>
    <row r="30" spans="1:17" s="7" customFormat="1" ht="6" customHeight="1" thickBot="1" x14ac:dyDescent="0.3">
      <c r="B30" s="89"/>
      <c r="C30" s="99"/>
      <c r="D30" s="99"/>
      <c r="E30" s="93"/>
      <c r="F30" s="92"/>
      <c r="G30" s="100"/>
      <c r="H30" s="84"/>
      <c r="I30" s="101"/>
      <c r="J30" s="85"/>
      <c r="K30" s="85"/>
      <c r="L30" s="85"/>
    </row>
    <row r="31" spans="1:17" s="12" customFormat="1" ht="24.95" customHeight="1" thickTop="1" thickBot="1" x14ac:dyDescent="0.3">
      <c r="A31" s="13"/>
      <c r="B31" s="90" t="s">
        <v>13</v>
      </c>
      <c r="C31" s="63">
        <f>SUM(C11:C29)</f>
        <v>202077000</v>
      </c>
      <c r="D31" s="63">
        <f>SUM(D11:D29)</f>
        <v>17637761</v>
      </c>
      <c r="E31" s="62">
        <f>SUM(E11:E29)</f>
        <v>6910151</v>
      </c>
      <c r="F31" s="102">
        <f>SUM(F11:F29)</f>
        <v>2680309</v>
      </c>
      <c r="G31" s="94"/>
      <c r="H31" s="94"/>
      <c r="I31" s="94"/>
      <c r="J31" s="95">
        <f>SUM(J11:J29)</f>
        <v>0.99999999999999978</v>
      </c>
      <c r="K31" s="64">
        <f>SUM(K11:K29)</f>
        <v>1</v>
      </c>
      <c r="L31" s="65">
        <f>SUM(L11:L29)</f>
        <v>0.99999999999999989</v>
      </c>
      <c r="M31" s="13"/>
      <c r="N31" s="13"/>
      <c r="O31" s="13"/>
      <c r="P31" s="13"/>
      <c r="Q31" s="13"/>
    </row>
    <row r="32" spans="1:17" ht="15.75" thickTop="1" x14ac:dyDescent="0.25">
      <c r="B32" s="15"/>
    </row>
    <row r="33" spans="1:17" x14ac:dyDescent="0.25">
      <c r="B33" s="15"/>
    </row>
    <row r="34" spans="1:17" x14ac:dyDescent="0.25">
      <c r="B34" s="66" t="s">
        <v>396</v>
      </c>
      <c r="C34" s="67"/>
      <c r="D34" s="67"/>
      <c r="E34" s="67"/>
      <c r="F34" s="67"/>
    </row>
    <row r="35" spans="1:17" x14ac:dyDescent="0.25">
      <c r="A35" s="21"/>
      <c r="B35" s="67" t="s">
        <v>195</v>
      </c>
      <c r="C35" s="68"/>
      <c r="D35" s="68"/>
      <c r="E35" s="68"/>
      <c r="F35" s="68"/>
      <c r="G35" s="87"/>
      <c r="H35" s="88"/>
      <c r="I35"/>
      <c r="J35"/>
      <c r="K35"/>
      <c r="L35"/>
      <c r="M35"/>
      <c r="N35"/>
      <c r="O35"/>
      <c r="P35"/>
      <c r="Q35"/>
    </row>
    <row r="36" spans="1:17" x14ac:dyDescent="0.25">
      <c r="A36" s="21"/>
      <c r="B36" s="67" t="s">
        <v>296</v>
      </c>
      <c r="C36" s="68"/>
      <c r="D36" s="68"/>
      <c r="E36" s="68"/>
      <c r="F36" s="68"/>
      <c r="G36" s="87"/>
      <c r="H36" s="88"/>
      <c r="I36"/>
      <c r="J36"/>
      <c r="K36"/>
      <c r="L36"/>
      <c r="M36"/>
      <c r="N36"/>
      <c r="O36"/>
      <c r="P36"/>
      <c r="Q36"/>
    </row>
    <row r="37" spans="1:17" x14ac:dyDescent="0.25">
      <c r="A37" s="21"/>
      <c r="B37" s="67" t="s">
        <v>299</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364</v>
      </c>
      <c r="C40" s="68"/>
      <c r="D40" s="68"/>
      <c r="E40" s="68"/>
      <c r="F40" s="68"/>
      <c r="G40" s="88"/>
      <c r="H40" s="88"/>
      <c r="I40"/>
      <c r="J40"/>
      <c r="K40"/>
      <c r="L40"/>
      <c r="M40"/>
      <c r="N40"/>
      <c r="O40"/>
      <c r="P40"/>
      <c r="Q40"/>
    </row>
    <row r="41" spans="1:17" x14ac:dyDescent="0.25">
      <c r="B41" s="67" t="s">
        <v>382</v>
      </c>
      <c r="C41" s="67"/>
      <c r="D41" s="67"/>
      <c r="E41" s="67"/>
      <c r="F41" s="67"/>
      <c r="G41" s="87"/>
      <c r="H41" s="87"/>
    </row>
    <row r="42" spans="1:17" x14ac:dyDescent="0.25">
      <c r="B42" s="87"/>
      <c r="C42" s="87"/>
      <c r="D42" s="87"/>
      <c r="E42" s="87"/>
      <c r="F42" s="87"/>
      <c r="G42" s="87"/>
      <c r="H42" s="87"/>
    </row>
    <row r="43" spans="1:17" x14ac:dyDescent="0.25">
      <c r="B43" s="66" t="s">
        <v>398</v>
      </c>
    </row>
  </sheetData>
  <mergeCells count="8">
    <mergeCell ref="C6:C7"/>
    <mergeCell ref="D6:F6"/>
    <mergeCell ref="G6:I6"/>
    <mergeCell ref="J6:L6"/>
    <mergeCell ref="B7:B8"/>
    <mergeCell ref="D7:F7"/>
    <mergeCell ref="G7:I7"/>
    <mergeCell ref="J7:L7"/>
  </mergeCells>
  <hyperlinks>
    <hyperlink ref="B1" location="Start!A1" display="Back to home page" xr:uid="{4205F71B-640F-4E30-BD52-0CCE5DBE1806}"/>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7267A-5A0D-491C-8C54-3BE83CE10076}">
  <sheetPr>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400</v>
      </c>
      <c r="D6" s="592" t="s">
        <v>389</v>
      </c>
      <c r="E6" s="592"/>
      <c r="F6" s="592"/>
      <c r="G6" s="589" t="s">
        <v>392</v>
      </c>
      <c r="H6" s="589"/>
      <c r="I6" s="589"/>
      <c r="J6" s="589" t="s">
        <v>399</v>
      </c>
      <c r="K6" s="589"/>
      <c r="L6" s="589"/>
    </row>
    <row r="7" spans="1:17" ht="25.15" customHeight="1" thickBot="1" x14ac:dyDescent="0.3">
      <c r="B7" s="596" t="s">
        <v>316</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v>2018</v>
      </c>
      <c r="D9" s="49">
        <v>2018</v>
      </c>
      <c r="E9" s="50">
        <v>2018</v>
      </c>
      <c r="F9" s="49">
        <v>2018</v>
      </c>
      <c r="G9" s="49">
        <v>2018</v>
      </c>
      <c r="H9" s="49">
        <v>2018</v>
      </c>
      <c r="I9" s="49">
        <v>2018</v>
      </c>
      <c r="J9" s="49">
        <v>2018</v>
      </c>
      <c r="K9" s="49">
        <v>2018</v>
      </c>
      <c r="L9" s="49">
        <v>2018</v>
      </c>
    </row>
    <row r="10" spans="1:17" ht="6" customHeight="1" thickTop="1" x14ac:dyDescent="0.25">
      <c r="B10" s="96"/>
      <c r="C10" s="97"/>
      <c r="D10" s="98"/>
      <c r="E10" s="178"/>
      <c r="F10" s="98"/>
      <c r="G10" s="98"/>
      <c r="H10" s="98"/>
      <c r="I10" s="98"/>
      <c r="J10" s="98"/>
      <c r="K10" s="98"/>
      <c r="L10" s="98"/>
    </row>
    <row r="11" spans="1:17" x14ac:dyDescent="0.25">
      <c r="B11" s="89" t="s">
        <v>16</v>
      </c>
      <c r="C11" s="282">
        <v>11377934</v>
      </c>
      <c r="D11" s="53">
        <v>988383.40222015802</v>
      </c>
      <c r="E11" s="172">
        <v>237371.9630256932</v>
      </c>
      <c r="F11" s="53">
        <v>114992.20912475417</v>
      </c>
      <c r="G11" s="56">
        <f>IFERROR(D11*1000/C11,"-")</f>
        <v>86.868442216324866</v>
      </c>
      <c r="H11" s="56">
        <f>IFERROR(E11*1000/C11,"-")</f>
        <v>20.86248373612408</v>
      </c>
      <c r="I11" s="56">
        <f>IFERROR(F11*1000/C11,"-")</f>
        <v>10.106598361772372</v>
      </c>
      <c r="J11" s="57">
        <f t="shared" ref="J11:J21" si="0">D11/$D$23</f>
        <v>0.27501694599742849</v>
      </c>
      <c r="K11" s="57">
        <f t="shared" ref="K11:K21" si="1">E11/$E$23</f>
        <v>0.18864496783413584</v>
      </c>
      <c r="L11" s="57">
        <f t="shared" ref="L11:L21" si="2">F11/$F$23</f>
        <v>5.0583824891019299E-2</v>
      </c>
    </row>
    <row r="12" spans="1:17" x14ac:dyDescent="0.25">
      <c r="B12" s="103" t="s">
        <v>51</v>
      </c>
      <c r="C12" s="283">
        <v>5680360</v>
      </c>
      <c r="D12" s="71">
        <v>665379.68918849062</v>
      </c>
      <c r="E12" s="174">
        <v>142043.37900573047</v>
      </c>
      <c r="F12" s="71">
        <v>82573.603395506434</v>
      </c>
      <c r="G12" s="74">
        <f t="shared" ref="G12:G21" si="3">IFERROR(D12*1000/C12,"-")</f>
        <v>117.13688730793307</v>
      </c>
      <c r="H12" s="74">
        <f t="shared" ref="H12:H21" si="4">IFERROR(E12*1000/C12,"-")</f>
        <v>25.006052258260123</v>
      </c>
      <c r="I12" s="74">
        <f t="shared" ref="I12:I21" si="5">IFERROR(F12*1000/C12,"-")</f>
        <v>14.536684892419922</v>
      </c>
      <c r="J12" s="75">
        <f t="shared" si="0"/>
        <v>0.18514140326344383</v>
      </c>
      <c r="K12" s="75">
        <f t="shared" si="1"/>
        <v>0.11288514583623176</v>
      </c>
      <c r="L12" s="75">
        <f t="shared" si="2"/>
        <v>3.6323232039548868E-2</v>
      </c>
    </row>
    <row r="13" spans="1:17" x14ac:dyDescent="0.25">
      <c r="B13" s="89" t="s">
        <v>6</v>
      </c>
      <c r="C13" s="282">
        <v>723804</v>
      </c>
      <c r="D13" s="53">
        <v>17612.815274435288</v>
      </c>
      <c r="E13" s="172">
        <v>16919.703534925873</v>
      </c>
      <c r="F13" s="53">
        <v>8196.562316866557</v>
      </c>
      <c r="G13" s="56">
        <f t="shared" si="3"/>
        <v>24.333680491452505</v>
      </c>
      <c r="H13" s="56">
        <f t="shared" si="4"/>
        <v>23.376084596003718</v>
      </c>
      <c r="I13" s="56">
        <f t="shared" si="5"/>
        <v>11.324284359946279</v>
      </c>
      <c r="J13" s="57">
        <f t="shared" si="0"/>
        <v>4.900752740598039E-3</v>
      </c>
      <c r="K13" s="57">
        <f t="shared" si="1"/>
        <v>1.344647821260897E-2</v>
      </c>
      <c r="L13" s="57">
        <f t="shared" si="2"/>
        <v>3.6055788135602681E-3</v>
      </c>
    </row>
    <row r="14" spans="1:17" x14ac:dyDescent="0.25">
      <c r="B14" s="103" t="s">
        <v>86</v>
      </c>
      <c r="C14" s="283">
        <v>14327093</v>
      </c>
      <c r="D14" s="71">
        <v>1444703.0792005649</v>
      </c>
      <c r="E14" s="174">
        <v>703177.39424567553</v>
      </c>
      <c r="F14" s="71">
        <v>1882519.9818355043</v>
      </c>
      <c r="G14" s="74">
        <f t="shared" si="3"/>
        <v>100.83713976035229</v>
      </c>
      <c r="H14" s="74">
        <f t="shared" si="4"/>
        <v>49.080256144472266</v>
      </c>
      <c r="I14" s="74">
        <f t="shared" si="5"/>
        <v>131.39580945244819</v>
      </c>
      <c r="J14" s="75">
        <f t="shared" si="0"/>
        <v>0.40198755647084372</v>
      </c>
      <c r="K14" s="75">
        <f t="shared" si="1"/>
        <v>0.55883127572572144</v>
      </c>
      <c r="L14" s="75">
        <f t="shared" si="2"/>
        <v>0.82810011077970536</v>
      </c>
    </row>
    <row r="15" spans="1:17" x14ac:dyDescent="0.25">
      <c r="B15" s="89" t="s">
        <v>19</v>
      </c>
      <c r="C15" s="282">
        <v>3347446</v>
      </c>
      <c r="D15" s="53">
        <v>13609.28386775887</v>
      </c>
      <c r="E15" s="172">
        <v>13073.7218767834</v>
      </c>
      <c r="F15" s="53">
        <v>6333.4192502390197</v>
      </c>
      <c r="G15" s="56">
        <f t="shared" si="3"/>
        <v>4.065572340153917</v>
      </c>
      <c r="H15" s="56">
        <f t="shared" si="4"/>
        <v>3.9055811137157703</v>
      </c>
      <c r="I15" s="56">
        <f t="shared" si="5"/>
        <v>1.8920153604386805</v>
      </c>
      <c r="J15" s="57">
        <f t="shared" si="0"/>
        <v>3.7867731065858463E-3</v>
      </c>
      <c r="K15" s="57">
        <f t="shared" si="1"/>
        <v>1.0389987981231341E-2</v>
      </c>
      <c r="L15" s="57">
        <f t="shared" si="2"/>
        <v>2.7860023975009984E-3</v>
      </c>
    </row>
    <row r="16" spans="1:17" x14ac:dyDescent="0.25">
      <c r="B16" s="103" t="s">
        <v>25</v>
      </c>
      <c r="C16" s="283">
        <v>5162</v>
      </c>
      <c r="D16" s="71">
        <v>91.63958107733815</v>
      </c>
      <c r="E16" s="174">
        <v>58.688877756864962</v>
      </c>
      <c r="F16" s="71">
        <v>21.323380881709461</v>
      </c>
      <c r="G16" s="74">
        <f t="shared" si="3"/>
        <v>17.75272783365714</v>
      </c>
      <c r="H16" s="74">
        <f t="shared" si="4"/>
        <v>11.369406771961442</v>
      </c>
      <c r="I16" s="74">
        <f t="shared" si="5"/>
        <v>4.1308370557360448</v>
      </c>
      <c r="J16" s="75">
        <f t="shared" si="0"/>
        <v>2.5498645225893367E-5</v>
      </c>
      <c r="K16" s="75">
        <f t="shared" si="1"/>
        <v>4.6641403287661874E-5</v>
      </c>
      <c r="L16" s="75">
        <f t="shared" si="2"/>
        <v>9.3799238471426831E-6</v>
      </c>
    </row>
    <row r="17" spans="1:17" x14ac:dyDescent="0.25">
      <c r="B17" s="89" t="s">
        <v>55</v>
      </c>
      <c r="C17" s="282">
        <v>415663</v>
      </c>
      <c r="D17" s="53">
        <v>44799.444977517764</v>
      </c>
      <c r="E17" s="172">
        <v>10759.116525923024</v>
      </c>
      <c r="F17" s="53">
        <v>26060.672072982397</v>
      </c>
      <c r="G17" s="56">
        <f t="shared" si="3"/>
        <v>107.77828427720956</v>
      </c>
      <c r="H17" s="56">
        <f t="shared" si="4"/>
        <v>25.884229594462397</v>
      </c>
      <c r="I17" s="56">
        <f t="shared" si="5"/>
        <v>62.69663663348048</v>
      </c>
      <c r="J17" s="57">
        <f t="shared" si="0"/>
        <v>1.2465412220016632E-2</v>
      </c>
      <c r="K17" s="57">
        <f t="shared" si="1"/>
        <v>8.5505177826615437E-3</v>
      </c>
      <c r="L17" s="57">
        <f t="shared" si="2"/>
        <v>1.1463806832790392E-2</v>
      </c>
    </row>
    <row r="18" spans="1:17" x14ac:dyDescent="0.25">
      <c r="B18" s="103" t="s">
        <v>45</v>
      </c>
      <c r="C18" s="283">
        <v>837319</v>
      </c>
      <c r="D18" s="71">
        <v>119618.17670578852</v>
      </c>
      <c r="E18" s="174">
        <v>38303.626378761117</v>
      </c>
      <c r="F18" s="71">
        <v>55667.298175895237</v>
      </c>
      <c r="G18" s="74">
        <f t="shared" si="3"/>
        <v>142.858548182698</v>
      </c>
      <c r="H18" s="74">
        <f t="shared" si="4"/>
        <v>45.74555979114426</v>
      </c>
      <c r="I18" s="74">
        <f t="shared" si="5"/>
        <v>66.482783951988708</v>
      </c>
      <c r="J18" s="75">
        <f t="shared" si="0"/>
        <v>3.3283668634572064E-2</v>
      </c>
      <c r="K18" s="75">
        <f t="shared" si="1"/>
        <v>3.0440774361250179E-2</v>
      </c>
      <c r="L18" s="75">
        <f t="shared" si="2"/>
        <v>2.4487440362422574E-2</v>
      </c>
    </row>
    <row r="19" spans="1:17" x14ac:dyDescent="0.25">
      <c r="B19" s="89" t="s">
        <v>9</v>
      </c>
      <c r="C19" s="282">
        <v>1147863</v>
      </c>
      <c r="D19" s="53">
        <v>159700.2718363294</v>
      </c>
      <c r="E19" s="172">
        <v>51138.54527352388</v>
      </c>
      <c r="F19" s="53">
        <v>59456.399660398871</v>
      </c>
      <c r="G19" s="56">
        <f t="shared" si="3"/>
        <v>139.1283383438001</v>
      </c>
      <c r="H19" s="56">
        <f t="shared" si="4"/>
        <v>44.551087780966789</v>
      </c>
      <c r="I19" s="56">
        <f t="shared" si="5"/>
        <v>51.797470308215239</v>
      </c>
      <c r="J19" s="57">
        <f t="shared" si="0"/>
        <v>4.443648177086993E-2</v>
      </c>
      <c r="K19" s="57">
        <f t="shared" si="1"/>
        <v>4.0640980110882824E-2</v>
      </c>
      <c r="L19" s="57">
        <f t="shared" si="2"/>
        <v>2.6154224985879063E-2</v>
      </c>
    </row>
    <row r="20" spans="1:17" x14ac:dyDescent="0.25">
      <c r="B20" s="103" t="s">
        <v>304</v>
      </c>
      <c r="C20" s="283">
        <v>935117</v>
      </c>
      <c r="D20" s="71">
        <v>64164.876559871562</v>
      </c>
      <c r="E20" s="174">
        <v>17122.171047867399</v>
      </c>
      <c r="F20" s="71">
        <v>14930.361815592829</v>
      </c>
      <c r="G20" s="74">
        <f t="shared" si="3"/>
        <v>68.616950135514131</v>
      </c>
      <c r="H20" s="74">
        <f t="shared" si="4"/>
        <v>18.310191182351939</v>
      </c>
      <c r="I20" s="74">
        <f t="shared" si="5"/>
        <v>15.96630348458303</v>
      </c>
      <c r="J20" s="75">
        <f t="shared" si="0"/>
        <v>1.7853829143791307E-2</v>
      </c>
      <c r="K20" s="75">
        <f t="shared" si="1"/>
        <v>1.3607383809796864E-2</v>
      </c>
      <c r="L20" s="75">
        <f t="shared" si="2"/>
        <v>6.5677041374182154E-3</v>
      </c>
    </row>
    <row r="21" spans="1:17" x14ac:dyDescent="0.25">
      <c r="B21" s="89" t="s">
        <v>12</v>
      </c>
      <c r="C21" s="282">
        <v>4118641</v>
      </c>
      <c r="D21" s="53">
        <v>75837.320588007424</v>
      </c>
      <c r="E21" s="172">
        <v>28331.690207359556</v>
      </c>
      <c r="F21" s="53">
        <v>22548.168971378589</v>
      </c>
      <c r="G21" s="56">
        <f t="shared" si="3"/>
        <v>18.413190318847267</v>
      </c>
      <c r="H21" s="56">
        <f t="shared" si="4"/>
        <v>6.8788928696042104</v>
      </c>
      <c r="I21" s="56">
        <f t="shared" si="5"/>
        <v>5.4746623877581433</v>
      </c>
      <c r="J21" s="57">
        <f t="shared" si="0"/>
        <v>2.1101678006624405E-2</v>
      </c>
      <c r="K21" s="57">
        <f t="shared" si="1"/>
        <v>2.2515846942191484E-2</v>
      </c>
      <c r="L21" s="57">
        <f t="shared" si="2"/>
        <v>9.918694836307829E-3</v>
      </c>
    </row>
    <row r="22" spans="1:17" s="7" customFormat="1" ht="6" customHeight="1" thickBot="1" x14ac:dyDescent="0.3">
      <c r="B22" s="89"/>
      <c r="C22" s="99"/>
      <c r="D22" s="99"/>
      <c r="E22" s="99"/>
      <c r="F22" s="93"/>
      <c r="G22" s="100"/>
      <c r="H22" s="84"/>
      <c r="I22" s="101"/>
      <c r="J22" s="85"/>
      <c r="K22" s="85"/>
      <c r="L22" s="85"/>
    </row>
    <row r="23" spans="1:17" s="12" customFormat="1" ht="24.95" customHeight="1" thickTop="1" thickBot="1" x14ac:dyDescent="0.3">
      <c r="A23" s="13"/>
      <c r="B23" s="90" t="s">
        <v>13</v>
      </c>
      <c r="C23" s="63">
        <f>SUM(C11:C21)</f>
        <v>42916402</v>
      </c>
      <c r="D23" s="63">
        <f>SUM(D11:D21)</f>
        <v>3593899.9999999991</v>
      </c>
      <c r="E23" s="62">
        <f>SUM(E11:E21)</f>
        <v>1258300.0000000005</v>
      </c>
      <c r="F23" s="102">
        <f>SUM(F11:F21)</f>
        <v>2273300</v>
      </c>
      <c r="G23" s="94"/>
      <c r="H23" s="94"/>
      <c r="I23" s="94"/>
      <c r="J23" s="95">
        <f>SUM(J11:J21)</f>
        <v>1</v>
      </c>
      <c r="K23" s="64">
        <f>SUM(K11:K21)</f>
        <v>0.99999999999999989</v>
      </c>
      <c r="L23" s="65">
        <f>SUM(L11:L21)</f>
        <v>1.0000000000000002</v>
      </c>
      <c r="M23" s="13"/>
      <c r="N23" s="13"/>
      <c r="O23" s="13"/>
      <c r="P23" s="13"/>
      <c r="Q23" s="13"/>
    </row>
    <row r="24" spans="1:17" ht="15.75" thickTop="1" x14ac:dyDescent="0.25">
      <c r="B24" s="15"/>
    </row>
    <row r="25" spans="1:17" x14ac:dyDescent="0.25">
      <c r="B25" s="15"/>
    </row>
    <row r="26" spans="1:17" x14ac:dyDescent="0.25">
      <c r="B26" s="66" t="s">
        <v>396</v>
      </c>
      <c r="C26" s="67"/>
      <c r="D26" s="67"/>
      <c r="E26" s="67"/>
      <c r="F26" s="67"/>
    </row>
    <row r="27" spans="1:17" x14ac:dyDescent="0.25">
      <c r="A27" s="21"/>
      <c r="B27" s="67" t="s">
        <v>373</v>
      </c>
      <c r="C27" s="68"/>
      <c r="D27" s="68"/>
      <c r="E27" s="68"/>
      <c r="F27" s="68"/>
      <c r="G27" s="87"/>
      <c r="H27" s="88"/>
      <c r="I27"/>
      <c r="J27"/>
      <c r="K27"/>
      <c r="L27"/>
      <c r="M27"/>
      <c r="N27"/>
      <c r="O27"/>
      <c r="P27"/>
      <c r="Q27"/>
    </row>
    <row r="28" spans="1:17" ht="14.45" customHeight="1" x14ac:dyDescent="0.25">
      <c r="A28" s="21"/>
      <c r="B28" s="67"/>
      <c r="C28" s="68"/>
      <c r="D28" s="68"/>
      <c r="E28" s="68"/>
      <c r="F28" s="68"/>
      <c r="G28" s="87"/>
      <c r="H28" s="88"/>
      <c r="I28"/>
      <c r="J28"/>
      <c r="K28"/>
      <c r="L28"/>
      <c r="M28"/>
      <c r="N28"/>
      <c r="O28"/>
      <c r="P28"/>
      <c r="Q28"/>
    </row>
    <row r="29" spans="1:17" x14ac:dyDescent="0.25">
      <c r="A29"/>
      <c r="B29" s="79" t="s">
        <v>397</v>
      </c>
      <c r="C29" s="68"/>
      <c r="D29" s="68"/>
      <c r="E29" s="68"/>
      <c r="F29" s="68"/>
      <c r="G29" s="88"/>
      <c r="H29" s="88"/>
      <c r="I29"/>
      <c r="J29"/>
      <c r="K29"/>
      <c r="L29"/>
      <c r="M29"/>
      <c r="N29"/>
      <c r="O29"/>
      <c r="P29"/>
      <c r="Q29"/>
    </row>
    <row r="30" spans="1:17" x14ac:dyDescent="0.25">
      <c r="A30" s="21"/>
      <c r="B30" s="67" t="s">
        <v>176</v>
      </c>
      <c r="C30" s="68"/>
      <c r="D30" s="68"/>
      <c r="E30" s="68"/>
      <c r="F30" s="68"/>
      <c r="G30" s="88"/>
      <c r="H30" s="88"/>
      <c r="I30"/>
      <c r="J30"/>
      <c r="K30"/>
      <c r="L30"/>
      <c r="M30"/>
      <c r="N30"/>
      <c r="O30"/>
      <c r="P30"/>
      <c r="Q30"/>
    </row>
    <row r="31" spans="1:17" x14ac:dyDescent="0.25">
      <c r="B31" s="67" t="s">
        <v>302</v>
      </c>
      <c r="C31" s="67"/>
      <c r="D31" s="67"/>
      <c r="E31" s="67"/>
      <c r="F31" s="67"/>
      <c r="G31" s="87"/>
      <c r="H31" s="87"/>
    </row>
    <row r="32" spans="1:17" x14ac:dyDescent="0.25">
      <c r="B32" s="67" t="s">
        <v>312</v>
      </c>
      <c r="C32" s="67"/>
      <c r="D32" s="67"/>
      <c r="E32" s="67"/>
      <c r="F32" s="67"/>
      <c r="G32" s="87"/>
      <c r="H32" s="87"/>
    </row>
    <row r="33" spans="2:8" x14ac:dyDescent="0.25">
      <c r="B33" s="67" t="s">
        <v>317</v>
      </c>
      <c r="C33" s="67"/>
      <c r="D33" s="67"/>
      <c r="E33" s="67"/>
      <c r="F33" s="67"/>
      <c r="G33" s="87"/>
      <c r="H33" s="87"/>
    </row>
    <row r="34" spans="2:8" x14ac:dyDescent="0.25">
      <c r="B34" s="69" t="s">
        <v>382</v>
      </c>
      <c r="C34" s="67"/>
      <c r="D34" s="67"/>
      <c r="E34" s="67"/>
      <c r="F34" s="67"/>
      <c r="G34" s="87"/>
      <c r="H34" s="87"/>
    </row>
    <row r="35" spans="2:8" x14ac:dyDescent="0.25">
      <c r="B35" s="87"/>
      <c r="C35" s="87"/>
      <c r="D35" s="87"/>
      <c r="E35" s="87"/>
      <c r="F35" s="87"/>
      <c r="G35" s="87"/>
      <c r="H35" s="87"/>
    </row>
    <row r="36" spans="2:8" x14ac:dyDescent="0.25">
      <c r="B36" s="66" t="s">
        <v>398</v>
      </c>
    </row>
  </sheetData>
  <mergeCells count="8">
    <mergeCell ref="C6:C7"/>
    <mergeCell ref="D6:F6"/>
    <mergeCell ref="G6:I6"/>
    <mergeCell ref="J6:L6"/>
    <mergeCell ref="B7:B8"/>
    <mergeCell ref="D7:F7"/>
    <mergeCell ref="G7:I7"/>
    <mergeCell ref="J7:L7"/>
  </mergeCells>
  <hyperlinks>
    <hyperlink ref="B1" location="Start!A1" display="Back to home page" xr:uid="{E81E6270-21B5-46BD-BDD6-5DC4B1B3BCE1}"/>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4B20-0E70-4720-A7F9-5BC4218D8462}">
  <sheetPr>
    <tabColor rgb="FF92D050"/>
  </sheetPr>
  <dimension ref="A1:Q37"/>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400</v>
      </c>
      <c r="D6" s="592" t="s">
        <v>389</v>
      </c>
      <c r="E6" s="592"/>
      <c r="F6" s="592"/>
      <c r="G6" s="589" t="s">
        <v>392</v>
      </c>
      <c r="H6" s="589"/>
      <c r="I6" s="589"/>
      <c r="J6" s="589" t="s">
        <v>399</v>
      </c>
      <c r="K6" s="589"/>
      <c r="L6" s="589"/>
    </row>
    <row r="7" spans="1:17" ht="25.15" customHeight="1" thickBot="1" x14ac:dyDescent="0.3">
      <c r="B7" s="596" t="s">
        <v>301</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96"/>
      <c r="C10" s="97"/>
      <c r="D10" s="98"/>
      <c r="E10" s="98"/>
      <c r="F10" s="98"/>
      <c r="G10" s="98"/>
      <c r="H10" s="98"/>
      <c r="I10" s="98"/>
      <c r="J10" s="98"/>
      <c r="K10" s="98"/>
      <c r="L10" s="98"/>
    </row>
    <row r="11" spans="1:17" x14ac:dyDescent="0.25">
      <c r="B11" s="89" t="s">
        <v>3</v>
      </c>
      <c r="C11" s="53">
        <v>6684622</v>
      </c>
      <c r="D11" s="53">
        <v>327860.52719884634</v>
      </c>
      <c r="E11" s="53">
        <v>36936.579918159397</v>
      </c>
      <c r="F11" s="53">
        <v>4444.2568894440838</v>
      </c>
      <c r="G11" s="56">
        <f>IFERROR(D11*1000/C11,"-")</f>
        <v>49.046980846313573</v>
      </c>
      <c r="H11" s="56">
        <f>IFERROR(E11*1000/C11,"-")</f>
        <v>5.5256048761110792</v>
      </c>
      <c r="I11" s="56">
        <f>IFERROR(F11*1000/C11,"-")</f>
        <v>0.66484789857139026</v>
      </c>
      <c r="J11" s="57">
        <f t="shared" ref="J11:J23" si="0">D11/$D$25</f>
        <v>0.34230583336693082</v>
      </c>
      <c r="K11" s="57">
        <f t="shared" ref="K11:K23" si="1">E11/$E$25</f>
        <v>0.37961541539732169</v>
      </c>
      <c r="L11" s="57">
        <f t="shared" ref="L11:L23" si="2">F11/$F$25</f>
        <v>0.14429405485208061</v>
      </c>
    </row>
    <row r="12" spans="1:17" x14ac:dyDescent="0.25">
      <c r="B12" s="103" t="s">
        <v>16</v>
      </c>
      <c r="C12" s="71">
        <v>427373</v>
      </c>
      <c r="D12" s="71">
        <v>54018.205691870346</v>
      </c>
      <c r="E12" s="71">
        <v>5108.3467045056695</v>
      </c>
      <c r="F12" s="71">
        <v>795.16733340935048</v>
      </c>
      <c r="G12" s="74">
        <f t="shared" ref="G12:G23" si="3">IFERROR(D12*1000/C12,"-")</f>
        <v>126.39592508621355</v>
      </c>
      <c r="H12" s="74">
        <f t="shared" ref="H12:H23" si="4">IFERROR(E12*1000/C12,"-")</f>
        <v>11.952899936368629</v>
      </c>
      <c r="I12" s="74">
        <f t="shared" ref="I12:I23" si="5">IFERROR(F12*1000/C12,"-")</f>
        <v>1.8605932836406383</v>
      </c>
      <c r="J12" s="75">
        <f t="shared" si="0"/>
        <v>5.6398210160649768E-2</v>
      </c>
      <c r="K12" s="75">
        <f t="shared" si="1"/>
        <v>5.2500993879811608E-2</v>
      </c>
      <c r="L12" s="75">
        <f t="shared" si="2"/>
        <v>2.5817121214589296E-2</v>
      </c>
    </row>
    <row r="13" spans="1:17" x14ac:dyDescent="0.25">
      <c r="B13" s="89" t="s">
        <v>51</v>
      </c>
      <c r="C13" s="53">
        <v>90984</v>
      </c>
      <c r="D13" s="53">
        <v>17177.091057576519</v>
      </c>
      <c r="E13" s="53">
        <v>2068.9199809463125</v>
      </c>
      <c r="F13" s="53">
        <v>333.55067628985489</v>
      </c>
      <c r="G13" s="56">
        <f t="shared" si="3"/>
        <v>188.79243666552929</v>
      </c>
      <c r="H13" s="56">
        <f t="shared" si="4"/>
        <v>22.739382539197138</v>
      </c>
      <c r="I13" s="56">
        <f t="shared" si="5"/>
        <v>3.6660366250093963</v>
      </c>
      <c r="J13" s="57">
        <f t="shared" si="0"/>
        <v>1.7933901709726998E-2</v>
      </c>
      <c r="K13" s="57">
        <f t="shared" si="1"/>
        <v>2.126330915669386E-2</v>
      </c>
      <c r="L13" s="57">
        <f t="shared" si="2"/>
        <v>1.0829567412008273E-2</v>
      </c>
    </row>
    <row r="14" spans="1:17" x14ac:dyDescent="0.25">
      <c r="B14" s="103" t="s">
        <v>5</v>
      </c>
      <c r="C14" s="71">
        <v>1880553</v>
      </c>
      <c r="D14" s="71">
        <v>101012.41962352701</v>
      </c>
      <c r="E14" s="71">
        <v>8839.584912882754</v>
      </c>
      <c r="F14" s="71">
        <v>1375.9733961328084</v>
      </c>
      <c r="G14" s="74">
        <f t="shared" si="3"/>
        <v>53.714210460182194</v>
      </c>
      <c r="H14" s="74">
        <f t="shared" si="4"/>
        <v>4.7005242143575607</v>
      </c>
      <c r="I14" s="74">
        <f t="shared" si="5"/>
        <v>0.73168551810707194</v>
      </c>
      <c r="J14" s="75">
        <f t="shared" si="0"/>
        <v>0.10546295638288475</v>
      </c>
      <c r="K14" s="75">
        <f t="shared" si="1"/>
        <v>9.0848765805578144E-2</v>
      </c>
      <c r="L14" s="75">
        <f t="shared" si="2"/>
        <v>4.4674460913402859E-2</v>
      </c>
    </row>
    <row r="15" spans="1:17" x14ac:dyDescent="0.25">
      <c r="B15" s="89" t="s">
        <v>6</v>
      </c>
      <c r="C15" s="53">
        <v>72000</v>
      </c>
      <c r="D15" s="53">
        <v>995.48552412814377</v>
      </c>
      <c r="E15" s="53">
        <v>1006.3263766056772</v>
      </c>
      <c r="F15" s="53">
        <v>438.60648886925941</v>
      </c>
      <c r="G15" s="56">
        <f t="shared" si="3"/>
        <v>13.826187835113108</v>
      </c>
      <c r="H15" s="56">
        <f t="shared" si="4"/>
        <v>13.976755230634405</v>
      </c>
      <c r="I15" s="56">
        <f t="shared" si="5"/>
        <v>6.0917567898508249</v>
      </c>
      <c r="J15" s="57">
        <f t="shared" si="0"/>
        <v>1.0393459220381538E-3</v>
      </c>
      <c r="K15" s="57">
        <f t="shared" si="1"/>
        <v>1.0342511578681162E-2</v>
      </c>
      <c r="L15" s="57">
        <f t="shared" si="2"/>
        <v>1.4240470417833094E-2</v>
      </c>
    </row>
    <row r="16" spans="1:17" x14ac:dyDescent="0.25">
      <c r="B16" s="103" t="s">
        <v>300</v>
      </c>
      <c r="C16" s="71">
        <v>354785</v>
      </c>
      <c r="D16" s="71">
        <v>32274.486263845822</v>
      </c>
      <c r="E16" s="71">
        <v>6399.7067360854317</v>
      </c>
      <c r="F16" s="71">
        <v>3359.6691304494507</v>
      </c>
      <c r="G16" s="74">
        <f t="shared" si="3"/>
        <v>90.969139799726094</v>
      </c>
      <c r="H16" s="74">
        <f t="shared" si="4"/>
        <v>18.038267503094641</v>
      </c>
      <c r="I16" s="74">
        <f t="shared" si="5"/>
        <v>9.4695918103906607</v>
      </c>
      <c r="J16" s="75">
        <f t="shared" si="0"/>
        <v>3.3696477619383818E-2</v>
      </c>
      <c r="K16" s="75">
        <f t="shared" si="1"/>
        <v>6.5772936650415531E-2</v>
      </c>
      <c r="L16" s="75">
        <f t="shared" si="2"/>
        <v>0.10908016657303408</v>
      </c>
    </row>
    <row r="17" spans="1:17" x14ac:dyDescent="0.25">
      <c r="B17" s="89" t="s">
        <v>25</v>
      </c>
      <c r="C17" s="53">
        <v>44810</v>
      </c>
      <c r="D17" s="53">
        <v>7248.7522796295916</v>
      </c>
      <c r="E17" s="53">
        <v>1099.1536953076966</v>
      </c>
      <c r="F17" s="53">
        <v>266.14733120938519</v>
      </c>
      <c r="G17" s="56">
        <f t="shared" si="3"/>
        <v>161.7663976708233</v>
      </c>
      <c r="H17" s="56">
        <f t="shared" si="4"/>
        <v>24.529205429763365</v>
      </c>
      <c r="I17" s="56">
        <f t="shared" si="5"/>
        <v>5.9394628701045571</v>
      </c>
      <c r="J17" s="57">
        <f t="shared" si="0"/>
        <v>7.5681272495610689E-3</v>
      </c>
      <c r="K17" s="57">
        <f t="shared" si="1"/>
        <v>1.1296543631117128E-2</v>
      </c>
      <c r="L17" s="57">
        <f t="shared" si="2"/>
        <v>8.6411471171878289E-3</v>
      </c>
    </row>
    <row r="18" spans="1:17" x14ac:dyDescent="0.25">
      <c r="B18" s="103" t="s">
        <v>303</v>
      </c>
      <c r="C18" s="71">
        <v>207504</v>
      </c>
      <c r="D18" s="71">
        <v>38310.016403373163</v>
      </c>
      <c r="E18" s="71">
        <v>4747.2067626681373</v>
      </c>
      <c r="F18" s="71">
        <v>2722.4552623371324</v>
      </c>
      <c r="G18" s="74">
        <f t="shared" si="3"/>
        <v>184.62302607840411</v>
      </c>
      <c r="H18" s="74">
        <f t="shared" si="4"/>
        <v>22.877663865121335</v>
      </c>
      <c r="I18" s="74">
        <f t="shared" si="5"/>
        <v>13.12001340859517</v>
      </c>
      <c r="J18" s="75">
        <f t="shared" si="0"/>
        <v>3.9997929007489205E-2</v>
      </c>
      <c r="K18" s="75">
        <f t="shared" si="1"/>
        <v>4.8789380911286095E-2</v>
      </c>
      <c r="L18" s="75">
        <f t="shared" si="2"/>
        <v>8.8391404621335448E-2</v>
      </c>
    </row>
    <row r="19" spans="1:17" x14ac:dyDescent="0.25">
      <c r="B19" s="89" t="s">
        <v>45</v>
      </c>
      <c r="C19" s="53">
        <v>1159337</v>
      </c>
      <c r="D19" s="53">
        <v>203156.71253424475</v>
      </c>
      <c r="E19" s="53">
        <v>16686.238742822748</v>
      </c>
      <c r="F19" s="53">
        <v>11188.742856520485</v>
      </c>
      <c r="G19" s="56">
        <f t="shared" si="3"/>
        <v>175.23525302327516</v>
      </c>
      <c r="H19" s="56">
        <f t="shared" si="4"/>
        <v>14.392914866706358</v>
      </c>
      <c r="I19" s="56">
        <f t="shared" si="5"/>
        <v>9.6509840163131901</v>
      </c>
      <c r="J19" s="57">
        <f t="shared" si="0"/>
        <v>0.21210765560058964</v>
      </c>
      <c r="K19" s="57">
        <f t="shared" si="1"/>
        <v>0.17149269005984324</v>
      </c>
      <c r="L19" s="57">
        <f t="shared" si="2"/>
        <v>0.36327087196495073</v>
      </c>
    </row>
    <row r="20" spans="1:17" x14ac:dyDescent="0.25">
      <c r="B20" s="103" t="s">
        <v>9</v>
      </c>
      <c r="C20" s="71">
        <v>354935</v>
      </c>
      <c r="D20" s="71">
        <v>51878.566541338972</v>
      </c>
      <c r="E20" s="71">
        <v>3814.0745395580893</v>
      </c>
      <c r="F20" s="71">
        <v>2523.2266993687031</v>
      </c>
      <c r="G20" s="74">
        <f t="shared" si="3"/>
        <v>146.16356950241305</v>
      </c>
      <c r="H20" s="74">
        <f t="shared" si="4"/>
        <v>10.745839490492877</v>
      </c>
      <c r="I20" s="74">
        <f t="shared" si="5"/>
        <v>7.1089824879730177</v>
      </c>
      <c r="J20" s="75">
        <f t="shared" si="0"/>
        <v>5.4164300001397964E-2</v>
      </c>
      <c r="K20" s="75">
        <f t="shared" si="1"/>
        <v>3.9199121680967002E-2</v>
      </c>
      <c r="L20" s="75">
        <f t="shared" si="2"/>
        <v>8.1922944784698137E-2</v>
      </c>
    </row>
    <row r="21" spans="1:17" x14ac:dyDescent="0.25">
      <c r="B21" s="89" t="s">
        <v>304</v>
      </c>
      <c r="C21" s="53">
        <v>29477000</v>
      </c>
      <c r="D21" s="53">
        <v>60392.788463773955</v>
      </c>
      <c r="E21" s="53">
        <v>4415.2569773574032</v>
      </c>
      <c r="F21" s="53">
        <v>1120.0129983625693</v>
      </c>
      <c r="G21" s="56">
        <f t="shared" si="3"/>
        <v>2.0488105459773367</v>
      </c>
      <c r="H21" s="56">
        <f t="shared" si="4"/>
        <v>0.14978651074930974</v>
      </c>
      <c r="I21" s="56">
        <f t="shared" si="5"/>
        <v>3.7996166447147588E-2</v>
      </c>
      <c r="J21" s="57">
        <f t="shared" si="0"/>
        <v>6.3053652603647897E-2</v>
      </c>
      <c r="K21" s="57">
        <f t="shared" si="1"/>
        <v>4.5377769551463547E-2</v>
      </c>
      <c r="L21" s="57">
        <f t="shared" si="2"/>
        <v>3.6364058388395099E-2</v>
      </c>
    </row>
    <row r="22" spans="1:17" x14ac:dyDescent="0.25">
      <c r="B22" s="103" t="s">
        <v>10</v>
      </c>
      <c r="C22" s="71">
        <v>106426</v>
      </c>
      <c r="D22" s="71">
        <v>28881.676314523414</v>
      </c>
      <c r="E22" s="71">
        <v>3649.5247760316793</v>
      </c>
      <c r="F22" s="71">
        <v>1590.6422461625018</v>
      </c>
      <c r="G22" s="74">
        <f t="shared" si="3"/>
        <v>271.37801208843155</v>
      </c>
      <c r="H22" s="74">
        <f t="shared" si="4"/>
        <v>34.291665345232175</v>
      </c>
      <c r="I22" s="74">
        <f t="shared" si="5"/>
        <v>14.945992954376768</v>
      </c>
      <c r="J22" s="75">
        <f t="shared" si="0"/>
        <v>3.0154182829947185E-2</v>
      </c>
      <c r="K22" s="75">
        <f t="shared" si="1"/>
        <v>3.7507962754693515E-2</v>
      </c>
      <c r="L22" s="75">
        <f t="shared" si="2"/>
        <v>5.1644228771509787E-2</v>
      </c>
    </row>
    <row r="23" spans="1:17" x14ac:dyDescent="0.25">
      <c r="B23" s="89" t="s">
        <v>12</v>
      </c>
      <c r="C23" s="83">
        <v>1121968</v>
      </c>
      <c r="D23" s="83">
        <v>34593.272103321928</v>
      </c>
      <c r="E23" s="83">
        <v>2529.0798770689953</v>
      </c>
      <c r="F23" s="83">
        <v>641.54869144442125</v>
      </c>
      <c r="G23" s="56">
        <f t="shared" si="3"/>
        <v>30.832672681682478</v>
      </c>
      <c r="H23" s="56">
        <f t="shared" si="4"/>
        <v>2.254146176244773</v>
      </c>
      <c r="I23" s="56">
        <f t="shared" si="5"/>
        <v>0.57180658578891852</v>
      </c>
      <c r="J23" s="57">
        <f t="shared" si="0"/>
        <v>3.6117427545752694E-2</v>
      </c>
      <c r="K23" s="57">
        <f t="shared" si="1"/>
        <v>2.5992598942127392E-2</v>
      </c>
      <c r="L23" s="57">
        <f t="shared" si="2"/>
        <v>2.0829502968974713E-2</v>
      </c>
    </row>
    <row r="24" spans="1:17" s="7" customFormat="1" ht="6" customHeight="1" thickBot="1" x14ac:dyDescent="0.3">
      <c r="B24" s="89"/>
      <c r="C24" s="99"/>
      <c r="D24" s="99"/>
      <c r="E24" s="93"/>
      <c r="F24" s="92"/>
      <c r="G24" s="100"/>
      <c r="H24" s="84"/>
      <c r="I24" s="101"/>
      <c r="J24" s="85"/>
      <c r="K24" s="85"/>
      <c r="L24" s="85"/>
    </row>
    <row r="25" spans="1:17" s="12" customFormat="1" ht="24.95" customHeight="1" thickTop="1" thickBot="1" x14ac:dyDescent="0.3">
      <c r="A25" s="13"/>
      <c r="B25" s="90" t="s">
        <v>13</v>
      </c>
      <c r="C25" s="63">
        <f>SUM(C11:C23)</f>
        <v>41982297</v>
      </c>
      <c r="D25" s="63">
        <f>SUM(D11:D23)</f>
        <v>957800</v>
      </c>
      <c r="E25" s="62">
        <f>SUM(E11:E23)</f>
        <v>97300</v>
      </c>
      <c r="F25" s="102">
        <f>SUM(F11:F23)</f>
        <v>30800.000000000007</v>
      </c>
      <c r="G25" s="94"/>
      <c r="H25" s="94"/>
      <c r="I25" s="94"/>
      <c r="J25" s="95">
        <f>SUM(J11:J23)</f>
        <v>0.99999999999999978</v>
      </c>
      <c r="K25" s="64">
        <f>SUM(K11:K23)</f>
        <v>0.99999999999999967</v>
      </c>
      <c r="L25" s="65">
        <f>SUM(L11:L23)</f>
        <v>0.99999999999999978</v>
      </c>
      <c r="M25" s="13"/>
      <c r="N25" s="13"/>
      <c r="O25" s="13"/>
      <c r="P25" s="13"/>
      <c r="Q25" s="13"/>
    </row>
    <row r="26" spans="1:17" ht="15.75" thickTop="1" x14ac:dyDescent="0.25">
      <c r="B26" s="15"/>
    </row>
    <row r="27" spans="1:17" x14ac:dyDescent="0.25">
      <c r="B27" s="15"/>
    </row>
    <row r="28" spans="1:17" x14ac:dyDescent="0.25">
      <c r="B28" s="66" t="s">
        <v>396</v>
      </c>
      <c r="C28" s="67"/>
      <c r="D28" s="67"/>
      <c r="E28" s="67"/>
      <c r="F28" s="67"/>
    </row>
    <row r="29" spans="1:17" x14ac:dyDescent="0.25">
      <c r="A29" s="21"/>
      <c r="B29" s="67" t="s">
        <v>373</v>
      </c>
      <c r="C29" s="68"/>
      <c r="D29" s="68"/>
      <c r="E29" s="68"/>
      <c r="F29" s="68"/>
      <c r="G29" s="87"/>
      <c r="H29" s="88"/>
      <c r="I29"/>
      <c r="J29"/>
      <c r="K29"/>
      <c r="L29"/>
      <c r="M29"/>
      <c r="N29"/>
      <c r="O29"/>
      <c r="P29"/>
      <c r="Q29"/>
    </row>
    <row r="30" spans="1:17" ht="14.45" customHeight="1" x14ac:dyDescent="0.25">
      <c r="A30" s="21"/>
      <c r="B30" s="67"/>
      <c r="C30" s="68"/>
      <c r="D30" s="68"/>
      <c r="E30" s="68"/>
      <c r="F30" s="68"/>
      <c r="G30" s="87"/>
      <c r="H30" s="88"/>
      <c r="I30"/>
      <c r="J30"/>
      <c r="K30"/>
      <c r="L30"/>
      <c r="M30"/>
      <c r="N30"/>
      <c r="O30"/>
      <c r="P30"/>
      <c r="Q30"/>
    </row>
    <row r="31" spans="1:17" x14ac:dyDescent="0.25">
      <c r="A31"/>
      <c r="B31" s="79" t="s">
        <v>397</v>
      </c>
      <c r="C31" s="68"/>
      <c r="D31" s="68"/>
      <c r="E31" s="68"/>
      <c r="F31" s="68"/>
      <c r="G31" s="88"/>
      <c r="H31" s="88"/>
      <c r="I31"/>
      <c r="J31"/>
      <c r="K31"/>
      <c r="L31"/>
      <c r="M31"/>
      <c r="N31"/>
      <c r="O31"/>
      <c r="P31"/>
      <c r="Q31"/>
    </row>
    <row r="32" spans="1:17" x14ac:dyDescent="0.25">
      <c r="A32" s="21"/>
      <c r="B32" s="67" t="s">
        <v>176</v>
      </c>
      <c r="C32" s="68"/>
      <c r="D32" s="68"/>
      <c r="E32" s="68"/>
      <c r="F32" s="68"/>
      <c r="G32" s="88"/>
      <c r="H32" s="88"/>
      <c r="I32"/>
      <c r="J32"/>
      <c r="K32"/>
      <c r="L32"/>
      <c r="M32"/>
      <c r="N32"/>
      <c r="O32"/>
      <c r="P32"/>
      <c r="Q32"/>
    </row>
    <row r="33" spans="2:8" x14ac:dyDescent="0.25">
      <c r="B33" s="67" t="s">
        <v>302</v>
      </c>
      <c r="C33" s="67"/>
      <c r="D33" s="67"/>
      <c r="E33" s="67"/>
      <c r="F33" s="67"/>
      <c r="G33" s="87"/>
      <c r="H33" s="87"/>
    </row>
    <row r="34" spans="2:8" x14ac:dyDescent="0.25">
      <c r="B34" s="69" t="s">
        <v>305</v>
      </c>
      <c r="C34" s="67"/>
      <c r="D34" s="67"/>
      <c r="E34" s="67"/>
      <c r="F34" s="67"/>
      <c r="G34" s="87"/>
      <c r="H34" s="87"/>
    </row>
    <row r="35" spans="2:8" x14ac:dyDescent="0.25">
      <c r="B35" s="69" t="s">
        <v>382</v>
      </c>
      <c r="C35" s="67"/>
      <c r="D35" s="67"/>
      <c r="E35" s="67"/>
      <c r="F35" s="67"/>
      <c r="G35" s="87"/>
      <c r="H35" s="87"/>
    </row>
    <row r="36" spans="2:8" x14ac:dyDescent="0.25">
      <c r="B36" s="87"/>
      <c r="C36" s="87"/>
      <c r="D36" s="87"/>
      <c r="E36" s="87"/>
      <c r="F36" s="87"/>
      <c r="G36" s="87"/>
      <c r="H36" s="87"/>
    </row>
    <row r="37" spans="2:8" x14ac:dyDescent="0.25">
      <c r="B37" s="66" t="s">
        <v>398</v>
      </c>
    </row>
  </sheetData>
  <mergeCells count="8">
    <mergeCell ref="C6:C7"/>
    <mergeCell ref="D6:F6"/>
    <mergeCell ref="G6:I6"/>
    <mergeCell ref="J6:L6"/>
    <mergeCell ref="B7:B8"/>
    <mergeCell ref="D7:F7"/>
    <mergeCell ref="G7:I7"/>
    <mergeCell ref="J7:L7"/>
  </mergeCells>
  <hyperlinks>
    <hyperlink ref="B1" location="Start!A1" display="Back to home page" xr:uid="{2675FC7A-C6C8-44FE-883D-F2895A4DDAF0}"/>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8026D-110F-44DB-8C87-2628F3B296E1}">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261</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172">
        <v>58000</v>
      </c>
      <c r="D11" s="53">
        <v>11600</v>
      </c>
      <c r="E11" s="53">
        <v>3654</v>
      </c>
      <c r="F11" s="53">
        <v>5568</v>
      </c>
      <c r="G11" s="56">
        <f>IFERROR(D11*1000/C11,"-")</f>
        <v>200</v>
      </c>
      <c r="H11" s="56">
        <f>IFERROR(E11*1000/C11,"-")</f>
        <v>63</v>
      </c>
      <c r="I11" s="56">
        <f>IFERROR(F11*1000/C11,"-")</f>
        <v>96</v>
      </c>
      <c r="J11" s="57">
        <f t="shared" ref="J11:J30" si="0">D11/$D$33</f>
        <v>2.8428237081694421E-2</v>
      </c>
      <c r="K11" s="57">
        <f t="shared" ref="K11:K31" si="1">E11/$E$33</f>
        <v>3.4646893726769323E-2</v>
      </c>
      <c r="L11" s="57">
        <f t="shared" ref="L11:L31" si="2">F11/$F$33</f>
        <v>3.92056076411504E-2</v>
      </c>
    </row>
    <row r="12" spans="1:17" x14ac:dyDescent="0.25">
      <c r="B12" s="103" t="s">
        <v>27</v>
      </c>
      <c r="C12" s="174">
        <v>185000</v>
      </c>
      <c r="D12" s="71">
        <v>29600</v>
      </c>
      <c r="E12" s="71">
        <v>11655</v>
      </c>
      <c r="F12" s="71">
        <v>17760</v>
      </c>
      <c r="G12" s="74">
        <f t="shared" ref="G12:G31" si="3">IFERROR(D12*1000/C12,"-")</f>
        <v>160</v>
      </c>
      <c r="H12" s="74">
        <f t="shared" ref="H12:H31" si="4">IFERROR(E12*1000/C12,"-")</f>
        <v>63</v>
      </c>
      <c r="I12" s="74">
        <f t="shared" ref="I12:I31" si="5">IFERROR(F12*1000/C12,"-")</f>
        <v>96</v>
      </c>
      <c r="J12" s="75">
        <f t="shared" si="0"/>
        <v>7.254101876018576E-2</v>
      </c>
      <c r="K12" s="75">
        <f t="shared" si="1"/>
        <v>0.11051164378366078</v>
      </c>
      <c r="L12" s="75">
        <f t="shared" si="2"/>
        <v>0.12505236920022109</v>
      </c>
    </row>
    <row r="13" spans="1:17" x14ac:dyDescent="0.25">
      <c r="B13" s="89" t="s">
        <v>28</v>
      </c>
      <c r="C13" s="172">
        <v>18000</v>
      </c>
      <c r="D13" s="53">
        <v>2160</v>
      </c>
      <c r="E13" s="53">
        <v>900</v>
      </c>
      <c r="F13" s="53">
        <v>1800</v>
      </c>
      <c r="G13" s="56">
        <f t="shared" si="3"/>
        <v>120</v>
      </c>
      <c r="H13" s="56">
        <f t="shared" si="4"/>
        <v>50</v>
      </c>
      <c r="I13" s="56">
        <f t="shared" si="5"/>
        <v>100</v>
      </c>
      <c r="J13" s="57">
        <f t="shared" si="0"/>
        <v>5.2935338014189611E-3</v>
      </c>
      <c r="K13" s="57">
        <f t="shared" si="1"/>
        <v>8.5337176666919513E-3</v>
      </c>
      <c r="L13" s="57">
        <f t="shared" si="2"/>
        <v>1.2674226608130517E-2</v>
      </c>
    </row>
    <row r="14" spans="1:17" x14ac:dyDescent="0.25">
      <c r="B14" s="103" t="s">
        <v>29</v>
      </c>
      <c r="C14" s="174">
        <v>0</v>
      </c>
      <c r="D14" s="71">
        <v>0</v>
      </c>
      <c r="E14" s="71">
        <v>0</v>
      </c>
      <c r="F14" s="71">
        <v>0</v>
      </c>
      <c r="G14" s="74" t="str">
        <f t="shared" si="3"/>
        <v>-</v>
      </c>
      <c r="H14" s="74" t="str">
        <f t="shared" si="4"/>
        <v>-</v>
      </c>
      <c r="I14" s="74" t="str">
        <f t="shared" si="5"/>
        <v>-</v>
      </c>
      <c r="J14" s="75">
        <f t="shared" si="0"/>
        <v>0</v>
      </c>
      <c r="K14" s="75">
        <f t="shared" si="1"/>
        <v>0</v>
      </c>
      <c r="L14" s="75">
        <f t="shared" si="2"/>
        <v>0</v>
      </c>
    </row>
    <row r="15" spans="1:17" x14ac:dyDescent="0.25">
      <c r="B15" s="89" t="s">
        <v>30</v>
      </c>
      <c r="C15" s="172">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25">
      <c r="B16" s="103" t="s">
        <v>31</v>
      </c>
      <c r="C16" s="174">
        <v>10000</v>
      </c>
      <c r="D16" s="71">
        <v>1800</v>
      </c>
      <c r="E16" s="71">
        <v>430</v>
      </c>
      <c r="F16" s="71">
        <v>700</v>
      </c>
      <c r="G16" s="74">
        <f t="shared" si="3"/>
        <v>180</v>
      </c>
      <c r="H16" s="74">
        <f t="shared" si="4"/>
        <v>43</v>
      </c>
      <c r="I16" s="74">
        <f t="shared" si="5"/>
        <v>70</v>
      </c>
      <c r="J16" s="75">
        <f t="shared" si="0"/>
        <v>4.4112781678491341E-3</v>
      </c>
      <c r="K16" s="75">
        <f t="shared" si="1"/>
        <v>4.0772206629750432E-3</v>
      </c>
      <c r="L16" s="75">
        <f t="shared" si="2"/>
        <v>4.9288659031618675E-3</v>
      </c>
    </row>
    <row r="17" spans="2:12" x14ac:dyDescent="0.25">
      <c r="B17" s="89" t="s">
        <v>32</v>
      </c>
      <c r="C17" s="172">
        <v>0</v>
      </c>
      <c r="D17" s="53">
        <v>0</v>
      </c>
      <c r="E17" s="53">
        <v>0</v>
      </c>
      <c r="F17" s="53">
        <v>0</v>
      </c>
      <c r="G17" s="56" t="str">
        <f t="shared" si="3"/>
        <v>-</v>
      </c>
      <c r="H17" s="56" t="str">
        <f t="shared" si="4"/>
        <v>-</v>
      </c>
      <c r="I17" s="56" t="str">
        <f t="shared" si="5"/>
        <v>-</v>
      </c>
      <c r="J17" s="57">
        <f t="shared" si="0"/>
        <v>0</v>
      </c>
      <c r="K17" s="57">
        <f t="shared" si="1"/>
        <v>0</v>
      </c>
      <c r="L17" s="57">
        <f t="shared" si="2"/>
        <v>0</v>
      </c>
    </row>
    <row r="18" spans="2:12" x14ac:dyDescent="0.25">
      <c r="B18" s="103" t="s">
        <v>33</v>
      </c>
      <c r="C18" s="174">
        <v>8500</v>
      </c>
      <c r="D18" s="71">
        <v>170</v>
      </c>
      <c r="E18" s="71">
        <v>255</v>
      </c>
      <c r="F18" s="71">
        <v>552.5</v>
      </c>
      <c r="G18" s="74">
        <f t="shared" si="3"/>
        <v>20</v>
      </c>
      <c r="H18" s="74">
        <f t="shared" si="4"/>
        <v>30</v>
      </c>
      <c r="I18" s="74">
        <f t="shared" si="5"/>
        <v>65</v>
      </c>
      <c r="J18" s="75">
        <f t="shared" si="0"/>
        <v>4.1662071585241823E-4</v>
      </c>
      <c r="K18" s="75">
        <f t="shared" si="1"/>
        <v>2.4178866722293865E-3</v>
      </c>
      <c r="L18" s="75">
        <f t="shared" si="2"/>
        <v>3.8902834449956168E-3</v>
      </c>
    </row>
    <row r="19" spans="2:12" x14ac:dyDescent="0.25">
      <c r="B19" s="89" t="s">
        <v>26</v>
      </c>
      <c r="C19" s="172">
        <v>9000</v>
      </c>
      <c r="D19" s="53">
        <v>1350</v>
      </c>
      <c r="E19" s="53">
        <v>1800</v>
      </c>
      <c r="F19" s="53">
        <v>1800</v>
      </c>
      <c r="G19" s="56">
        <f t="shared" si="3"/>
        <v>150</v>
      </c>
      <c r="H19" s="56">
        <f t="shared" si="4"/>
        <v>200</v>
      </c>
      <c r="I19" s="56">
        <f t="shared" si="5"/>
        <v>200</v>
      </c>
      <c r="J19" s="57">
        <f t="shared" si="0"/>
        <v>3.3084586258868508E-3</v>
      </c>
      <c r="K19" s="57">
        <f t="shared" si="1"/>
        <v>1.7067435333383903E-2</v>
      </c>
      <c r="L19" s="57">
        <f t="shared" si="2"/>
        <v>1.2674226608130517E-2</v>
      </c>
    </row>
    <row r="20" spans="2:12" x14ac:dyDescent="0.25">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25">
      <c r="B21" s="89" t="s">
        <v>9</v>
      </c>
      <c r="C21" s="172">
        <v>5000</v>
      </c>
      <c r="D21" s="53">
        <v>300</v>
      </c>
      <c r="E21" s="53">
        <v>500</v>
      </c>
      <c r="F21" s="53">
        <v>500</v>
      </c>
      <c r="G21" s="56">
        <f t="shared" si="3"/>
        <v>60</v>
      </c>
      <c r="H21" s="56">
        <f t="shared" si="4"/>
        <v>100</v>
      </c>
      <c r="I21" s="56">
        <f t="shared" si="5"/>
        <v>100</v>
      </c>
      <c r="J21" s="57">
        <f t="shared" si="0"/>
        <v>7.3521302797485569E-4</v>
      </c>
      <c r="K21" s="57">
        <f t="shared" si="1"/>
        <v>4.7409542592733063E-3</v>
      </c>
      <c r="L21" s="57">
        <f t="shared" si="2"/>
        <v>3.5206185022584767E-3</v>
      </c>
    </row>
    <row r="22" spans="2:12" x14ac:dyDescent="0.25">
      <c r="B22" s="103" t="s">
        <v>35</v>
      </c>
      <c r="C22" s="174">
        <v>4000</v>
      </c>
      <c r="D22" s="71">
        <v>240</v>
      </c>
      <c r="E22" s="71">
        <v>200</v>
      </c>
      <c r="F22" s="71">
        <v>0</v>
      </c>
      <c r="G22" s="74">
        <f t="shared" si="3"/>
        <v>60</v>
      </c>
      <c r="H22" s="74">
        <f t="shared" si="4"/>
        <v>50</v>
      </c>
      <c r="I22" s="74">
        <f t="shared" si="5"/>
        <v>0</v>
      </c>
      <c r="J22" s="75">
        <f t="shared" si="0"/>
        <v>5.881704223798846E-4</v>
      </c>
      <c r="K22" s="75">
        <f t="shared" si="1"/>
        <v>1.8963817037093225E-3</v>
      </c>
      <c r="L22" s="75">
        <f t="shared" si="2"/>
        <v>0</v>
      </c>
    </row>
    <row r="23" spans="2:12" x14ac:dyDescent="0.25">
      <c r="B23" s="89" t="s">
        <v>36</v>
      </c>
      <c r="C23" s="172">
        <v>0</v>
      </c>
      <c r="D23" s="53">
        <v>0</v>
      </c>
      <c r="E23" s="53">
        <v>0</v>
      </c>
      <c r="F23" s="53">
        <v>0</v>
      </c>
      <c r="G23" s="56" t="str">
        <f t="shared" si="3"/>
        <v>-</v>
      </c>
      <c r="H23" s="56" t="str">
        <f t="shared" si="4"/>
        <v>-</v>
      </c>
      <c r="I23" s="56" t="str">
        <f t="shared" si="5"/>
        <v>-</v>
      </c>
      <c r="J23" s="57">
        <f t="shared" si="0"/>
        <v>0</v>
      </c>
      <c r="K23" s="57">
        <f t="shared" si="1"/>
        <v>0</v>
      </c>
      <c r="L23" s="57">
        <f t="shared" si="2"/>
        <v>0</v>
      </c>
    </row>
    <row r="24" spans="2:12" x14ac:dyDescent="0.25">
      <c r="B24" s="103" t="s">
        <v>37</v>
      </c>
      <c r="C24" s="174">
        <v>11000</v>
      </c>
      <c r="D24" s="71">
        <v>1705</v>
      </c>
      <c r="E24" s="71">
        <v>935</v>
      </c>
      <c r="F24" s="71">
        <v>2310</v>
      </c>
      <c r="G24" s="74">
        <f t="shared" si="3"/>
        <v>155</v>
      </c>
      <c r="H24" s="74">
        <f t="shared" si="4"/>
        <v>85</v>
      </c>
      <c r="I24" s="74">
        <f t="shared" si="5"/>
        <v>210</v>
      </c>
      <c r="J24" s="75">
        <f t="shared" si="0"/>
        <v>4.1784607089904299E-3</v>
      </c>
      <c r="K24" s="75">
        <f t="shared" si="1"/>
        <v>8.8655844648410833E-3</v>
      </c>
      <c r="L24" s="75">
        <f t="shared" si="2"/>
        <v>1.6265257480434163E-2</v>
      </c>
    </row>
    <row r="25" spans="2:12" x14ac:dyDescent="0.25">
      <c r="B25" s="89" t="s">
        <v>38</v>
      </c>
      <c r="C25" s="172">
        <v>18000</v>
      </c>
      <c r="D25" s="53">
        <v>2880</v>
      </c>
      <c r="E25" s="53">
        <v>1530</v>
      </c>
      <c r="F25" s="53">
        <v>1980</v>
      </c>
      <c r="G25" s="56">
        <f t="shared" si="3"/>
        <v>160</v>
      </c>
      <c r="H25" s="56">
        <f t="shared" si="4"/>
        <v>85</v>
      </c>
      <c r="I25" s="56">
        <f t="shared" si="5"/>
        <v>110</v>
      </c>
      <c r="J25" s="57">
        <f t="shared" si="0"/>
        <v>7.0580450685586152E-3</v>
      </c>
      <c r="K25" s="57">
        <f t="shared" si="1"/>
        <v>1.4507320033376318E-2</v>
      </c>
      <c r="L25" s="57">
        <f t="shared" si="2"/>
        <v>1.3941649268943567E-2</v>
      </c>
    </row>
    <row r="26" spans="2:12" x14ac:dyDescent="0.25">
      <c r="B26" s="103" t="s">
        <v>39</v>
      </c>
      <c r="C26" s="174">
        <v>2000</v>
      </c>
      <c r="D26" s="71">
        <v>0</v>
      </c>
      <c r="E26" s="71">
        <v>0</v>
      </c>
      <c r="F26" s="71">
        <v>0</v>
      </c>
      <c r="G26" s="74">
        <f t="shared" si="3"/>
        <v>0</v>
      </c>
      <c r="H26" s="74">
        <f t="shared" si="4"/>
        <v>0</v>
      </c>
      <c r="I26" s="74">
        <f t="shared" si="5"/>
        <v>0</v>
      </c>
      <c r="J26" s="75">
        <f t="shared" si="0"/>
        <v>0</v>
      </c>
      <c r="K26" s="75">
        <f t="shared" si="1"/>
        <v>0</v>
      </c>
      <c r="L26" s="75">
        <f t="shared" si="2"/>
        <v>0</v>
      </c>
    </row>
    <row r="27" spans="2:12" x14ac:dyDescent="0.25">
      <c r="B27" s="89" t="s">
        <v>40</v>
      </c>
      <c r="C27" s="172">
        <v>1000</v>
      </c>
      <c r="D27" s="53">
        <v>10</v>
      </c>
      <c r="E27" s="53">
        <v>0</v>
      </c>
      <c r="F27" s="53">
        <v>0</v>
      </c>
      <c r="G27" s="56">
        <f t="shared" si="3"/>
        <v>10</v>
      </c>
      <c r="H27" s="56">
        <f t="shared" si="4"/>
        <v>0</v>
      </c>
      <c r="I27" s="56">
        <f t="shared" si="5"/>
        <v>0</v>
      </c>
      <c r="J27" s="57">
        <f t="shared" si="0"/>
        <v>2.4507100932495192E-5</v>
      </c>
      <c r="K27" s="57">
        <f t="shared" si="1"/>
        <v>0</v>
      </c>
      <c r="L27" s="57">
        <f t="shared" si="2"/>
        <v>0</v>
      </c>
    </row>
    <row r="28" spans="2:12" x14ac:dyDescent="0.25">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25">
      <c r="B29" s="89" t="s">
        <v>42</v>
      </c>
      <c r="C29" s="172">
        <v>0</v>
      </c>
      <c r="D29" s="53">
        <v>0</v>
      </c>
      <c r="E29" s="53">
        <v>0</v>
      </c>
      <c r="F29" s="53">
        <v>0</v>
      </c>
      <c r="G29" s="56" t="str">
        <f t="shared" si="3"/>
        <v>-</v>
      </c>
      <c r="H29" s="56" t="str">
        <f t="shared" si="4"/>
        <v>-</v>
      </c>
      <c r="I29" s="56" t="str">
        <f t="shared" si="5"/>
        <v>-</v>
      </c>
      <c r="J29" s="57">
        <f t="shared" si="0"/>
        <v>0</v>
      </c>
      <c r="K29" s="57">
        <f t="shared" si="1"/>
        <v>0</v>
      </c>
      <c r="L29" s="57">
        <f t="shared" si="2"/>
        <v>0</v>
      </c>
    </row>
    <row r="30" spans="2:12" x14ac:dyDescent="0.25">
      <c r="B30" s="103" t="s">
        <v>10</v>
      </c>
      <c r="C30" s="174">
        <v>4159000</v>
      </c>
      <c r="D30" s="71">
        <v>356230</v>
      </c>
      <c r="E30" s="71">
        <v>83605</v>
      </c>
      <c r="F30" s="71">
        <v>109050</v>
      </c>
      <c r="G30" s="74">
        <f t="shared" si="3"/>
        <v>85.652801154123594</v>
      </c>
      <c r="H30" s="74">
        <f t="shared" si="4"/>
        <v>20.102188025967781</v>
      </c>
      <c r="I30" s="74">
        <f t="shared" si="5"/>
        <v>26.220245251262323</v>
      </c>
      <c r="J30" s="75">
        <f t="shared" si="0"/>
        <v>0.8730164565182762</v>
      </c>
      <c r="K30" s="75">
        <f t="shared" si="1"/>
        <v>0.79273496169308955</v>
      </c>
      <c r="L30" s="75">
        <f t="shared" si="2"/>
        <v>0.76784689534257378</v>
      </c>
    </row>
    <row r="31" spans="2:12" x14ac:dyDescent="0.25">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167"/>
      <c r="D32" s="167"/>
      <c r="E32" s="168"/>
      <c r="F32" s="186"/>
      <c r="G32" s="100"/>
      <c r="H32" s="84"/>
      <c r="I32" s="101"/>
      <c r="J32" s="85"/>
      <c r="K32" s="85"/>
      <c r="L32" s="85"/>
    </row>
    <row r="33" spans="1:17" s="12" customFormat="1" ht="24.95" customHeight="1" thickTop="1" thickBot="1" x14ac:dyDescent="0.3">
      <c r="A33" s="13"/>
      <c r="B33" s="90" t="s">
        <v>13</v>
      </c>
      <c r="C33" s="63">
        <f t="shared" ref="C33" si="6">SUM(C11:C31)</f>
        <v>4488500</v>
      </c>
      <c r="D33" s="63">
        <f>SUM(D11:D31)</f>
        <v>408045</v>
      </c>
      <c r="E33" s="62">
        <f t="shared" ref="E33:F33" si="7">SUM(E11:E31)</f>
        <v>105464</v>
      </c>
      <c r="F33" s="102">
        <f t="shared" si="7"/>
        <v>142020.5</v>
      </c>
      <c r="G33" s="94"/>
      <c r="H33" s="94"/>
      <c r="I33" s="94"/>
      <c r="J33" s="95">
        <f t="shared" ref="J33:L33" si="8">SUM(J11:J31)</f>
        <v>1</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262</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C27D2A26-FA6F-433D-AEEE-600889833F73}"/>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8C9C-8542-4031-9AC6-780E731FF36D}">
  <sheetPr codeName="Feuil39">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3" width="10" style="7" bestFit="1" customWidth="1"/>
    <col min="14" max="17" width="8.7109375" style="7"/>
  </cols>
  <sheetData>
    <row r="1" spans="1:17" x14ac:dyDescent="0.25">
      <c r="A1" s="545"/>
      <c r="B1" s="546" t="s">
        <v>432</v>
      </c>
      <c r="D1"/>
      <c r="F1"/>
      <c r="L1"/>
      <c r="M1"/>
      <c r="N1"/>
      <c r="O1"/>
      <c r="P1"/>
      <c r="Q1"/>
    </row>
    <row r="2" spans="1:17" x14ac:dyDescent="0.25">
      <c r="A2" s="21"/>
      <c r="D2"/>
      <c r="F2"/>
      <c r="L2"/>
      <c r="M2"/>
      <c r="N2"/>
      <c r="O2"/>
      <c r="P2"/>
      <c r="Q2"/>
    </row>
    <row r="3" spans="1:17" x14ac:dyDescent="0.25">
      <c r="A3" s="21"/>
      <c r="D3"/>
      <c r="F3"/>
      <c r="L3"/>
      <c r="M3"/>
      <c r="N3"/>
      <c r="O3"/>
      <c r="P3"/>
      <c r="Q3"/>
    </row>
    <row r="4" spans="1:17" x14ac:dyDescent="0.25">
      <c r="A4" s="21"/>
      <c r="D4"/>
      <c r="F4"/>
      <c r="L4"/>
      <c r="M4"/>
      <c r="N4"/>
      <c r="O4"/>
      <c r="P4"/>
      <c r="Q4"/>
    </row>
    <row r="5" spans="1:17" ht="15.75" thickBot="1" x14ac:dyDescent="0.3">
      <c r="A5" s="21"/>
      <c r="D5"/>
      <c r="F5"/>
      <c r="L5"/>
      <c r="M5"/>
      <c r="N5"/>
      <c r="O5"/>
      <c r="P5"/>
      <c r="Q5"/>
    </row>
    <row r="6" spans="1:17" s="2" customFormat="1" ht="30" customHeight="1" thickTop="1" x14ac:dyDescent="0.3">
      <c r="A6" s="7"/>
      <c r="B6" s="38" t="s">
        <v>387</v>
      </c>
      <c r="C6" s="594" t="s">
        <v>400</v>
      </c>
      <c r="D6" s="592" t="s">
        <v>389</v>
      </c>
      <c r="E6" s="592"/>
      <c r="F6" s="592"/>
      <c r="G6" s="589" t="s">
        <v>392</v>
      </c>
      <c r="H6" s="589"/>
      <c r="I6" s="589"/>
      <c r="J6" s="589" t="s">
        <v>399</v>
      </c>
      <c r="K6" s="589"/>
      <c r="L6" s="589"/>
      <c r="M6" s="14"/>
      <c r="N6" s="14"/>
      <c r="O6" s="14"/>
      <c r="P6" s="14"/>
      <c r="Q6" s="14"/>
    </row>
    <row r="7" spans="1:17" s="2" customFormat="1" ht="25.15" customHeight="1" thickBot="1" x14ac:dyDescent="0.3">
      <c r="A7" s="14"/>
      <c r="B7" s="583" t="s">
        <v>297</v>
      </c>
      <c r="C7" s="595"/>
      <c r="D7" s="593" t="s">
        <v>14</v>
      </c>
      <c r="E7" s="593"/>
      <c r="F7" s="593"/>
      <c r="G7" s="591" t="s">
        <v>415</v>
      </c>
      <c r="H7" s="591"/>
      <c r="I7" s="591"/>
      <c r="J7" s="591" t="s">
        <v>0</v>
      </c>
      <c r="K7" s="591"/>
      <c r="L7" s="591"/>
      <c r="M7" s="14"/>
      <c r="N7" s="14"/>
      <c r="O7" s="14"/>
      <c r="P7" s="14"/>
      <c r="Q7" s="14"/>
    </row>
    <row r="8" spans="1:17" s="1" customFormat="1" ht="34.15" customHeight="1" thickTop="1" thickBot="1" x14ac:dyDescent="0.3">
      <c r="A8" s="14"/>
      <c r="B8" s="584"/>
      <c r="C8" s="162" t="s">
        <v>405</v>
      </c>
      <c r="D8" s="41" t="s">
        <v>388</v>
      </c>
      <c r="E8" s="41" t="s">
        <v>394</v>
      </c>
      <c r="F8" s="41" t="s">
        <v>395</v>
      </c>
      <c r="G8" s="42" t="s">
        <v>388</v>
      </c>
      <c r="H8" s="42" t="s">
        <v>394</v>
      </c>
      <c r="I8" s="42" t="s">
        <v>395</v>
      </c>
      <c r="J8" s="41" t="s">
        <v>388</v>
      </c>
      <c r="K8" s="41" t="s">
        <v>394</v>
      </c>
      <c r="L8" s="41" t="s">
        <v>395</v>
      </c>
      <c r="M8" s="8"/>
      <c r="N8" s="8"/>
      <c r="O8" s="8"/>
      <c r="P8" s="8"/>
      <c r="Q8" s="8"/>
    </row>
    <row r="9" spans="1:17" ht="34.15" customHeight="1" thickTop="1" thickBot="1" x14ac:dyDescent="0.3">
      <c r="A9" s="8"/>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82"/>
      <c r="C10" s="81"/>
      <c r="D10" s="81"/>
      <c r="E10" s="81"/>
      <c r="F10" s="81"/>
      <c r="G10" s="81"/>
      <c r="H10" s="81"/>
      <c r="I10" s="81"/>
      <c r="J10" s="81"/>
      <c r="K10" s="81"/>
      <c r="L10" s="81"/>
    </row>
    <row r="11" spans="1:17" ht="14.45" customHeight="1" x14ac:dyDescent="0.25">
      <c r="B11" s="59" t="s">
        <v>3</v>
      </c>
      <c r="C11" s="53">
        <v>10919180</v>
      </c>
      <c r="D11" s="53">
        <v>426944.4626446836</v>
      </c>
      <c r="E11" s="53">
        <v>271326.25970773818</v>
      </c>
      <c r="F11" s="53">
        <v>38130.917525912635</v>
      </c>
      <c r="G11" s="56">
        <f t="shared" ref="G11:G21" si="0">IFERROR(D11*1000/C11,"-")</f>
        <v>39.100414375867381</v>
      </c>
      <c r="H11" s="56">
        <f t="shared" ref="H11:H21" si="1">IFERROR(E11*1000/C11,"-")</f>
        <v>24.848592999450339</v>
      </c>
      <c r="I11" s="56">
        <f t="shared" ref="I11:I21" si="2">IFERROR(F11*1000/C11,"-")</f>
        <v>3.4921044919043953</v>
      </c>
      <c r="J11" s="57">
        <f t="shared" ref="J11:J21" si="3">D11/D$23</f>
        <v>0.33817383179776911</v>
      </c>
      <c r="K11" s="57">
        <f t="shared" ref="K11:K21" si="4">E11/E$23</f>
        <v>0.283487890197198</v>
      </c>
      <c r="L11" s="57">
        <f t="shared" ref="L11:L21" si="5">F11/F$23</f>
        <v>0.13967369057110859</v>
      </c>
    </row>
    <row r="12" spans="1:17" x14ac:dyDescent="0.25">
      <c r="B12" s="70" t="s">
        <v>16</v>
      </c>
      <c r="C12" s="71">
        <v>61151</v>
      </c>
      <c r="D12" s="71">
        <v>6005.0600476230575</v>
      </c>
      <c r="E12" s="71">
        <v>1606.2955534533344</v>
      </c>
      <c r="F12" s="71">
        <v>0</v>
      </c>
      <c r="G12" s="74">
        <f t="shared" si="0"/>
        <v>98.200520802980449</v>
      </c>
      <c r="H12" s="74">
        <f t="shared" si="1"/>
        <v>26.267690691130717</v>
      </c>
      <c r="I12" s="74">
        <f t="shared" si="2"/>
        <v>0</v>
      </c>
      <c r="J12" s="75">
        <f t="shared" si="3"/>
        <v>4.7564832060380648E-3</v>
      </c>
      <c r="K12" s="75">
        <f t="shared" si="4"/>
        <v>1.6782943824609072E-3</v>
      </c>
      <c r="L12" s="75">
        <f t="shared" si="5"/>
        <v>0</v>
      </c>
    </row>
    <row r="13" spans="1:17" x14ac:dyDescent="0.25">
      <c r="B13" s="59" t="s">
        <v>51</v>
      </c>
      <c r="C13" s="53">
        <v>52783</v>
      </c>
      <c r="D13" s="53">
        <v>13485.532423492512</v>
      </c>
      <c r="E13" s="53">
        <v>5055.2471757286066</v>
      </c>
      <c r="F13" s="53">
        <v>0</v>
      </c>
      <c r="G13" s="56">
        <f t="shared" si="0"/>
        <v>255.49007111176917</v>
      </c>
      <c r="H13" s="56">
        <f t="shared" si="1"/>
        <v>95.774154097505004</v>
      </c>
      <c r="I13" s="56">
        <f t="shared" si="2"/>
        <v>0</v>
      </c>
      <c r="J13" s="57">
        <f t="shared" si="3"/>
        <v>1.0681609840390106E-2</v>
      </c>
      <c r="K13" s="57">
        <f t="shared" si="4"/>
        <v>5.2818380270908023E-3</v>
      </c>
      <c r="L13" s="57">
        <f t="shared" si="5"/>
        <v>0</v>
      </c>
    </row>
    <row r="14" spans="1:17" x14ac:dyDescent="0.25">
      <c r="B14" s="70" t="s">
        <v>5</v>
      </c>
      <c r="C14" s="71">
        <v>5603105</v>
      </c>
      <c r="D14" s="71">
        <v>190840.96711139817</v>
      </c>
      <c r="E14" s="71">
        <v>147550.2207677243</v>
      </c>
      <c r="F14" s="71">
        <v>14727.283139418323</v>
      </c>
      <c r="G14" s="74">
        <f t="shared" si="0"/>
        <v>34.059859151559387</v>
      </c>
      <c r="H14" s="74">
        <f t="shared" si="1"/>
        <v>26.333652638621675</v>
      </c>
      <c r="I14" s="74">
        <f t="shared" si="2"/>
        <v>2.6284146271430435</v>
      </c>
      <c r="J14" s="75">
        <f t="shared" si="3"/>
        <v>0.15116116206843416</v>
      </c>
      <c r="K14" s="75">
        <f t="shared" si="4"/>
        <v>0.1541638499297088</v>
      </c>
      <c r="L14" s="75">
        <f t="shared" si="5"/>
        <v>5.3946092085781418E-2</v>
      </c>
    </row>
    <row r="15" spans="1:17" x14ac:dyDescent="0.25">
      <c r="B15" s="59" t="s">
        <v>6</v>
      </c>
      <c r="C15" s="53">
        <v>32073</v>
      </c>
      <c r="D15" s="53">
        <v>0</v>
      </c>
      <c r="E15" s="53">
        <v>0</v>
      </c>
      <c r="F15" s="53">
        <v>0</v>
      </c>
      <c r="G15" s="56">
        <f t="shared" si="0"/>
        <v>0</v>
      </c>
      <c r="H15" s="56">
        <f t="shared" si="1"/>
        <v>0</v>
      </c>
      <c r="I15" s="56">
        <f t="shared" si="2"/>
        <v>0</v>
      </c>
      <c r="J15" s="57">
        <f t="shared" si="3"/>
        <v>0</v>
      </c>
      <c r="K15" s="57">
        <f t="shared" si="4"/>
        <v>0</v>
      </c>
      <c r="L15" s="57">
        <f t="shared" si="5"/>
        <v>0</v>
      </c>
    </row>
    <row r="16" spans="1:17" x14ac:dyDescent="0.25">
      <c r="B16" s="70" t="s">
        <v>300</v>
      </c>
      <c r="C16" s="71">
        <v>3241027</v>
      </c>
      <c r="D16" s="71">
        <v>127926.50320743686</v>
      </c>
      <c r="E16" s="71">
        <v>64160.819679982778</v>
      </c>
      <c r="F16" s="71">
        <v>18128.734160177773</v>
      </c>
      <c r="G16" s="74">
        <f t="shared" si="0"/>
        <v>39.47097731905253</v>
      </c>
      <c r="H16" s="74">
        <f t="shared" si="1"/>
        <v>19.79644713850973</v>
      </c>
      <c r="I16" s="74">
        <f t="shared" si="2"/>
        <v>5.5935153147992214</v>
      </c>
      <c r="J16" s="75">
        <f t="shared" si="3"/>
        <v>0.10132792333262323</v>
      </c>
      <c r="K16" s="75">
        <f t="shared" si="4"/>
        <v>6.7036693845975104E-2</v>
      </c>
      <c r="L16" s="75">
        <f t="shared" si="5"/>
        <v>6.6405619634350835E-2</v>
      </c>
    </row>
    <row r="17" spans="1:17" x14ac:dyDescent="0.25">
      <c r="B17" s="59" t="s">
        <v>25</v>
      </c>
      <c r="C17" s="53">
        <v>485101</v>
      </c>
      <c r="D17" s="53">
        <v>88737.141862431774</v>
      </c>
      <c r="E17" s="53">
        <v>28066.840067392819</v>
      </c>
      <c r="F17" s="53">
        <v>16162.63176051628</v>
      </c>
      <c r="G17" s="56">
        <f t="shared" si="0"/>
        <v>182.92508542021514</v>
      </c>
      <c r="H17" s="56">
        <f t="shared" si="1"/>
        <v>57.857724612797789</v>
      </c>
      <c r="I17" s="56">
        <f t="shared" si="2"/>
        <v>33.318075535849815</v>
      </c>
      <c r="J17" s="57">
        <f t="shared" si="3"/>
        <v>7.0286845039549906E-2</v>
      </c>
      <c r="K17" s="57">
        <f t="shared" si="4"/>
        <v>2.9324877303722515E-2</v>
      </c>
      <c r="L17" s="57">
        <f t="shared" si="5"/>
        <v>5.9203779342550493E-2</v>
      </c>
    </row>
    <row r="18" spans="1:17" x14ac:dyDescent="0.25">
      <c r="B18" s="70" t="s">
        <v>55</v>
      </c>
      <c r="C18" s="71">
        <v>442958</v>
      </c>
      <c r="D18" s="71">
        <v>63170.578880926565</v>
      </c>
      <c r="E18" s="71">
        <v>23502.13077275594</v>
      </c>
      <c r="F18" s="71">
        <v>52519.726709539878</v>
      </c>
      <c r="G18" s="74">
        <f t="shared" si="0"/>
        <v>142.61076418289446</v>
      </c>
      <c r="H18" s="74">
        <f t="shared" si="1"/>
        <v>53.057244191900679</v>
      </c>
      <c r="I18" s="74">
        <f t="shared" si="2"/>
        <v>118.56592884548846</v>
      </c>
      <c r="J18" s="75">
        <f t="shared" si="3"/>
        <v>5.0036102083902217E-2</v>
      </c>
      <c r="K18" s="75">
        <f t="shared" si="4"/>
        <v>2.4555564489349011E-2</v>
      </c>
      <c r="L18" s="75">
        <f t="shared" si="5"/>
        <v>0.19237995131699592</v>
      </c>
    </row>
    <row r="19" spans="1:17" x14ac:dyDescent="0.25">
      <c r="B19" s="59" t="s">
        <v>45</v>
      </c>
      <c r="C19" s="53">
        <v>272884</v>
      </c>
      <c r="D19" s="53">
        <v>31862.029108468938</v>
      </c>
      <c r="E19" s="53">
        <v>23345.019774833065</v>
      </c>
      <c r="F19" s="53">
        <v>30313.933724773629</v>
      </c>
      <c r="G19" s="56">
        <f t="shared" si="0"/>
        <v>116.76034178797195</v>
      </c>
      <c r="H19" s="56">
        <f t="shared" si="1"/>
        <v>85.54924354243218</v>
      </c>
      <c r="I19" s="56">
        <f t="shared" si="2"/>
        <v>111.08725218324867</v>
      </c>
      <c r="J19" s="57">
        <f t="shared" si="3"/>
        <v>2.5237250778985292E-2</v>
      </c>
      <c r="K19" s="57">
        <f t="shared" si="4"/>
        <v>2.439141132048173E-2</v>
      </c>
      <c r="L19" s="57">
        <f t="shared" si="5"/>
        <v>0.1110400502738961</v>
      </c>
    </row>
    <row r="20" spans="1:17" x14ac:dyDescent="0.25">
      <c r="B20" s="70" t="s">
        <v>10</v>
      </c>
      <c r="C20" s="71">
        <v>327589000</v>
      </c>
      <c r="D20" s="71">
        <v>81388.536657891193</v>
      </c>
      <c r="E20" s="71">
        <v>320351.55529174861</v>
      </c>
      <c r="F20" s="71">
        <v>87931.058961236107</v>
      </c>
      <c r="G20" s="74">
        <f t="shared" si="0"/>
        <v>0.24844709882777261</v>
      </c>
      <c r="H20" s="74">
        <f t="shared" si="1"/>
        <v>0.97790693610514567</v>
      </c>
      <c r="I20" s="74">
        <f t="shared" si="2"/>
        <v>0.26841883873156946</v>
      </c>
      <c r="J20" s="75">
        <f t="shared" si="3"/>
        <v>6.446616764981479E-2</v>
      </c>
      <c r="K20" s="75">
        <f t="shared" si="4"/>
        <v>0.33471064182608778</v>
      </c>
      <c r="L20" s="75">
        <f t="shared" si="5"/>
        <v>0.32209179106679897</v>
      </c>
    </row>
    <row r="21" spans="1:17" x14ac:dyDescent="0.25">
      <c r="B21" s="59" t="s">
        <v>12</v>
      </c>
      <c r="C21" s="83">
        <v>2166894</v>
      </c>
      <c r="D21" s="83">
        <v>232139.18805564742</v>
      </c>
      <c r="E21" s="83">
        <v>72135.611208642338</v>
      </c>
      <c r="F21" s="83">
        <v>15085.714018425348</v>
      </c>
      <c r="G21" s="56">
        <f t="shared" si="0"/>
        <v>107.12992331680618</v>
      </c>
      <c r="H21" s="56">
        <f t="shared" si="1"/>
        <v>33.289866144187179</v>
      </c>
      <c r="I21" s="56">
        <f t="shared" si="2"/>
        <v>6.9619067745931948</v>
      </c>
      <c r="J21" s="57">
        <f t="shared" si="3"/>
        <v>0.18387262420249298</v>
      </c>
      <c r="K21" s="57">
        <f t="shared" si="4"/>
        <v>7.5368938677925337E-2</v>
      </c>
      <c r="L21" s="57">
        <f t="shared" si="5"/>
        <v>5.5259025708517769E-2</v>
      </c>
    </row>
    <row r="22" spans="1:17" ht="6" customHeight="1" thickBot="1" x14ac:dyDescent="0.3">
      <c r="B22" s="59"/>
      <c r="C22" s="83"/>
      <c r="D22" s="83"/>
      <c r="E22" s="83"/>
      <c r="F22" s="83"/>
      <c r="G22" s="84"/>
      <c r="H22" s="84"/>
      <c r="I22" s="84"/>
      <c r="J22" s="85"/>
      <c r="K22" s="85"/>
      <c r="L22" s="85"/>
    </row>
    <row r="23" spans="1:17" s="12" customFormat="1" ht="24.95" customHeight="1" thickTop="1" thickBot="1" x14ac:dyDescent="0.3">
      <c r="A23" s="7"/>
      <c r="B23" s="61" t="s">
        <v>13</v>
      </c>
      <c r="C23" s="62">
        <f t="shared" ref="C23:F23" si="6">SUM(C11:C21)</f>
        <v>350866156</v>
      </c>
      <c r="D23" s="160">
        <f t="shared" si="6"/>
        <v>1262500.0000000002</v>
      </c>
      <c r="E23" s="62">
        <f t="shared" si="6"/>
        <v>957100</v>
      </c>
      <c r="F23" s="102">
        <f t="shared" si="6"/>
        <v>272999.99999999994</v>
      </c>
      <c r="G23" s="86"/>
      <c r="H23" s="86"/>
      <c r="I23" s="86"/>
      <c r="J23" s="64">
        <f>SUM(J11:J21)</f>
        <v>0.99999999999999989</v>
      </c>
      <c r="K23" s="64">
        <f>SUM(K11:K21)</f>
        <v>1</v>
      </c>
      <c r="L23" s="64">
        <f>SUM(L11:L21)</f>
        <v>1</v>
      </c>
      <c r="M23" s="13"/>
      <c r="N23" s="13"/>
      <c r="O23" s="13"/>
      <c r="P23" s="13"/>
      <c r="Q23" s="13"/>
    </row>
    <row r="24" spans="1:17" ht="15.75" thickTop="1" x14ac:dyDescent="0.25">
      <c r="A24" s="13"/>
      <c r="B24" s="15"/>
    </row>
    <row r="26" spans="1:17" x14ac:dyDescent="0.25">
      <c r="B26" s="66" t="s">
        <v>396</v>
      </c>
    </row>
    <row r="27" spans="1:17" s="20" customFormat="1" x14ac:dyDescent="0.25">
      <c r="A27" s="7"/>
      <c r="B27" s="78" t="s">
        <v>373</v>
      </c>
      <c r="C27" s="69"/>
      <c r="D27" s="69"/>
      <c r="E27" s="69"/>
      <c r="F27" s="69"/>
      <c r="G27" s="69"/>
      <c r="H27" s="69"/>
      <c r="I27" s="69"/>
      <c r="J27" s="69"/>
      <c r="K27" s="69"/>
      <c r="L27" s="69"/>
    </row>
    <row r="28" spans="1:17" s="20" customFormat="1" x14ac:dyDescent="0.25">
      <c r="A28" s="77"/>
      <c r="B28" s="78"/>
      <c r="C28" s="69"/>
      <c r="D28" s="69"/>
      <c r="E28" s="69"/>
      <c r="F28" s="69"/>
      <c r="G28" s="69"/>
      <c r="H28" s="69"/>
      <c r="I28" s="69"/>
      <c r="J28" s="69"/>
      <c r="K28" s="69"/>
      <c r="L28" s="69"/>
    </row>
    <row r="29" spans="1:17" x14ac:dyDescent="0.25">
      <c r="A29" s="77"/>
      <c r="B29" s="77" t="s">
        <v>397</v>
      </c>
      <c r="C29" s="69"/>
      <c r="D29" s="69"/>
      <c r="E29" s="69"/>
      <c r="F29" s="69"/>
      <c r="G29" s="69"/>
      <c r="H29" s="69"/>
      <c r="I29" s="69"/>
      <c r="J29" s="69"/>
      <c r="K29" s="68"/>
      <c r="L29" s="68"/>
      <c r="M29"/>
      <c r="N29"/>
      <c r="O29"/>
      <c r="P29"/>
      <c r="Q29"/>
    </row>
    <row r="30" spans="1:17" x14ac:dyDescent="0.25">
      <c r="A30" s="68"/>
      <c r="B30" s="68" t="s">
        <v>103</v>
      </c>
      <c r="C30" s="67"/>
      <c r="D30" s="67"/>
      <c r="E30" s="67"/>
      <c r="F30" s="67"/>
      <c r="G30" s="67"/>
      <c r="H30" s="68"/>
      <c r="I30" s="68"/>
      <c r="J30" s="68"/>
      <c r="K30" s="68"/>
      <c r="L30" s="68"/>
      <c r="M30"/>
      <c r="N30"/>
      <c r="O30"/>
      <c r="P30"/>
      <c r="Q30"/>
    </row>
    <row r="31" spans="1:17" x14ac:dyDescent="0.25">
      <c r="A31" s="79"/>
      <c r="B31" s="80" t="s">
        <v>302</v>
      </c>
      <c r="C31" s="67"/>
      <c r="D31" s="67"/>
      <c r="E31" s="67"/>
      <c r="F31" s="67"/>
      <c r="G31" s="67"/>
      <c r="H31" s="68"/>
      <c r="I31" s="68"/>
      <c r="J31" s="68"/>
      <c r="K31" s="68"/>
      <c r="L31" s="68"/>
      <c r="M31"/>
      <c r="N31"/>
      <c r="O31"/>
      <c r="P31"/>
      <c r="Q31"/>
    </row>
    <row r="32" spans="1:17" x14ac:dyDescent="0.25">
      <c r="A32" s="79"/>
      <c r="B32" s="68" t="s">
        <v>306</v>
      </c>
      <c r="C32" s="67"/>
      <c r="D32" s="67"/>
      <c r="E32" s="67"/>
      <c r="F32" s="67"/>
      <c r="G32" s="67"/>
      <c r="H32" s="68"/>
      <c r="I32" s="68"/>
      <c r="J32" s="68"/>
      <c r="K32" s="68"/>
      <c r="L32" s="68"/>
      <c r="M32"/>
      <c r="N32"/>
      <c r="O32"/>
      <c r="P32"/>
      <c r="Q32"/>
    </row>
    <row r="33" spans="1:12" x14ac:dyDescent="0.25">
      <c r="A33" s="79"/>
      <c r="B33" s="69" t="s">
        <v>382</v>
      </c>
      <c r="C33" s="67"/>
      <c r="D33" s="67"/>
      <c r="E33" s="67"/>
      <c r="F33" s="67"/>
      <c r="G33" s="67"/>
      <c r="H33" s="67"/>
      <c r="I33" s="67"/>
      <c r="J33" s="67"/>
      <c r="K33" s="67"/>
      <c r="L33" s="67"/>
    </row>
    <row r="34" spans="1:12" x14ac:dyDescent="0.25">
      <c r="A34" s="67"/>
      <c r="B34" s="67"/>
      <c r="C34" s="67"/>
      <c r="D34" s="67"/>
      <c r="E34" s="67"/>
      <c r="F34" s="67"/>
      <c r="G34" s="67"/>
      <c r="H34" s="67"/>
      <c r="I34" s="67"/>
      <c r="J34" s="67"/>
      <c r="K34" s="67"/>
      <c r="L34" s="67"/>
    </row>
    <row r="35" spans="1:12" x14ac:dyDescent="0.25">
      <c r="A35" s="67"/>
      <c r="B35" s="66" t="s">
        <v>398</v>
      </c>
      <c r="C35" s="67"/>
      <c r="D35" s="67"/>
      <c r="E35" s="67"/>
      <c r="F35" s="67"/>
      <c r="G35" s="67"/>
      <c r="H35" s="67"/>
      <c r="I35" s="67"/>
      <c r="J35" s="67"/>
      <c r="K35" s="67"/>
      <c r="L35" s="67"/>
    </row>
    <row r="36" spans="1:12" x14ac:dyDescent="0.25">
      <c r="A36" s="67"/>
    </row>
  </sheetData>
  <mergeCells count="8">
    <mergeCell ref="J6:L6"/>
    <mergeCell ref="J7:L7"/>
    <mergeCell ref="B7:B8"/>
    <mergeCell ref="D6:F6"/>
    <mergeCell ref="D7:F7"/>
    <mergeCell ref="G6:I6"/>
    <mergeCell ref="G7:I7"/>
    <mergeCell ref="C6:C7"/>
  </mergeCells>
  <hyperlinks>
    <hyperlink ref="B1" location="Start!A1" display="Back to home page" xr:uid="{CA8657C1-EB7E-46A8-89CC-AC635E6E3406}"/>
  </hyperlink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0630-3CDE-4AA0-8D9A-78EC18CF7284}">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263</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1915000</v>
      </c>
      <c r="D11" s="53">
        <v>199160</v>
      </c>
      <c r="E11" s="53">
        <v>55535</v>
      </c>
      <c r="F11" s="53">
        <v>3830</v>
      </c>
      <c r="G11" s="56">
        <f>IFERROR(D11*1000/C11,"-")</f>
        <v>104</v>
      </c>
      <c r="H11" s="56">
        <f>IFERROR(E11*1000/C11,"-")</f>
        <v>29</v>
      </c>
      <c r="I11" s="56">
        <f>IFERROR(F11*1000/C11,"-")</f>
        <v>2</v>
      </c>
      <c r="J11" s="57">
        <f t="shared" ref="J11:J30" si="0">D11/$D$33</f>
        <v>0.33227003363408253</v>
      </c>
      <c r="K11" s="57">
        <f t="shared" ref="K11:K31" si="1">E11/$E$33</f>
        <v>0.33638208304309641</v>
      </c>
      <c r="L11" s="57">
        <f t="shared" ref="L11:L31" si="2">F11/$F$33</f>
        <v>3.3385634588563459E-2</v>
      </c>
    </row>
    <row r="12" spans="1:17" x14ac:dyDescent="0.25">
      <c r="B12" s="103" t="s">
        <v>27</v>
      </c>
      <c r="C12" s="71">
        <v>250000</v>
      </c>
      <c r="D12" s="71">
        <v>15000</v>
      </c>
      <c r="E12" s="71">
        <v>1250</v>
      </c>
      <c r="F12" s="71">
        <v>250</v>
      </c>
      <c r="G12" s="74">
        <f t="shared" ref="G12:G31" si="3">IFERROR(D12*1000/C12,"-")</f>
        <v>60</v>
      </c>
      <c r="H12" s="74">
        <f t="shared" ref="H12:H31" si="4">IFERROR(E12*1000/C12,"-")</f>
        <v>5</v>
      </c>
      <c r="I12" s="74">
        <f t="shared" ref="I12:I31" si="5">IFERROR(F12*1000/C12,"-")</f>
        <v>1</v>
      </c>
      <c r="J12" s="75">
        <f t="shared" si="0"/>
        <v>2.5025359030484223E-2</v>
      </c>
      <c r="K12" s="75">
        <f t="shared" si="1"/>
        <v>7.5713982858354283E-3</v>
      </c>
      <c r="L12" s="75">
        <f t="shared" si="2"/>
        <v>2.1792189679218968E-3</v>
      </c>
    </row>
    <row r="13" spans="1:17" x14ac:dyDescent="0.25">
      <c r="B13" s="89" t="s">
        <v>28</v>
      </c>
      <c r="C13" s="53">
        <v>415000</v>
      </c>
      <c r="D13" s="53">
        <v>37350</v>
      </c>
      <c r="E13" s="53">
        <v>10790</v>
      </c>
      <c r="F13" s="53">
        <v>14525</v>
      </c>
      <c r="G13" s="56">
        <f t="shared" si="3"/>
        <v>90</v>
      </c>
      <c r="H13" s="56">
        <f t="shared" si="4"/>
        <v>26</v>
      </c>
      <c r="I13" s="56">
        <f t="shared" si="5"/>
        <v>35</v>
      </c>
      <c r="J13" s="57">
        <f t="shared" si="0"/>
        <v>6.231314398590572E-2</v>
      </c>
      <c r="K13" s="57">
        <f t="shared" si="1"/>
        <v>6.5356310003331419E-2</v>
      </c>
      <c r="L13" s="57">
        <f t="shared" si="2"/>
        <v>0.1266126220362622</v>
      </c>
    </row>
    <row r="14" spans="1:17" x14ac:dyDescent="0.25">
      <c r="B14" s="103" t="s">
        <v>29</v>
      </c>
      <c r="C14" s="71">
        <v>293000</v>
      </c>
      <c r="D14" s="71">
        <v>56842</v>
      </c>
      <c r="E14" s="71">
        <v>14650</v>
      </c>
      <c r="F14" s="71">
        <v>13771</v>
      </c>
      <c r="G14" s="74">
        <f t="shared" si="3"/>
        <v>194</v>
      </c>
      <c r="H14" s="74">
        <f t="shared" si="4"/>
        <v>50</v>
      </c>
      <c r="I14" s="74">
        <f t="shared" si="5"/>
        <v>47</v>
      </c>
      <c r="J14" s="75">
        <f t="shared" si="0"/>
        <v>9.4832763867385622E-2</v>
      </c>
      <c r="K14" s="75">
        <f t="shared" si="1"/>
        <v>8.8736787909991219E-2</v>
      </c>
      <c r="L14" s="75">
        <f t="shared" si="2"/>
        <v>0.12004009762900976</v>
      </c>
    </row>
    <row r="15" spans="1:17" x14ac:dyDescent="0.25">
      <c r="B15" s="89" t="s">
        <v>30</v>
      </c>
      <c r="C15" s="53">
        <v>38000</v>
      </c>
      <c r="D15" s="53">
        <v>1520</v>
      </c>
      <c r="E15" s="53">
        <v>0</v>
      </c>
      <c r="F15" s="53">
        <v>0</v>
      </c>
      <c r="G15" s="56">
        <f t="shared" si="3"/>
        <v>40</v>
      </c>
      <c r="H15" s="56">
        <f t="shared" si="4"/>
        <v>0</v>
      </c>
      <c r="I15" s="56">
        <f t="shared" si="5"/>
        <v>0</v>
      </c>
      <c r="J15" s="57">
        <f t="shared" si="0"/>
        <v>2.5359030484224014E-3</v>
      </c>
      <c r="K15" s="57">
        <f t="shared" si="1"/>
        <v>0</v>
      </c>
      <c r="L15" s="57">
        <f t="shared" si="2"/>
        <v>0</v>
      </c>
    </row>
    <row r="16" spans="1:17" x14ac:dyDescent="0.25">
      <c r="B16" s="103" t="s">
        <v>31</v>
      </c>
      <c r="C16" s="71">
        <v>16000</v>
      </c>
      <c r="D16" s="71">
        <v>1040</v>
      </c>
      <c r="E16" s="71">
        <v>160</v>
      </c>
      <c r="F16" s="71">
        <v>80</v>
      </c>
      <c r="G16" s="74">
        <f t="shared" si="3"/>
        <v>65</v>
      </c>
      <c r="H16" s="74">
        <f t="shared" si="4"/>
        <v>10</v>
      </c>
      <c r="I16" s="74">
        <f t="shared" si="5"/>
        <v>5</v>
      </c>
      <c r="J16" s="75">
        <f t="shared" si="0"/>
        <v>1.7350915594469061E-3</v>
      </c>
      <c r="K16" s="75">
        <f t="shared" si="1"/>
        <v>9.6913898058693482E-4</v>
      </c>
      <c r="L16" s="75">
        <f t="shared" si="2"/>
        <v>6.9735006973500695E-4</v>
      </c>
    </row>
    <row r="17" spans="2:12" x14ac:dyDescent="0.25">
      <c r="B17" s="89" t="s">
        <v>32</v>
      </c>
      <c r="C17" s="53">
        <v>513000</v>
      </c>
      <c r="D17" s="53">
        <v>17955</v>
      </c>
      <c r="E17" s="53">
        <v>2565</v>
      </c>
      <c r="F17" s="53">
        <v>1539</v>
      </c>
      <c r="G17" s="56">
        <f t="shared" si="3"/>
        <v>35</v>
      </c>
      <c r="H17" s="56">
        <f t="shared" si="4"/>
        <v>5</v>
      </c>
      <c r="I17" s="56">
        <f t="shared" si="5"/>
        <v>3</v>
      </c>
      <c r="J17" s="57">
        <f t="shared" si="0"/>
        <v>2.9955354759489617E-2</v>
      </c>
      <c r="K17" s="57">
        <f t="shared" si="1"/>
        <v>1.5536509282534298E-2</v>
      </c>
      <c r="L17" s="57">
        <f t="shared" si="2"/>
        <v>1.3415271966527196E-2</v>
      </c>
    </row>
    <row r="18" spans="2:12" x14ac:dyDescent="0.25">
      <c r="B18" s="103" t="s">
        <v>33</v>
      </c>
      <c r="C18" s="71">
        <v>83000</v>
      </c>
      <c r="D18" s="71">
        <v>0</v>
      </c>
      <c r="E18" s="71">
        <v>830</v>
      </c>
      <c r="F18" s="71">
        <v>332</v>
      </c>
      <c r="G18" s="74">
        <f t="shared" si="3"/>
        <v>0</v>
      </c>
      <c r="H18" s="74">
        <f t="shared" si="4"/>
        <v>10</v>
      </c>
      <c r="I18" s="74">
        <f t="shared" si="5"/>
        <v>4</v>
      </c>
      <c r="J18" s="75">
        <f t="shared" si="0"/>
        <v>0</v>
      </c>
      <c r="K18" s="75">
        <f t="shared" si="1"/>
        <v>5.0274084617947246E-3</v>
      </c>
      <c r="L18" s="75">
        <f t="shared" si="2"/>
        <v>2.8940027894002788E-3</v>
      </c>
    </row>
    <row r="19" spans="2:12" x14ac:dyDescent="0.25">
      <c r="B19" s="89" t="s">
        <v>26</v>
      </c>
      <c r="C19" s="53">
        <v>50000</v>
      </c>
      <c r="D19" s="53">
        <v>5000</v>
      </c>
      <c r="E19" s="53">
        <v>2850</v>
      </c>
      <c r="F19" s="53">
        <v>4500</v>
      </c>
      <c r="G19" s="56">
        <f t="shared" si="3"/>
        <v>100</v>
      </c>
      <c r="H19" s="56">
        <f t="shared" si="4"/>
        <v>57</v>
      </c>
      <c r="I19" s="56">
        <f t="shared" si="5"/>
        <v>90</v>
      </c>
      <c r="J19" s="57">
        <f t="shared" si="0"/>
        <v>8.3417863434947417E-3</v>
      </c>
      <c r="K19" s="57">
        <f t="shared" si="1"/>
        <v>1.7262788091704777E-2</v>
      </c>
      <c r="L19" s="57">
        <f t="shared" si="2"/>
        <v>3.9225941422594141E-2</v>
      </c>
    </row>
    <row r="20" spans="2:12" x14ac:dyDescent="0.25">
      <c r="B20" s="103" t="s">
        <v>34</v>
      </c>
      <c r="C20" s="71">
        <v>45000</v>
      </c>
      <c r="D20" s="71">
        <v>4050</v>
      </c>
      <c r="E20" s="71">
        <v>2925</v>
      </c>
      <c r="F20" s="71">
        <v>2250</v>
      </c>
      <c r="G20" s="74">
        <f t="shared" si="3"/>
        <v>90</v>
      </c>
      <c r="H20" s="74">
        <f t="shared" si="4"/>
        <v>65</v>
      </c>
      <c r="I20" s="74">
        <f t="shared" si="5"/>
        <v>50</v>
      </c>
      <c r="J20" s="75">
        <f t="shared" si="0"/>
        <v>6.7568469382307409E-3</v>
      </c>
      <c r="K20" s="75">
        <f t="shared" si="1"/>
        <v>1.7717071988854902E-2</v>
      </c>
      <c r="L20" s="75">
        <f t="shared" si="2"/>
        <v>1.961297071129707E-2</v>
      </c>
    </row>
    <row r="21" spans="2:12" x14ac:dyDescent="0.25">
      <c r="B21" s="89" t="s">
        <v>9</v>
      </c>
      <c r="C21" s="53">
        <v>440000</v>
      </c>
      <c r="D21" s="53">
        <v>41800</v>
      </c>
      <c r="E21" s="53">
        <v>28600</v>
      </c>
      <c r="F21" s="53">
        <v>29920</v>
      </c>
      <c r="G21" s="56">
        <f t="shared" si="3"/>
        <v>95</v>
      </c>
      <c r="H21" s="56">
        <f t="shared" si="4"/>
        <v>65</v>
      </c>
      <c r="I21" s="56">
        <f t="shared" si="5"/>
        <v>68</v>
      </c>
      <c r="J21" s="57">
        <f t="shared" si="0"/>
        <v>6.9737333831616038E-2</v>
      </c>
      <c r="K21" s="57">
        <f t="shared" si="1"/>
        <v>0.1732335927799146</v>
      </c>
      <c r="L21" s="57">
        <f t="shared" si="2"/>
        <v>0.26080892608089262</v>
      </c>
    </row>
    <row r="22" spans="2:12" x14ac:dyDescent="0.25">
      <c r="B22" s="103" t="s">
        <v>35</v>
      </c>
      <c r="C22" s="71">
        <v>16000</v>
      </c>
      <c r="D22" s="71">
        <v>960</v>
      </c>
      <c r="E22" s="71">
        <v>560</v>
      </c>
      <c r="F22" s="71">
        <v>688</v>
      </c>
      <c r="G22" s="74">
        <f t="shared" si="3"/>
        <v>60</v>
      </c>
      <c r="H22" s="74">
        <f t="shared" si="4"/>
        <v>35</v>
      </c>
      <c r="I22" s="74">
        <f t="shared" si="5"/>
        <v>43</v>
      </c>
      <c r="J22" s="75">
        <f t="shared" si="0"/>
        <v>1.6016229779509904E-3</v>
      </c>
      <c r="K22" s="75">
        <f t="shared" si="1"/>
        <v>3.3919864320542717E-3</v>
      </c>
      <c r="L22" s="75">
        <f t="shared" si="2"/>
        <v>5.9972105997210604E-3</v>
      </c>
    </row>
    <row r="23" spans="2:12" x14ac:dyDescent="0.25">
      <c r="B23" s="89" t="s">
        <v>36</v>
      </c>
      <c r="C23" s="53">
        <v>975000</v>
      </c>
      <c r="D23" s="53">
        <v>2925</v>
      </c>
      <c r="E23" s="53">
        <v>5850</v>
      </c>
      <c r="F23" s="53">
        <v>0</v>
      </c>
      <c r="G23" s="56">
        <f t="shared" si="3"/>
        <v>3</v>
      </c>
      <c r="H23" s="56">
        <f t="shared" si="4"/>
        <v>6</v>
      </c>
      <c r="I23" s="56">
        <f t="shared" si="5"/>
        <v>0</v>
      </c>
      <c r="J23" s="57">
        <f t="shared" si="0"/>
        <v>4.8799450109444234E-3</v>
      </c>
      <c r="K23" s="57">
        <f t="shared" si="1"/>
        <v>3.5434143977709803E-2</v>
      </c>
      <c r="L23" s="57">
        <f t="shared" si="2"/>
        <v>0</v>
      </c>
    </row>
    <row r="24" spans="2:12" x14ac:dyDescent="0.25">
      <c r="B24" s="103" t="s">
        <v>37</v>
      </c>
      <c r="C24" s="71">
        <v>645000</v>
      </c>
      <c r="D24" s="71">
        <v>6450</v>
      </c>
      <c r="E24" s="71">
        <v>3870</v>
      </c>
      <c r="F24" s="71">
        <v>3225</v>
      </c>
      <c r="G24" s="74">
        <f t="shared" si="3"/>
        <v>10</v>
      </c>
      <c r="H24" s="74">
        <f t="shared" si="4"/>
        <v>6</v>
      </c>
      <c r="I24" s="74">
        <f t="shared" si="5"/>
        <v>5</v>
      </c>
      <c r="J24" s="75">
        <f t="shared" si="0"/>
        <v>1.0760904383108217E-2</v>
      </c>
      <c r="K24" s="75">
        <f t="shared" si="1"/>
        <v>2.3441049092946486E-2</v>
      </c>
      <c r="L24" s="75">
        <f t="shared" si="2"/>
        <v>2.8111924686192467E-2</v>
      </c>
    </row>
    <row r="25" spans="2:12" x14ac:dyDescent="0.25">
      <c r="B25" s="89" t="s">
        <v>38</v>
      </c>
      <c r="C25" s="53">
        <v>330000</v>
      </c>
      <c r="D25" s="53">
        <v>50490</v>
      </c>
      <c r="E25" s="53">
        <v>2310</v>
      </c>
      <c r="F25" s="53">
        <v>4950</v>
      </c>
      <c r="G25" s="56">
        <f t="shared" si="3"/>
        <v>153</v>
      </c>
      <c r="H25" s="56">
        <f t="shared" si="4"/>
        <v>7</v>
      </c>
      <c r="I25" s="56">
        <f t="shared" si="5"/>
        <v>15</v>
      </c>
      <c r="J25" s="57">
        <f t="shared" si="0"/>
        <v>8.4235358496609902E-2</v>
      </c>
      <c r="K25" s="57">
        <f t="shared" si="1"/>
        <v>1.399194403222387E-2</v>
      </c>
      <c r="L25" s="57">
        <f t="shared" si="2"/>
        <v>4.3148535564853555E-2</v>
      </c>
    </row>
    <row r="26" spans="2:12" x14ac:dyDescent="0.25">
      <c r="B26" s="103" t="s">
        <v>39</v>
      </c>
      <c r="C26" s="71">
        <v>15000</v>
      </c>
      <c r="D26" s="71">
        <v>300</v>
      </c>
      <c r="E26" s="71">
        <v>0</v>
      </c>
      <c r="F26" s="71">
        <v>0</v>
      </c>
      <c r="G26" s="74">
        <f t="shared" si="3"/>
        <v>20</v>
      </c>
      <c r="H26" s="74">
        <f t="shared" si="4"/>
        <v>0</v>
      </c>
      <c r="I26" s="74">
        <f t="shared" si="5"/>
        <v>0</v>
      </c>
      <c r="J26" s="75">
        <f t="shared" si="0"/>
        <v>5.0050718060968451E-4</v>
      </c>
      <c r="K26" s="75">
        <f t="shared" si="1"/>
        <v>0</v>
      </c>
      <c r="L26" s="75">
        <f t="shared" si="2"/>
        <v>0</v>
      </c>
    </row>
    <row r="27" spans="2:12" x14ac:dyDescent="0.25">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25">
      <c r="B28" s="103" t="s">
        <v>41</v>
      </c>
      <c r="C28" s="71">
        <v>140000</v>
      </c>
      <c r="D28" s="71">
        <v>19600</v>
      </c>
      <c r="E28" s="71">
        <v>700</v>
      </c>
      <c r="F28" s="71">
        <v>1400</v>
      </c>
      <c r="G28" s="74">
        <f t="shared" si="3"/>
        <v>140</v>
      </c>
      <c r="H28" s="74">
        <f t="shared" si="4"/>
        <v>5</v>
      </c>
      <c r="I28" s="74">
        <f t="shared" si="5"/>
        <v>10</v>
      </c>
      <c r="J28" s="75">
        <f t="shared" si="0"/>
        <v>3.2699802466499388E-2</v>
      </c>
      <c r="K28" s="75">
        <f t="shared" si="1"/>
        <v>4.2399830400678398E-3</v>
      </c>
      <c r="L28" s="75">
        <f t="shared" si="2"/>
        <v>1.2203626220362623E-2</v>
      </c>
    </row>
    <row r="29" spans="2:12" x14ac:dyDescent="0.25">
      <c r="B29" s="89" t="s">
        <v>42</v>
      </c>
      <c r="C29" s="53">
        <v>2270000</v>
      </c>
      <c r="D29" s="53">
        <v>128000</v>
      </c>
      <c r="E29" s="53">
        <v>28000</v>
      </c>
      <c r="F29" s="53">
        <v>32000</v>
      </c>
      <c r="G29" s="56">
        <f t="shared" si="3"/>
        <v>56.387665198237883</v>
      </c>
      <c r="H29" s="56">
        <f t="shared" si="4"/>
        <v>12.334801762114537</v>
      </c>
      <c r="I29" s="56">
        <f t="shared" si="5"/>
        <v>14.096916299559471</v>
      </c>
      <c r="J29" s="57">
        <f t="shared" si="0"/>
        <v>0.21354973039346536</v>
      </c>
      <c r="K29" s="57">
        <f t="shared" si="1"/>
        <v>0.1695993216027136</v>
      </c>
      <c r="L29" s="57">
        <f t="shared" si="2"/>
        <v>0.2789400278940028</v>
      </c>
    </row>
    <row r="30" spans="2:12" x14ac:dyDescent="0.25">
      <c r="B30" s="103" t="s">
        <v>10</v>
      </c>
      <c r="C30" s="71">
        <v>3140000</v>
      </c>
      <c r="D30" s="71">
        <v>10950</v>
      </c>
      <c r="E30" s="71">
        <v>3650</v>
      </c>
      <c r="F30" s="71">
        <v>1460</v>
      </c>
      <c r="G30" s="74">
        <f t="shared" si="3"/>
        <v>3.4872611464968153</v>
      </c>
      <c r="H30" s="74">
        <f t="shared" si="4"/>
        <v>1.1624203821656052</v>
      </c>
      <c r="I30" s="74">
        <f t="shared" si="5"/>
        <v>0.46496815286624205</v>
      </c>
      <c r="J30" s="75">
        <f t="shared" si="0"/>
        <v>1.8268512092253483E-2</v>
      </c>
      <c r="K30" s="75">
        <f t="shared" si="1"/>
        <v>2.2108482994639449E-2</v>
      </c>
      <c r="L30" s="75">
        <f t="shared" si="2"/>
        <v>1.2726638772663878E-2</v>
      </c>
    </row>
    <row r="31" spans="2:12" x14ac:dyDescent="0.25">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11589000</v>
      </c>
      <c r="D33" s="63">
        <f>SUM(D11:D31)</f>
        <v>599392</v>
      </c>
      <c r="E33" s="62">
        <f t="shared" ref="E33:F33" si="7">SUM(E11:E31)</f>
        <v>165095</v>
      </c>
      <c r="F33" s="102">
        <f t="shared" si="7"/>
        <v>114720</v>
      </c>
      <c r="G33" s="94"/>
      <c r="H33" s="94"/>
      <c r="I33" s="94"/>
      <c r="J33" s="95">
        <f t="shared" ref="J33:L33" si="8">SUM(J11:J31)</f>
        <v>1</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264</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88BDBFE8-E291-4D85-9729-2B5D1ADA6CA6}"/>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2EA9B-C85E-46C6-92C1-8508B52980CC}">
  <sheetPr>
    <tabColor rgb="FF92D050"/>
  </sheetPr>
  <dimension ref="A1:Y4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30" sqref="B30"/>
    </sheetView>
  </sheetViews>
  <sheetFormatPr defaultColWidth="8.85546875" defaultRowHeight="15" x14ac:dyDescent="0.25"/>
  <cols>
    <col min="1" max="1" width="2.7109375" customWidth="1"/>
    <col min="2" max="2" width="45.7109375" customWidth="1"/>
    <col min="3" max="16" width="12.7109375" customWidth="1"/>
    <col min="17" max="22" width="12.7109375" style="7" customWidth="1"/>
    <col min="23" max="23" width="3.140625" customWidth="1"/>
    <col min="24" max="25" width="13.140625" customWidth="1"/>
  </cols>
  <sheetData>
    <row r="1" spans="1:25" x14ac:dyDescent="0.25">
      <c r="A1" s="21"/>
      <c r="B1" s="546" t="s">
        <v>432</v>
      </c>
      <c r="C1" s="7"/>
      <c r="D1" s="7"/>
      <c r="K1" s="7"/>
      <c r="L1" s="7"/>
      <c r="M1" s="7"/>
      <c r="N1" s="7"/>
      <c r="O1" s="7"/>
      <c r="P1" s="7"/>
      <c r="R1"/>
      <c r="S1"/>
      <c r="T1"/>
      <c r="U1"/>
      <c r="V1"/>
      <c r="W1" s="7"/>
    </row>
    <row r="2" spans="1:25" x14ac:dyDescent="0.25">
      <c r="A2" s="21"/>
      <c r="B2" s="7"/>
      <c r="C2" s="7"/>
      <c r="D2" s="7"/>
      <c r="K2" s="7"/>
      <c r="L2" s="7"/>
      <c r="M2" s="7"/>
      <c r="N2" s="7"/>
      <c r="O2" s="7"/>
      <c r="P2" s="7"/>
      <c r="R2"/>
      <c r="S2"/>
      <c r="T2"/>
      <c r="U2"/>
      <c r="V2"/>
      <c r="W2" s="7"/>
    </row>
    <row r="3" spans="1:25" x14ac:dyDescent="0.25">
      <c r="A3" s="21"/>
      <c r="B3" s="7"/>
      <c r="C3" s="7"/>
      <c r="D3" s="7"/>
      <c r="K3" s="7"/>
      <c r="L3" s="7"/>
      <c r="M3" s="7"/>
      <c r="N3" s="7"/>
      <c r="O3" s="7"/>
      <c r="P3" s="7"/>
      <c r="R3"/>
      <c r="S3"/>
      <c r="T3"/>
      <c r="U3"/>
      <c r="V3"/>
      <c r="W3" s="7"/>
    </row>
    <row r="4" spans="1:25" x14ac:dyDescent="0.25">
      <c r="A4" s="21"/>
      <c r="B4" s="7"/>
      <c r="C4" s="7"/>
      <c r="D4" s="7"/>
      <c r="K4" s="7"/>
      <c r="L4" s="7"/>
      <c r="M4" s="7"/>
      <c r="N4" s="7"/>
      <c r="O4" s="7"/>
      <c r="P4" s="7"/>
      <c r="R4"/>
      <c r="S4"/>
      <c r="T4"/>
      <c r="U4"/>
      <c r="V4"/>
      <c r="W4" s="7"/>
    </row>
    <row r="5" spans="1:25" ht="15.75" thickBot="1" x14ac:dyDescent="0.3">
      <c r="A5" s="21"/>
      <c r="B5" s="7"/>
      <c r="C5" s="7"/>
      <c r="D5" s="7"/>
      <c r="K5" s="7"/>
      <c r="L5" s="7"/>
      <c r="M5" s="7"/>
      <c r="N5" s="7"/>
      <c r="O5" s="7"/>
      <c r="P5" s="7"/>
      <c r="W5" s="7"/>
    </row>
    <row r="6" spans="1:25" ht="30" customHeight="1" thickTop="1" x14ac:dyDescent="0.3">
      <c r="B6" s="38" t="s">
        <v>387</v>
      </c>
      <c r="C6" s="592" t="s">
        <v>390</v>
      </c>
      <c r="D6" s="592"/>
      <c r="E6" s="592" t="s">
        <v>389</v>
      </c>
      <c r="F6" s="592"/>
      <c r="G6" s="592"/>
      <c r="H6" s="592"/>
      <c r="I6" s="592"/>
      <c r="J6" s="592"/>
      <c r="K6" s="592" t="s">
        <v>392</v>
      </c>
      <c r="L6" s="592"/>
      <c r="M6" s="592"/>
      <c r="N6" s="592"/>
      <c r="O6" s="592"/>
      <c r="P6" s="592"/>
      <c r="Q6" s="589" t="s">
        <v>399</v>
      </c>
      <c r="R6" s="589"/>
      <c r="S6" s="589"/>
      <c r="T6" s="589"/>
      <c r="U6" s="589"/>
      <c r="V6" s="589"/>
      <c r="W6" s="10"/>
      <c r="X6" s="5"/>
      <c r="Y6" s="5"/>
    </row>
    <row r="7" spans="1:25" ht="25.15" customHeight="1" thickBot="1" x14ac:dyDescent="0.3">
      <c r="B7" s="596" t="s">
        <v>89</v>
      </c>
      <c r="C7" s="593" t="s">
        <v>405</v>
      </c>
      <c r="D7" s="593"/>
      <c r="E7" s="597" t="s">
        <v>14</v>
      </c>
      <c r="F7" s="597"/>
      <c r="G7" s="597"/>
      <c r="H7" s="597"/>
      <c r="I7" s="597"/>
      <c r="J7" s="597"/>
      <c r="K7" s="597" t="s">
        <v>415</v>
      </c>
      <c r="L7" s="597"/>
      <c r="M7" s="597"/>
      <c r="N7" s="597"/>
      <c r="O7" s="597"/>
      <c r="P7" s="597"/>
      <c r="Q7" s="598" t="s">
        <v>0</v>
      </c>
      <c r="R7" s="598"/>
      <c r="S7" s="598"/>
      <c r="T7" s="598"/>
      <c r="U7" s="598"/>
      <c r="V7" s="598"/>
      <c r="W7" s="11"/>
      <c r="X7" s="6"/>
      <c r="Y7" s="6"/>
    </row>
    <row r="8" spans="1:25" ht="34.15" customHeight="1" thickTop="1" thickBot="1" x14ac:dyDescent="0.3">
      <c r="B8" s="596"/>
      <c r="C8" s="621"/>
      <c r="D8" s="622"/>
      <c r="E8" s="620" t="s">
        <v>388</v>
      </c>
      <c r="F8" s="620"/>
      <c r="G8" s="620" t="s">
        <v>394</v>
      </c>
      <c r="H8" s="620"/>
      <c r="I8" s="620" t="s">
        <v>395</v>
      </c>
      <c r="J8" s="620"/>
      <c r="K8" s="620" t="s">
        <v>388</v>
      </c>
      <c r="L8" s="620"/>
      <c r="M8" s="620" t="s">
        <v>394</v>
      </c>
      <c r="N8" s="620"/>
      <c r="O8" s="620" t="s">
        <v>395</v>
      </c>
      <c r="P8" s="620"/>
      <c r="Q8" s="618" t="s">
        <v>388</v>
      </c>
      <c r="R8" s="618"/>
      <c r="S8" s="618" t="s">
        <v>394</v>
      </c>
      <c r="T8" s="618"/>
      <c r="U8" s="618" t="s">
        <v>395</v>
      </c>
      <c r="V8" s="618"/>
      <c r="W8" s="11"/>
      <c r="X8" s="6"/>
      <c r="Y8" s="6"/>
    </row>
    <row r="9" spans="1:25" ht="34.15" customHeight="1" thickTop="1" thickBot="1" x14ac:dyDescent="0.3">
      <c r="B9" s="106" t="s">
        <v>409</v>
      </c>
      <c r="C9" s="294" t="s">
        <v>1</v>
      </c>
      <c r="D9" s="297" t="s">
        <v>2</v>
      </c>
      <c r="E9" s="294" t="s">
        <v>1</v>
      </c>
      <c r="F9" s="297" t="s">
        <v>2</v>
      </c>
      <c r="G9" s="294" t="s">
        <v>1</v>
      </c>
      <c r="H9" s="297" t="s">
        <v>2</v>
      </c>
      <c r="I9" s="294" t="s">
        <v>1</v>
      </c>
      <c r="J9" s="297" t="s">
        <v>2</v>
      </c>
      <c r="K9" s="294" t="s">
        <v>1</v>
      </c>
      <c r="L9" s="297" t="s">
        <v>2</v>
      </c>
      <c r="M9" s="294" t="s">
        <v>1</v>
      </c>
      <c r="N9" s="297" t="s">
        <v>2</v>
      </c>
      <c r="O9" s="294" t="s">
        <v>1</v>
      </c>
      <c r="P9" s="297" t="s">
        <v>2</v>
      </c>
      <c r="Q9" s="294" t="s">
        <v>1</v>
      </c>
      <c r="R9" s="297" t="s">
        <v>2</v>
      </c>
      <c r="S9" s="294" t="s">
        <v>1</v>
      </c>
      <c r="T9" s="297" t="s">
        <v>2</v>
      </c>
      <c r="U9" s="294" t="s">
        <v>1</v>
      </c>
      <c r="V9" s="297" t="s">
        <v>2</v>
      </c>
      <c r="W9" s="10"/>
      <c r="X9" s="5"/>
      <c r="Y9" s="5"/>
    </row>
    <row r="10" spans="1:25" ht="6" customHeight="1" thickTop="1" x14ac:dyDescent="0.25">
      <c r="B10" s="293"/>
      <c r="C10" s="292"/>
      <c r="D10" s="298"/>
      <c r="E10" s="295"/>
      <c r="F10" s="299"/>
      <c r="G10" s="295"/>
      <c r="H10" s="299"/>
      <c r="I10" s="295"/>
      <c r="J10" s="299"/>
      <c r="K10" s="292"/>
      <c r="L10" s="298"/>
      <c r="M10" s="292"/>
      <c r="N10" s="298"/>
      <c r="O10" s="292"/>
      <c r="P10" s="298"/>
      <c r="Q10" s="292"/>
      <c r="R10" s="298"/>
      <c r="S10" s="292"/>
      <c r="T10" s="298"/>
      <c r="U10" s="292"/>
      <c r="V10" s="298"/>
      <c r="W10" s="10"/>
      <c r="X10" s="5"/>
      <c r="Y10" s="5"/>
    </row>
    <row r="11" spans="1:25" x14ac:dyDescent="0.25">
      <c r="B11" s="89" t="s">
        <v>3</v>
      </c>
      <c r="C11" s="176">
        <v>214000</v>
      </c>
      <c r="D11" s="221">
        <v>212000</v>
      </c>
      <c r="E11" s="296">
        <v>32371</v>
      </c>
      <c r="F11" s="300">
        <v>30936</v>
      </c>
      <c r="G11" s="296">
        <v>27984</v>
      </c>
      <c r="H11" s="300">
        <v>26619</v>
      </c>
      <c r="I11" s="296">
        <v>15697</v>
      </c>
      <c r="J11" s="300">
        <v>15544</v>
      </c>
      <c r="K11" s="55">
        <f>IFERROR(E11*1000/C11,"-")</f>
        <v>151.2663551401869</v>
      </c>
      <c r="L11" s="284">
        <f t="shared" ref="L11:L24" si="0">IFERROR(F11*1000/D11,"-")</f>
        <v>145.9245283018868</v>
      </c>
      <c r="M11" s="55">
        <f>IFERROR(G11*1000/C11,"-")</f>
        <v>130.7663551401869</v>
      </c>
      <c r="N11" s="284">
        <f t="shared" ref="N11:N24" si="1">IFERROR(H11*1000/D11,"-")</f>
        <v>125.56132075471699</v>
      </c>
      <c r="O11" s="55">
        <f>IFERROR(I11*1000/C11,"-")</f>
        <v>73.350467289719631</v>
      </c>
      <c r="P11" s="302">
        <f t="shared" ref="P11:P24" si="2">IFERROR(J11*1000/D11,"-")</f>
        <v>73.320754716981128</v>
      </c>
      <c r="Q11" s="303">
        <f>E11/$E$26</f>
        <v>8.4080519480519478E-2</v>
      </c>
      <c r="R11" s="301">
        <f>F11/$F$26</f>
        <v>8.383739837398374E-2</v>
      </c>
      <c r="S11" s="289">
        <f>G11/$G$26</f>
        <v>7.9050847457627124E-2</v>
      </c>
      <c r="T11" s="301">
        <f>H11/$H$26</f>
        <v>7.8754437869822488E-2</v>
      </c>
      <c r="U11" s="289">
        <f>I11/$I$26</f>
        <v>5.7709770991805118E-2</v>
      </c>
      <c r="V11" s="301">
        <f>J11/$J$26</f>
        <v>5.7570796820717189E-2</v>
      </c>
      <c r="W11" s="288"/>
      <c r="X11" s="286"/>
      <c r="Y11" s="4"/>
    </row>
    <row r="12" spans="1:25" x14ac:dyDescent="0.25">
      <c r="B12" s="103" t="s">
        <v>4</v>
      </c>
      <c r="C12" s="177">
        <v>1479000</v>
      </c>
      <c r="D12" s="231">
        <v>1470000</v>
      </c>
      <c r="E12" s="177">
        <v>89489</v>
      </c>
      <c r="F12" s="231">
        <v>85844</v>
      </c>
      <c r="G12" s="177">
        <v>106372</v>
      </c>
      <c r="H12" s="231">
        <v>101566</v>
      </c>
      <c r="I12" s="177">
        <v>97639</v>
      </c>
      <c r="J12" s="231">
        <v>97052</v>
      </c>
      <c r="K12" s="73">
        <f t="shared" ref="K12:K24" si="3">IFERROR(E12*1000/C12,"-")</f>
        <v>60.506423258958755</v>
      </c>
      <c r="L12" s="285">
        <f t="shared" si="0"/>
        <v>58.397278911564626</v>
      </c>
      <c r="M12" s="73">
        <f t="shared" ref="M12:M24" si="4">IFERROR(G12*1000/C12,"-")</f>
        <v>71.921568627450981</v>
      </c>
      <c r="N12" s="285">
        <f t="shared" si="1"/>
        <v>69.092517006802723</v>
      </c>
      <c r="O12" s="73">
        <f t="shared" ref="O12:O24" si="5">IFERROR(I12*1000/C12,"-")</f>
        <v>66.016903313049355</v>
      </c>
      <c r="P12" s="154">
        <f t="shared" si="2"/>
        <v>66.021768707482991</v>
      </c>
      <c r="Q12" s="306">
        <f t="shared" ref="Q12:Q24" si="6">E12/$E$26</f>
        <v>0.23243896103896103</v>
      </c>
      <c r="R12" s="307">
        <f t="shared" ref="R12:R24" si="7">F12/$F$26</f>
        <v>0.23263956639566397</v>
      </c>
      <c r="S12" s="308">
        <f t="shared" ref="S12:S24" si="8">G12/$G$26</f>
        <v>0.30048587570621471</v>
      </c>
      <c r="T12" s="307">
        <f t="shared" ref="T12:T24" si="9">H12/$H$26</f>
        <v>0.30049112426035501</v>
      </c>
      <c r="U12" s="308">
        <f t="shared" ref="U12:U24" si="10">I12/$I$26</f>
        <v>0.35896823150085111</v>
      </c>
      <c r="V12" s="307">
        <f t="shared" ref="V12:V24" si="11">J12/$J$26</f>
        <v>0.35945451447788501</v>
      </c>
      <c r="W12" s="288"/>
      <c r="X12" s="286"/>
      <c r="Y12" s="4"/>
    </row>
    <row r="13" spans="1:25" x14ac:dyDescent="0.25">
      <c r="B13" s="89" t="s">
        <v>49</v>
      </c>
      <c r="C13" s="176">
        <v>93000</v>
      </c>
      <c r="D13" s="221">
        <v>95000</v>
      </c>
      <c r="E13" s="296">
        <v>12192</v>
      </c>
      <c r="F13" s="300">
        <v>11995</v>
      </c>
      <c r="G13" s="296">
        <v>15636</v>
      </c>
      <c r="H13" s="300">
        <v>15312</v>
      </c>
      <c r="I13" s="296">
        <v>8186</v>
      </c>
      <c r="J13" s="300">
        <v>8345</v>
      </c>
      <c r="K13" s="55">
        <f t="shared" si="3"/>
        <v>131.09677419354838</v>
      </c>
      <c r="L13" s="284">
        <f t="shared" si="0"/>
        <v>126.26315789473684</v>
      </c>
      <c r="M13" s="55">
        <f t="shared" si="4"/>
        <v>168.12903225806451</v>
      </c>
      <c r="N13" s="284">
        <f t="shared" si="1"/>
        <v>161.17894736842106</v>
      </c>
      <c r="O13" s="55">
        <f t="shared" si="5"/>
        <v>88.021505376344081</v>
      </c>
      <c r="P13" s="302">
        <f t="shared" si="2"/>
        <v>87.84210526315789</v>
      </c>
      <c r="Q13" s="303">
        <f t="shared" si="6"/>
        <v>3.1667532467532469E-2</v>
      </c>
      <c r="R13" s="301">
        <f t="shared" si="7"/>
        <v>3.2506775067750675E-2</v>
      </c>
      <c r="S13" s="289">
        <f t="shared" si="8"/>
        <v>4.4169491525423731E-2</v>
      </c>
      <c r="T13" s="301">
        <f t="shared" si="9"/>
        <v>4.5301775147928991E-2</v>
      </c>
      <c r="U13" s="289">
        <f t="shared" si="10"/>
        <v>3.0095698881245886E-2</v>
      </c>
      <c r="V13" s="301">
        <f t="shared" si="11"/>
        <v>3.0907636352861874E-2</v>
      </c>
      <c r="W13" s="288"/>
      <c r="X13" s="286"/>
      <c r="Y13" s="4"/>
    </row>
    <row r="14" spans="1:25" x14ac:dyDescent="0.25">
      <c r="B14" s="103" t="s">
        <v>5</v>
      </c>
      <c r="C14" s="177">
        <v>122000</v>
      </c>
      <c r="D14" s="231">
        <v>125000</v>
      </c>
      <c r="E14" s="177">
        <v>9378</v>
      </c>
      <c r="F14" s="231">
        <v>9144</v>
      </c>
      <c r="G14" s="177">
        <v>11012</v>
      </c>
      <c r="H14" s="231">
        <v>10792</v>
      </c>
      <c r="I14" s="177">
        <v>9132</v>
      </c>
      <c r="J14" s="231">
        <v>9315</v>
      </c>
      <c r="K14" s="73">
        <f t="shared" si="3"/>
        <v>76.868852459016395</v>
      </c>
      <c r="L14" s="285">
        <f t="shared" si="0"/>
        <v>73.152000000000001</v>
      </c>
      <c r="M14" s="73">
        <f t="shared" si="4"/>
        <v>90.26229508196721</v>
      </c>
      <c r="N14" s="285">
        <f t="shared" si="1"/>
        <v>86.335999999999999</v>
      </c>
      <c r="O14" s="73">
        <f t="shared" si="5"/>
        <v>74.852459016393439</v>
      </c>
      <c r="P14" s="154">
        <f t="shared" si="2"/>
        <v>74.52</v>
      </c>
      <c r="Q14" s="306">
        <f t="shared" si="6"/>
        <v>2.4358441558441558E-2</v>
      </c>
      <c r="R14" s="307">
        <f t="shared" si="7"/>
        <v>2.478048780487805E-2</v>
      </c>
      <c r="S14" s="308">
        <f t="shared" si="8"/>
        <v>3.1107344632768361E-2</v>
      </c>
      <c r="T14" s="307">
        <f t="shared" si="9"/>
        <v>3.1928994082840237E-2</v>
      </c>
      <c r="U14" s="308">
        <f t="shared" si="10"/>
        <v>3.3573652844311928E-2</v>
      </c>
      <c r="V14" s="307">
        <f t="shared" si="11"/>
        <v>3.4500255557448574E-2</v>
      </c>
      <c r="W14" s="288"/>
      <c r="X14" s="286"/>
      <c r="Y14" s="4"/>
    </row>
    <row r="15" spans="1:25" x14ac:dyDescent="0.25">
      <c r="B15" s="89" t="s">
        <v>6</v>
      </c>
      <c r="C15" s="176">
        <v>150000</v>
      </c>
      <c r="D15" s="221">
        <v>147000</v>
      </c>
      <c r="E15" s="296">
        <v>2723</v>
      </c>
      <c r="F15" s="300">
        <v>2568</v>
      </c>
      <c r="G15" s="296">
        <v>21016</v>
      </c>
      <c r="H15" s="300">
        <v>19732</v>
      </c>
      <c r="I15" s="296">
        <v>8802</v>
      </c>
      <c r="J15" s="300">
        <v>8603</v>
      </c>
      <c r="K15" s="55">
        <f t="shared" si="3"/>
        <v>18.153333333333332</v>
      </c>
      <c r="L15" s="284">
        <f t="shared" si="0"/>
        <v>17.469387755102041</v>
      </c>
      <c r="M15" s="55">
        <f t="shared" si="4"/>
        <v>140.10666666666665</v>
      </c>
      <c r="N15" s="284">
        <f t="shared" si="1"/>
        <v>134.23129251700681</v>
      </c>
      <c r="O15" s="55">
        <f t="shared" si="5"/>
        <v>58.68</v>
      </c>
      <c r="P15" s="302">
        <f t="shared" si="2"/>
        <v>58.523809523809526</v>
      </c>
      <c r="Q15" s="303">
        <f t="shared" si="6"/>
        <v>7.0727272727272731E-3</v>
      </c>
      <c r="R15" s="301">
        <f t="shared" si="7"/>
        <v>6.9593495934959348E-3</v>
      </c>
      <c r="S15" s="289">
        <f t="shared" si="8"/>
        <v>5.9367231638418082E-2</v>
      </c>
      <c r="T15" s="301">
        <f t="shared" si="9"/>
        <v>5.8378698224852074E-2</v>
      </c>
      <c r="U15" s="289">
        <f t="shared" si="10"/>
        <v>3.2360413089754007E-2</v>
      </c>
      <c r="V15" s="301">
        <f t="shared" si="11"/>
        <v>3.1863198986659159E-2</v>
      </c>
      <c r="W15" s="288"/>
      <c r="X15" s="286"/>
      <c r="Y15" s="4"/>
    </row>
    <row r="16" spans="1:25" x14ac:dyDescent="0.25">
      <c r="B16" s="103" t="s">
        <v>53</v>
      </c>
      <c r="C16" s="177">
        <v>58000</v>
      </c>
      <c r="D16" s="231">
        <v>57000</v>
      </c>
      <c r="E16" s="177">
        <v>9391</v>
      </c>
      <c r="F16" s="231">
        <v>8923</v>
      </c>
      <c r="G16" s="177">
        <v>8154</v>
      </c>
      <c r="H16" s="231">
        <v>7712</v>
      </c>
      <c r="I16" s="177">
        <v>6404</v>
      </c>
      <c r="J16" s="231">
        <v>6305</v>
      </c>
      <c r="K16" s="73">
        <f t="shared" si="3"/>
        <v>161.91379310344828</v>
      </c>
      <c r="L16" s="285">
        <f t="shared" si="0"/>
        <v>156.54385964912279</v>
      </c>
      <c r="M16" s="73">
        <f t="shared" si="4"/>
        <v>140.58620689655172</v>
      </c>
      <c r="N16" s="285">
        <f t="shared" si="1"/>
        <v>135.2982456140351</v>
      </c>
      <c r="O16" s="73">
        <f t="shared" si="5"/>
        <v>110.41379310344827</v>
      </c>
      <c r="P16" s="154">
        <f t="shared" si="2"/>
        <v>110.6140350877193</v>
      </c>
      <c r="Q16" s="306">
        <f t="shared" si="6"/>
        <v>2.4392207792207792E-2</v>
      </c>
      <c r="R16" s="307">
        <f t="shared" si="7"/>
        <v>2.4181571815718159E-2</v>
      </c>
      <c r="S16" s="308">
        <f t="shared" si="8"/>
        <v>2.3033898305084746E-2</v>
      </c>
      <c r="T16" s="307">
        <f t="shared" si="9"/>
        <v>2.2816568047337279E-2</v>
      </c>
      <c r="U16" s="308">
        <f t="shared" si="10"/>
        <v>2.3544204206633113E-2</v>
      </c>
      <c r="V16" s="307">
        <f t="shared" si="11"/>
        <v>2.3352024829813554E-2</v>
      </c>
      <c r="W16" s="288"/>
      <c r="X16" s="286"/>
      <c r="Y16" s="4"/>
    </row>
    <row r="17" spans="1:25" x14ac:dyDescent="0.25">
      <c r="B17" s="89" t="s">
        <v>54</v>
      </c>
      <c r="C17" s="176">
        <v>24000</v>
      </c>
      <c r="D17" s="221">
        <v>28000</v>
      </c>
      <c r="E17" s="296">
        <v>5975</v>
      </c>
      <c r="F17" s="300">
        <v>6740</v>
      </c>
      <c r="G17" s="296">
        <v>2656</v>
      </c>
      <c r="H17" s="300">
        <v>2983</v>
      </c>
      <c r="I17" s="296">
        <v>1217</v>
      </c>
      <c r="J17" s="300">
        <v>1422</v>
      </c>
      <c r="K17" s="55">
        <f t="shared" si="3"/>
        <v>248.95833333333334</v>
      </c>
      <c r="L17" s="284">
        <f t="shared" si="0"/>
        <v>240.71428571428572</v>
      </c>
      <c r="M17" s="55">
        <f t="shared" si="4"/>
        <v>110.66666666666667</v>
      </c>
      <c r="N17" s="284">
        <f t="shared" si="1"/>
        <v>106.53571428571429</v>
      </c>
      <c r="O17" s="55">
        <f t="shared" si="5"/>
        <v>50.708333333333336</v>
      </c>
      <c r="P17" s="302">
        <f t="shared" si="2"/>
        <v>50.785714285714285</v>
      </c>
      <c r="Q17" s="303">
        <f t="shared" si="6"/>
        <v>1.551948051948052E-2</v>
      </c>
      <c r="R17" s="301">
        <f t="shared" si="7"/>
        <v>1.8265582655826559E-2</v>
      </c>
      <c r="S17" s="289">
        <f t="shared" si="8"/>
        <v>7.5028248587570619E-3</v>
      </c>
      <c r="T17" s="301">
        <f t="shared" si="9"/>
        <v>8.825443786982249E-3</v>
      </c>
      <c r="U17" s="289">
        <f t="shared" si="10"/>
        <v>4.4742811554454249E-3</v>
      </c>
      <c r="V17" s="301">
        <f t="shared" si="11"/>
        <v>5.2667056793013279E-3</v>
      </c>
      <c r="W17" s="288"/>
      <c r="X17" s="286"/>
      <c r="Y17" s="4"/>
    </row>
    <row r="18" spans="1:25" x14ac:dyDescent="0.25">
      <c r="B18" s="103" t="s">
        <v>7</v>
      </c>
      <c r="C18" s="177">
        <v>43000</v>
      </c>
      <c r="D18" s="231">
        <v>42000</v>
      </c>
      <c r="E18" s="177">
        <v>17345</v>
      </c>
      <c r="F18" s="231">
        <v>16157</v>
      </c>
      <c r="G18" s="177">
        <v>5623</v>
      </c>
      <c r="H18" s="231">
        <v>5213</v>
      </c>
      <c r="I18" s="177">
        <v>6308</v>
      </c>
      <c r="J18" s="231">
        <v>6089</v>
      </c>
      <c r="K18" s="73">
        <f t="shared" si="3"/>
        <v>403.37209302325579</v>
      </c>
      <c r="L18" s="285">
        <f t="shared" si="0"/>
        <v>384.6904761904762</v>
      </c>
      <c r="M18" s="73">
        <f t="shared" si="4"/>
        <v>130.76744186046511</v>
      </c>
      <c r="N18" s="285">
        <f t="shared" si="1"/>
        <v>124.11904761904762</v>
      </c>
      <c r="O18" s="73">
        <f t="shared" si="5"/>
        <v>146.69767441860466</v>
      </c>
      <c r="P18" s="154">
        <f t="shared" si="2"/>
        <v>144.97619047619048</v>
      </c>
      <c r="Q18" s="306">
        <f t="shared" si="6"/>
        <v>4.5051948051948051E-2</v>
      </c>
      <c r="R18" s="307">
        <f t="shared" si="7"/>
        <v>4.3785907859078592E-2</v>
      </c>
      <c r="S18" s="308">
        <f t="shared" si="8"/>
        <v>1.5884180790960451E-2</v>
      </c>
      <c r="T18" s="307">
        <f t="shared" si="9"/>
        <v>1.5423076923076923E-2</v>
      </c>
      <c r="U18" s="308">
        <f t="shared" si="10"/>
        <v>2.3191261732579901E-2</v>
      </c>
      <c r="V18" s="307">
        <f t="shared" si="11"/>
        <v>2.2552018903843733E-2</v>
      </c>
      <c r="W18" s="288"/>
      <c r="X18" s="286"/>
      <c r="Y18" s="4"/>
    </row>
    <row r="19" spans="1:25" x14ac:dyDescent="0.25">
      <c r="B19" s="89" t="s">
        <v>8</v>
      </c>
      <c r="C19" s="176">
        <v>199000</v>
      </c>
      <c r="D19" s="221">
        <v>196000</v>
      </c>
      <c r="E19" s="296">
        <v>22064</v>
      </c>
      <c r="F19" s="300">
        <v>20974</v>
      </c>
      <c r="G19" s="296">
        <v>30694</v>
      </c>
      <c r="H19" s="300">
        <v>29051</v>
      </c>
      <c r="I19" s="296">
        <v>22567</v>
      </c>
      <c r="J19" s="300">
        <v>22246</v>
      </c>
      <c r="K19" s="55">
        <f t="shared" si="3"/>
        <v>110.87437185929649</v>
      </c>
      <c r="L19" s="284">
        <f t="shared" si="0"/>
        <v>107.01020408163265</v>
      </c>
      <c r="M19" s="55">
        <f t="shared" si="4"/>
        <v>154.24120603015075</v>
      </c>
      <c r="N19" s="284">
        <f t="shared" si="1"/>
        <v>148.21938775510205</v>
      </c>
      <c r="O19" s="55">
        <f t="shared" si="5"/>
        <v>113.40201005025126</v>
      </c>
      <c r="P19" s="302">
        <f t="shared" si="2"/>
        <v>113.5</v>
      </c>
      <c r="Q19" s="303">
        <f t="shared" si="6"/>
        <v>5.7309090909090907E-2</v>
      </c>
      <c r="R19" s="301">
        <f t="shared" si="7"/>
        <v>5.6840108401084014E-2</v>
      </c>
      <c r="S19" s="289">
        <f t="shared" si="8"/>
        <v>8.6706214689265537E-2</v>
      </c>
      <c r="T19" s="301">
        <f t="shared" si="9"/>
        <v>8.5949704142011835E-2</v>
      </c>
      <c r="U19" s="289">
        <f t="shared" si="10"/>
        <v>8.2967216791238196E-2</v>
      </c>
      <c r="V19" s="301">
        <f t="shared" si="11"/>
        <v>8.2393202912614164E-2</v>
      </c>
      <c r="W19" s="288"/>
      <c r="X19" s="286"/>
      <c r="Y19" s="4"/>
    </row>
    <row r="20" spans="1:25" x14ac:dyDescent="0.25">
      <c r="B20" s="103" t="s">
        <v>20</v>
      </c>
      <c r="C20" s="177">
        <v>204000</v>
      </c>
      <c r="D20" s="231">
        <v>200000</v>
      </c>
      <c r="E20" s="177">
        <v>32601</v>
      </c>
      <c r="F20" s="231">
        <v>30805</v>
      </c>
      <c r="G20" s="177">
        <v>19518</v>
      </c>
      <c r="H20" s="231">
        <v>18342</v>
      </c>
      <c r="I20" s="177">
        <v>17378</v>
      </c>
      <c r="J20" s="231">
        <v>16999</v>
      </c>
      <c r="K20" s="73">
        <f t="shared" si="3"/>
        <v>159.80882352941177</v>
      </c>
      <c r="L20" s="285">
        <f t="shared" si="0"/>
        <v>154.02500000000001</v>
      </c>
      <c r="M20" s="73">
        <f t="shared" si="4"/>
        <v>95.67647058823529</v>
      </c>
      <c r="N20" s="285">
        <f t="shared" si="1"/>
        <v>91.71</v>
      </c>
      <c r="O20" s="73">
        <f t="shared" si="5"/>
        <v>85.186274509803923</v>
      </c>
      <c r="P20" s="154">
        <f t="shared" si="2"/>
        <v>84.995000000000005</v>
      </c>
      <c r="Q20" s="306">
        <f t="shared" si="6"/>
        <v>8.4677922077922074E-2</v>
      </c>
      <c r="R20" s="307">
        <f t="shared" si="7"/>
        <v>8.3482384823848232E-2</v>
      </c>
      <c r="S20" s="308">
        <f t="shared" si="8"/>
        <v>5.513559322033898E-2</v>
      </c>
      <c r="T20" s="307">
        <f t="shared" si="9"/>
        <v>5.426627218934911E-2</v>
      </c>
      <c r="U20" s="308">
        <f t="shared" si="10"/>
        <v>6.3889940771841069E-2</v>
      </c>
      <c r="V20" s="307">
        <f t="shared" si="11"/>
        <v>6.2959725627597246E-2</v>
      </c>
      <c r="W20" s="288"/>
      <c r="X20" s="286"/>
      <c r="Y20" s="4"/>
    </row>
    <row r="21" spans="1:25" x14ac:dyDescent="0.25">
      <c r="B21" s="89" t="s">
        <v>9</v>
      </c>
      <c r="C21" s="176">
        <v>319000</v>
      </c>
      <c r="D21" s="221">
        <v>319000</v>
      </c>
      <c r="E21" s="296">
        <v>51222</v>
      </c>
      <c r="F21" s="300">
        <v>49126</v>
      </c>
      <c r="G21" s="296">
        <v>51698</v>
      </c>
      <c r="H21" s="300">
        <v>49668</v>
      </c>
      <c r="I21" s="296">
        <v>39404</v>
      </c>
      <c r="J21" s="300">
        <v>39246</v>
      </c>
      <c r="K21" s="55">
        <f t="shared" si="3"/>
        <v>160.5705329153605</v>
      </c>
      <c r="L21" s="284">
        <f t="shared" si="0"/>
        <v>154</v>
      </c>
      <c r="M21" s="55">
        <f t="shared" si="4"/>
        <v>162.06269592476488</v>
      </c>
      <c r="N21" s="284">
        <f t="shared" si="1"/>
        <v>155.69905956112854</v>
      </c>
      <c r="O21" s="55">
        <f t="shared" si="5"/>
        <v>123.52351097178683</v>
      </c>
      <c r="P21" s="302">
        <f t="shared" si="2"/>
        <v>123.0282131661442</v>
      </c>
      <c r="Q21" s="303">
        <f t="shared" si="6"/>
        <v>0.13304415584415585</v>
      </c>
      <c r="R21" s="301">
        <f t="shared" si="7"/>
        <v>0.13313279132791328</v>
      </c>
      <c r="S21" s="289">
        <f t="shared" si="8"/>
        <v>0.14603954802259886</v>
      </c>
      <c r="T21" s="301">
        <f t="shared" si="9"/>
        <v>0.14694674556213017</v>
      </c>
      <c r="U21" s="289">
        <f t="shared" si="10"/>
        <v>0.14486817966242524</v>
      </c>
      <c r="V21" s="301">
        <f t="shared" si="11"/>
        <v>0.14535663227135015</v>
      </c>
      <c r="W21" s="288"/>
      <c r="X21" s="286"/>
      <c r="Y21" s="4"/>
    </row>
    <row r="22" spans="1:25" x14ac:dyDescent="0.25">
      <c r="B22" s="103" t="s">
        <v>10</v>
      </c>
      <c r="C22" s="177">
        <v>794000</v>
      </c>
      <c r="D22" s="231">
        <v>787000</v>
      </c>
      <c r="E22" s="177">
        <v>68804</v>
      </c>
      <c r="F22" s="231">
        <v>65773</v>
      </c>
      <c r="G22" s="177">
        <v>21506</v>
      </c>
      <c r="H22" s="231">
        <v>20466</v>
      </c>
      <c r="I22" s="177">
        <v>14002</v>
      </c>
      <c r="J22" s="231">
        <v>13867</v>
      </c>
      <c r="K22" s="73">
        <f t="shared" si="3"/>
        <v>86.654911838790937</v>
      </c>
      <c r="L22" s="285">
        <f t="shared" si="0"/>
        <v>83.57433290978399</v>
      </c>
      <c r="M22" s="73">
        <f t="shared" si="4"/>
        <v>27.085642317380351</v>
      </c>
      <c r="N22" s="285">
        <f t="shared" si="1"/>
        <v>26.005082592121983</v>
      </c>
      <c r="O22" s="73">
        <f t="shared" si="5"/>
        <v>17.634760705289672</v>
      </c>
      <c r="P22" s="154">
        <f t="shared" si="2"/>
        <v>17.620076238881829</v>
      </c>
      <c r="Q22" s="306">
        <f t="shared" si="6"/>
        <v>0.17871168831168832</v>
      </c>
      <c r="R22" s="307">
        <f t="shared" si="7"/>
        <v>0.17824661246612467</v>
      </c>
      <c r="S22" s="308">
        <f t="shared" si="8"/>
        <v>6.075141242937853E-2</v>
      </c>
      <c r="T22" s="307">
        <f t="shared" si="9"/>
        <v>6.0550295857988164E-2</v>
      </c>
      <c r="U22" s="308">
        <f t="shared" si="10"/>
        <v>5.147813043430307E-2</v>
      </c>
      <c r="V22" s="307">
        <f t="shared" si="11"/>
        <v>5.1359639701034819E-2</v>
      </c>
      <c r="W22" s="288"/>
      <c r="X22" s="286"/>
      <c r="Y22" s="4"/>
    </row>
    <row r="23" spans="1:25" x14ac:dyDescent="0.25">
      <c r="B23" s="89" t="s">
        <v>11</v>
      </c>
      <c r="C23" s="176">
        <v>13000</v>
      </c>
      <c r="D23" s="221">
        <v>13000</v>
      </c>
      <c r="E23" s="296">
        <v>3251</v>
      </c>
      <c r="F23" s="300">
        <v>3090</v>
      </c>
      <c r="G23" s="296">
        <v>2483</v>
      </c>
      <c r="H23" s="300">
        <v>2349</v>
      </c>
      <c r="I23" s="296">
        <v>2258</v>
      </c>
      <c r="J23" s="300">
        <v>2222</v>
      </c>
      <c r="K23" s="55">
        <f t="shared" si="3"/>
        <v>250.07692307692307</v>
      </c>
      <c r="L23" s="284">
        <f t="shared" si="0"/>
        <v>237.69230769230768</v>
      </c>
      <c r="M23" s="55">
        <f t="shared" si="4"/>
        <v>191</v>
      </c>
      <c r="N23" s="284">
        <f t="shared" si="1"/>
        <v>180.69230769230768</v>
      </c>
      <c r="O23" s="55">
        <f t="shared" si="5"/>
        <v>173.69230769230768</v>
      </c>
      <c r="P23" s="302">
        <f t="shared" si="2"/>
        <v>170.92307692307693</v>
      </c>
      <c r="Q23" s="303">
        <f t="shared" si="6"/>
        <v>8.4441558441558442E-3</v>
      </c>
      <c r="R23" s="301">
        <f t="shared" si="7"/>
        <v>8.3739837398373977E-3</v>
      </c>
      <c r="S23" s="289">
        <f t="shared" si="8"/>
        <v>7.0141242937853104E-3</v>
      </c>
      <c r="T23" s="301">
        <f t="shared" si="9"/>
        <v>6.9497041420118347E-3</v>
      </c>
      <c r="U23" s="289">
        <f t="shared" si="10"/>
        <v>8.3015011084599574E-3</v>
      </c>
      <c r="V23" s="301">
        <f t="shared" si="11"/>
        <v>8.229690590300669E-3</v>
      </c>
      <c r="W23" s="288"/>
      <c r="X23" s="286"/>
      <c r="Y23" s="4"/>
    </row>
    <row r="24" spans="1:25" x14ac:dyDescent="0.25">
      <c r="B24" s="103" t="s">
        <v>12</v>
      </c>
      <c r="C24" s="177">
        <v>363000</v>
      </c>
      <c r="D24" s="231">
        <v>359000</v>
      </c>
      <c r="E24" s="177">
        <v>28194</v>
      </c>
      <c r="F24" s="231">
        <v>26925</v>
      </c>
      <c r="G24" s="177">
        <v>29648</v>
      </c>
      <c r="H24" s="231">
        <v>28195</v>
      </c>
      <c r="I24" s="177">
        <v>23005</v>
      </c>
      <c r="J24" s="231">
        <v>22743</v>
      </c>
      <c r="K24" s="73">
        <f t="shared" si="3"/>
        <v>77.669421487603302</v>
      </c>
      <c r="L24" s="285">
        <f t="shared" si="0"/>
        <v>75</v>
      </c>
      <c r="M24" s="73">
        <f t="shared" si="4"/>
        <v>81.67493112947659</v>
      </c>
      <c r="N24" s="285">
        <f t="shared" si="1"/>
        <v>78.537604456824511</v>
      </c>
      <c r="O24" s="73">
        <f t="shared" si="5"/>
        <v>63.374655647382923</v>
      </c>
      <c r="P24" s="154">
        <f t="shared" si="2"/>
        <v>63.350974930362113</v>
      </c>
      <c r="Q24" s="306">
        <f t="shared" si="6"/>
        <v>7.3231168831168827E-2</v>
      </c>
      <c r="R24" s="307">
        <f t="shared" si="7"/>
        <v>7.2967479674796748E-2</v>
      </c>
      <c r="S24" s="308">
        <f t="shared" si="8"/>
        <v>8.375141242937853E-2</v>
      </c>
      <c r="T24" s="307">
        <f t="shared" si="9"/>
        <v>8.3417159763313611E-2</v>
      </c>
      <c r="U24" s="308">
        <f t="shared" si="10"/>
        <v>8.4577516829105984E-2</v>
      </c>
      <c r="V24" s="307">
        <f t="shared" si="11"/>
        <v>8.4233957288572511E-2</v>
      </c>
      <c r="W24" s="290"/>
      <c r="X24" s="287"/>
      <c r="Y24" s="3"/>
    </row>
    <row r="25" spans="1:25" ht="6" customHeight="1" thickBot="1" x14ac:dyDescent="0.3">
      <c r="B25" s="89"/>
      <c r="C25" s="176"/>
      <c r="D25" s="221"/>
      <c r="E25" s="296"/>
      <c r="F25" s="300"/>
      <c r="G25" s="296"/>
      <c r="H25" s="300"/>
      <c r="I25" s="296"/>
      <c r="J25" s="300"/>
      <c r="K25" s="55"/>
      <c r="L25" s="284"/>
      <c r="M25" s="55"/>
      <c r="N25" s="284"/>
      <c r="O25" s="55"/>
      <c r="P25" s="302"/>
      <c r="Q25" s="303"/>
      <c r="R25" s="301"/>
      <c r="S25" s="289"/>
      <c r="T25" s="301"/>
      <c r="U25" s="289"/>
      <c r="V25" s="301"/>
      <c r="W25" s="290"/>
      <c r="X25" s="287"/>
      <c r="Y25" s="3"/>
    </row>
    <row r="26" spans="1:25" ht="25.15" customHeight="1" thickTop="1" thickBot="1" x14ac:dyDescent="0.3">
      <c r="B26" s="207" t="s">
        <v>13</v>
      </c>
      <c r="C26" s="491">
        <f>SUM(C11:C24)</f>
        <v>4075000</v>
      </c>
      <c r="D26" s="492">
        <f>SUM(D11:D24)</f>
        <v>4050000</v>
      </c>
      <c r="E26" s="493">
        <f>SUM(E11:E24)</f>
        <v>385000</v>
      </c>
      <c r="F26" s="494">
        <f t="shared" ref="F26:J26" si="12">SUM(F11:F24)</f>
        <v>369000</v>
      </c>
      <c r="G26" s="495">
        <f>SUM(G11:G24)</f>
        <v>354000</v>
      </c>
      <c r="H26" s="494">
        <f t="shared" si="12"/>
        <v>338000</v>
      </c>
      <c r="I26" s="496">
        <f t="shared" si="12"/>
        <v>271999</v>
      </c>
      <c r="J26" s="494">
        <f t="shared" si="12"/>
        <v>269998</v>
      </c>
      <c r="K26" s="497"/>
      <c r="L26" s="498"/>
      <c r="M26" s="498"/>
      <c r="N26" s="498"/>
      <c r="O26" s="498"/>
      <c r="P26" s="499"/>
      <c r="Q26" s="95">
        <f t="shared" ref="Q26:V26" si="13">SUM(Q11:Q24)</f>
        <v>1</v>
      </c>
      <c r="R26" s="466">
        <f t="shared" si="13"/>
        <v>1</v>
      </c>
      <c r="S26" s="464">
        <f t="shared" si="13"/>
        <v>1</v>
      </c>
      <c r="T26" s="466">
        <f t="shared" si="13"/>
        <v>0.99999999999999989</v>
      </c>
      <c r="U26" s="464">
        <f t="shared" si="13"/>
        <v>1.0000000000000002</v>
      </c>
      <c r="V26" s="466">
        <f t="shared" si="13"/>
        <v>1</v>
      </c>
      <c r="W26" s="239"/>
      <c r="X26" s="36"/>
    </row>
    <row r="27" spans="1:25" ht="15.75" thickTop="1" x14ac:dyDescent="0.25">
      <c r="B27" s="35"/>
      <c r="C27" s="246"/>
      <c r="D27" s="246"/>
      <c r="E27" s="291"/>
      <c r="F27" s="291"/>
      <c r="G27" s="291"/>
      <c r="H27" s="291"/>
      <c r="I27" s="291"/>
      <c r="J27" s="291"/>
      <c r="K27" s="246"/>
      <c r="L27" s="246"/>
      <c r="M27" s="246"/>
      <c r="N27" s="246"/>
      <c r="O27" s="246"/>
      <c r="P27" s="246"/>
      <c r="Q27" s="246"/>
      <c r="R27" s="246"/>
      <c r="S27" s="246"/>
      <c r="T27" s="246"/>
      <c r="U27" s="246"/>
      <c r="V27" s="246"/>
      <c r="W27" s="246"/>
      <c r="X27" s="36"/>
    </row>
    <row r="28" spans="1:25" x14ac:dyDescent="0.25">
      <c r="B28" s="67"/>
      <c r="C28" s="304"/>
      <c r="D28" s="304"/>
      <c r="E28" s="305"/>
      <c r="F28" s="291"/>
      <c r="G28" s="291"/>
      <c r="H28" s="291"/>
      <c r="I28" s="291"/>
      <c r="J28" s="291"/>
      <c r="K28" s="246"/>
      <c r="L28" s="246"/>
      <c r="M28" s="246"/>
      <c r="N28" s="246"/>
      <c r="O28" s="246"/>
      <c r="P28" s="246"/>
      <c r="Q28" s="246"/>
      <c r="R28" s="246"/>
      <c r="S28" s="246"/>
      <c r="T28" s="246"/>
      <c r="U28" s="246"/>
      <c r="V28" s="246"/>
      <c r="W28" s="246"/>
      <c r="X28" s="36"/>
    </row>
    <row r="29" spans="1:25" x14ac:dyDescent="0.25">
      <c r="B29" s="66" t="s">
        <v>396</v>
      </c>
      <c r="C29" s="87"/>
      <c r="D29" s="87"/>
      <c r="E29" s="88"/>
      <c r="K29" s="7"/>
      <c r="L29" s="7"/>
      <c r="M29" s="7"/>
      <c r="N29" s="7"/>
      <c r="O29" s="7"/>
      <c r="P29" s="7"/>
      <c r="W29" s="7"/>
    </row>
    <row r="30" spans="1:25" x14ac:dyDescent="0.25">
      <c r="A30" s="21"/>
      <c r="B30" s="67" t="s">
        <v>91</v>
      </c>
      <c r="C30" s="67"/>
      <c r="D30" s="67"/>
      <c r="E30" s="68"/>
      <c r="F30" s="68"/>
      <c r="G30" s="68"/>
      <c r="H30" s="68"/>
      <c r="I30" s="68"/>
      <c r="J30" s="68"/>
      <c r="K30" s="67"/>
      <c r="L30" s="67"/>
      <c r="M30" s="7"/>
      <c r="N30" s="7"/>
      <c r="O30" s="7"/>
      <c r="P30" s="7"/>
      <c r="R30"/>
      <c r="S30"/>
      <c r="T30"/>
      <c r="U30"/>
      <c r="V30"/>
      <c r="W30" s="7"/>
    </row>
    <row r="31" spans="1:25" x14ac:dyDescent="0.25">
      <c r="A31" s="21"/>
      <c r="B31" s="67"/>
      <c r="C31" s="67"/>
      <c r="D31" s="67"/>
      <c r="E31" s="68"/>
      <c r="F31" s="68"/>
      <c r="G31" s="68"/>
      <c r="H31" s="68"/>
      <c r="I31" s="68"/>
      <c r="J31" s="68"/>
      <c r="K31" s="67"/>
      <c r="L31" s="67"/>
      <c r="M31" s="7"/>
      <c r="N31" s="7"/>
      <c r="O31" s="7"/>
      <c r="P31" s="7"/>
      <c r="R31"/>
      <c r="S31"/>
      <c r="T31"/>
      <c r="U31"/>
      <c r="V31"/>
      <c r="W31" s="7"/>
    </row>
    <row r="32" spans="1:25" x14ac:dyDescent="0.25">
      <c r="B32" s="79" t="s">
        <v>397</v>
      </c>
      <c r="C32" s="68"/>
      <c r="D32" s="68"/>
      <c r="E32" s="68"/>
      <c r="F32" s="68"/>
      <c r="G32" s="68"/>
      <c r="H32" s="68"/>
      <c r="I32" s="68"/>
      <c r="J32" s="68"/>
      <c r="K32" s="68"/>
      <c r="L32" s="68"/>
      <c r="Q32"/>
      <c r="R32"/>
      <c r="S32"/>
      <c r="T32"/>
      <c r="U32"/>
      <c r="V32"/>
    </row>
    <row r="33" spans="1:22" x14ac:dyDescent="0.25">
      <c r="A33" s="21"/>
      <c r="B33" s="68" t="s">
        <v>90</v>
      </c>
      <c r="C33" s="68"/>
      <c r="D33" s="68"/>
      <c r="E33" s="68"/>
      <c r="F33" s="68"/>
      <c r="G33" s="68"/>
      <c r="H33" s="68"/>
      <c r="I33" s="68"/>
      <c r="J33" s="68"/>
      <c r="K33" s="68"/>
      <c r="L33" s="68"/>
      <c r="Q33"/>
      <c r="R33"/>
      <c r="S33"/>
      <c r="T33"/>
      <c r="U33"/>
      <c r="V33"/>
    </row>
    <row r="34" spans="1:22" x14ac:dyDescent="0.25">
      <c r="B34" s="69" t="s">
        <v>382</v>
      </c>
      <c r="C34" s="68"/>
      <c r="D34" s="68"/>
      <c r="E34" s="68"/>
      <c r="F34" s="68"/>
      <c r="G34" s="68"/>
      <c r="H34" s="68"/>
      <c r="I34" s="68"/>
      <c r="J34" s="68"/>
      <c r="K34" s="68"/>
      <c r="L34" s="68"/>
    </row>
    <row r="35" spans="1:22" x14ac:dyDescent="0.25">
      <c r="B35" s="68"/>
      <c r="C35" s="68"/>
      <c r="D35" s="68"/>
      <c r="E35" s="68"/>
      <c r="F35" s="68"/>
      <c r="G35" s="68"/>
      <c r="H35" s="68"/>
      <c r="I35" s="68"/>
      <c r="J35" s="68"/>
      <c r="K35" s="68"/>
      <c r="L35" s="68"/>
    </row>
    <row r="36" spans="1:22" x14ac:dyDescent="0.25">
      <c r="B36" s="79" t="s">
        <v>398</v>
      </c>
      <c r="C36" s="68"/>
      <c r="D36" s="68"/>
      <c r="E36" s="68"/>
      <c r="F36" s="68"/>
      <c r="G36" s="68"/>
      <c r="H36" s="68"/>
      <c r="I36" s="68"/>
      <c r="J36" s="68"/>
      <c r="K36" s="68"/>
      <c r="L36" s="68"/>
    </row>
    <row r="37" spans="1:22" x14ac:dyDescent="0.25">
      <c r="B37" s="68"/>
      <c r="C37" s="68"/>
      <c r="D37" s="68"/>
      <c r="E37" s="68"/>
      <c r="F37" s="68"/>
      <c r="G37" s="68"/>
      <c r="H37" s="68"/>
      <c r="I37" s="68"/>
      <c r="J37" s="68"/>
      <c r="K37" s="68"/>
      <c r="L37" s="68"/>
    </row>
    <row r="38" spans="1:22" x14ac:dyDescent="0.25">
      <c r="B38" s="68"/>
      <c r="C38" s="68"/>
      <c r="D38" s="68"/>
      <c r="E38" s="68"/>
      <c r="F38" s="68"/>
      <c r="G38" s="68"/>
      <c r="H38" s="68"/>
      <c r="I38" s="68"/>
      <c r="J38" s="68"/>
      <c r="K38" s="68"/>
      <c r="L38" s="68"/>
    </row>
    <row r="39" spans="1:22" x14ac:dyDescent="0.25">
      <c r="B39" s="68"/>
      <c r="C39" s="68"/>
      <c r="D39" s="68"/>
      <c r="E39" s="68"/>
      <c r="F39" s="68"/>
      <c r="G39" s="68"/>
      <c r="H39" s="68"/>
      <c r="I39" s="68"/>
      <c r="J39" s="68"/>
      <c r="K39" s="68"/>
      <c r="L39" s="68"/>
    </row>
    <row r="40" spans="1:22" x14ac:dyDescent="0.25">
      <c r="B40" s="68"/>
      <c r="C40" s="68"/>
      <c r="D40" s="68"/>
      <c r="E40" s="68"/>
      <c r="F40" s="68"/>
      <c r="G40" s="68"/>
      <c r="H40" s="68"/>
      <c r="I40" s="68"/>
      <c r="J40" s="68"/>
      <c r="K40" s="68"/>
      <c r="L40" s="68"/>
    </row>
    <row r="41" spans="1:22" x14ac:dyDescent="0.25">
      <c r="B41" s="68"/>
      <c r="C41" s="68"/>
      <c r="D41" s="68"/>
      <c r="E41" s="68"/>
      <c r="F41" s="68"/>
      <c r="G41" s="68"/>
      <c r="H41" s="68"/>
      <c r="I41" s="68"/>
      <c r="J41" s="68"/>
      <c r="K41" s="68"/>
      <c r="L41" s="68"/>
    </row>
    <row r="42" spans="1:22" x14ac:dyDescent="0.25">
      <c r="B42" s="68"/>
      <c r="C42" s="68"/>
      <c r="D42" s="68"/>
      <c r="E42" s="68"/>
      <c r="F42" s="68"/>
      <c r="G42" s="68"/>
      <c r="H42" s="68"/>
      <c r="I42" s="68"/>
      <c r="J42" s="68"/>
      <c r="K42" s="68"/>
      <c r="L42" s="68"/>
    </row>
    <row r="43" spans="1:22" x14ac:dyDescent="0.25">
      <c r="B43" s="68"/>
      <c r="C43" s="68"/>
      <c r="D43" s="68"/>
      <c r="E43" s="68"/>
      <c r="F43" s="68"/>
      <c r="G43" s="68"/>
      <c r="H43" s="68"/>
      <c r="I43" s="68"/>
      <c r="J43" s="68"/>
      <c r="K43" s="68"/>
      <c r="L43" s="68"/>
    </row>
    <row r="44" spans="1:22" x14ac:dyDescent="0.25">
      <c r="B44" s="68"/>
      <c r="C44" s="68"/>
      <c r="D44" s="68"/>
      <c r="E44" s="68"/>
      <c r="F44" s="68"/>
      <c r="G44" s="68"/>
      <c r="H44" s="68"/>
      <c r="I44" s="68"/>
      <c r="J44" s="68"/>
      <c r="K44" s="68"/>
      <c r="L44" s="68"/>
    </row>
    <row r="45" spans="1:22" x14ac:dyDescent="0.25">
      <c r="B45" s="68"/>
      <c r="C45" s="68"/>
      <c r="D45" s="68"/>
      <c r="E45" s="68"/>
      <c r="F45" s="68"/>
      <c r="G45" s="68"/>
      <c r="H45" s="68"/>
      <c r="I45" s="68"/>
      <c r="J45" s="68"/>
      <c r="K45" s="68"/>
      <c r="L45" s="68"/>
    </row>
  </sheetData>
  <mergeCells count="19">
    <mergeCell ref="E6:J6"/>
    <mergeCell ref="E7:J7"/>
    <mergeCell ref="C7:D7"/>
    <mergeCell ref="C6:D6"/>
    <mergeCell ref="K7:P7"/>
    <mergeCell ref="K6:P6"/>
    <mergeCell ref="K8:L8"/>
    <mergeCell ref="M8:N8"/>
    <mergeCell ref="O8:P8"/>
    <mergeCell ref="B7:B8"/>
    <mergeCell ref="C8:D8"/>
    <mergeCell ref="E8:F8"/>
    <mergeCell ref="G8:H8"/>
    <mergeCell ref="I8:J8"/>
    <mergeCell ref="Q8:R8"/>
    <mergeCell ref="S8:T8"/>
    <mergeCell ref="U8:V8"/>
    <mergeCell ref="Q7:V7"/>
    <mergeCell ref="Q6:V6"/>
  </mergeCells>
  <hyperlinks>
    <hyperlink ref="B1" location="Start!A1" display="Back to home page" xr:uid="{914CE683-961F-4CE0-87C3-3EA43C06646B}"/>
  </hyperlinks>
  <pageMargins left="0.23622047244094491" right="0.23622047244094491" top="0.74803149606299213" bottom="0.74803149606299213" header="0.31496062992125984" footer="0.31496062992125984"/>
  <pageSetup scale="75"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84B9-2FEF-4DE6-9913-EC3644943E4A}">
  <sheetPr>
    <tabColor rgb="FF92D050"/>
  </sheetPr>
  <dimension ref="A1:Q3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214</v>
      </c>
      <c r="C7" s="590"/>
      <c r="D7" s="597" t="s">
        <v>14</v>
      </c>
      <c r="E7" s="597"/>
      <c r="F7" s="597"/>
      <c r="G7" s="598" t="s">
        <v>415</v>
      </c>
      <c r="H7" s="598"/>
      <c r="I7" s="598"/>
      <c r="J7" s="598" t="s">
        <v>0</v>
      </c>
      <c r="K7" s="598"/>
      <c r="L7" s="598"/>
    </row>
    <row r="8" spans="1:17" s="12" customFormat="1" ht="34.15" customHeight="1" thickTop="1" thickBot="1" x14ac:dyDescent="0.3">
      <c r="A8" s="13"/>
      <c r="B8" s="619"/>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3" t="s">
        <v>393</v>
      </c>
      <c r="C9" s="49">
        <v>2018</v>
      </c>
      <c r="D9" s="188">
        <v>2018</v>
      </c>
      <c r="E9" s="188">
        <v>2018</v>
      </c>
      <c r="F9" s="188">
        <v>2018</v>
      </c>
      <c r="G9" s="188">
        <v>2018</v>
      </c>
      <c r="H9" s="188">
        <v>2018</v>
      </c>
      <c r="I9" s="188">
        <v>2018</v>
      </c>
      <c r="J9" s="188">
        <v>2018</v>
      </c>
      <c r="K9" s="188">
        <v>2018</v>
      </c>
      <c r="L9" s="188">
        <v>2018</v>
      </c>
    </row>
    <row r="10" spans="1:17" ht="6" customHeight="1" thickTop="1" x14ac:dyDescent="0.25">
      <c r="B10" s="96"/>
      <c r="C10" s="97"/>
      <c r="D10" s="98"/>
      <c r="E10" s="98"/>
      <c r="F10" s="98"/>
      <c r="G10" s="98"/>
      <c r="H10" s="98"/>
      <c r="I10" s="98"/>
      <c r="J10" s="98"/>
      <c r="K10" s="98"/>
      <c r="L10" s="98"/>
    </row>
    <row r="11" spans="1:17" x14ac:dyDescent="0.25">
      <c r="B11" s="192" t="s">
        <v>215</v>
      </c>
      <c r="C11" s="309">
        <v>200000</v>
      </c>
      <c r="D11" s="196">
        <v>12000</v>
      </c>
      <c r="E11" s="311">
        <v>2000</v>
      </c>
      <c r="F11" s="196">
        <v>1000</v>
      </c>
      <c r="G11" s="56">
        <f>IFERROR(D11*1000/C11,"-")</f>
        <v>60</v>
      </c>
      <c r="H11" s="56">
        <f>IFERROR(E11*1000/C11,"-")</f>
        <v>10</v>
      </c>
      <c r="I11" s="56">
        <f>IFERROR(F11*1000/C11,"-")</f>
        <v>5</v>
      </c>
      <c r="J11" s="57">
        <f t="shared" ref="J11:J20" si="0">D11/$D$22</f>
        <v>0.25210084033613445</v>
      </c>
      <c r="K11" s="57">
        <f t="shared" ref="K11:K20" si="1">E11/$E$22</f>
        <v>0.1941747572815534</v>
      </c>
      <c r="L11" s="57">
        <f t="shared" ref="L11:L20" si="2">F11/$F$22</f>
        <v>3.4482758620689655E-2</v>
      </c>
    </row>
    <row r="12" spans="1:17" x14ac:dyDescent="0.25">
      <c r="B12" s="103" t="s">
        <v>207</v>
      </c>
      <c r="C12" s="312">
        <v>30000</v>
      </c>
      <c r="D12" s="198">
        <v>6000</v>
      </c>
      <c r="E12" s="313">
        <v>1000</v>
      </c>
      <c r="F12" s="198">
        <v>3000</v>
      </c>
      <c r="G12" s="74">
        <f t="shared" ref="G12:G20" si="3">IFERROR(D12*1000/C12,"-")</f>
        <v>200</v>
      </c>
      <c r="H12" s="74">
        <f t="shared" ref="H12:H20" si="4">IFERROR(E12*1000/C12,"-")</f>
        <v>33.333333333333336</v>
      </c>
      <c r="I12" s="74">
        <f t="shared" ref="I12:I20" si="5">IFERROR(F12*1000/C12,"-")</f>
        <v>100</v>
      </c>
      <c r="J12" s="75">
        <f t="shared" si="0"/>
        <v>0.12605042016806722</v>
      </c>
      <c r="K12" s="75">
        <f t="shared" si="1"/>
        <v>9.7087378640776698E-2</v>
      </c>
      <c r="L12" s="75">
        <f t="shared" si="2"/>
        <v>0.10344827586206896</v>
      </c>
    </row>
    <row r="13" spans="1:17" x14ac:dyDescent="0.25">
      <c r="B13" s="192" t="s">
        <v>216</v>
      </c>
      <c r="C13" s="310">
        <v>30000</v>
      </c>
      <c r="D13" s="196">
        <v>8000</v>
      </c>
      <c r="E13" s="311">
        <v>2000</v>
      </c>
      <c r="F13" s="196">
        <v>6000</v>
      </c>
      <c r="G13" s="56">
        <f t="shared" si="3"/>
        <v>266.66666666666669</v>
      </c>
      <c r="H13" s="56">
        <f t="shared" si="4"/>
        <v>66.666666666666671</v>
      </c>
      <c r="I13" s="56">
        <f t="shared" si="5"/>
        <v>200</v>
      </c>
      <c r="J13" s="57">
        <f t="shared" si="0"/>
        <v>0.16806722689075632</v>
      </c>
      <c r="K13" s="57">
        <f t="shared" si="1"/>
        <v>0.1941747572815534</v>
      </c>
      <c r="L13" s="57">
        <f t="shared" si="2"/>
        <v>0.20689655172413793</v>
      </c>
    </row>
    <row r="14" spans="1:17" x14ac:dyDescent="0.25">
      <c r="B14" s="103" t="s">
        <v>217</v>
      </c>
      <c r="C14" s="312">
        <v>7000</v>
      </c>
      <c r="D14" s="198">
        <v>2000</v>
      </c>
      <c r="E14" s="313">
        <v>1000</v>
      </c>
      <c r="F14" s="198">
        <v>3000</v>
      </c>
      <c r="G14" s="74">
        <f t="shared" si="3"/>
        <v>285.71428571428572</v>
      </c>
      <c r="H14" s="74">
        <f t="shared" si="4"/>
        <v>142.85714285714286</v>
      </c>
      <c r="I14" s="74">
        <f t="shared" si="5"/>
        <v>428.57142857142856</v>
      </c>
      <c r="J14" s="75">
        <f t="shared" si="0"/>
        <v>4.2016806722689079E-2</v>
      </c>
      <c r="K14" s="75">
        <f t="shared" si="1"/>
        <v>9.7087378640776698E-2</v>
      </c>
      <c r="L14" s="75">
        <f t="shared" si="2"/>
        <v>0.10344827586206896</v>
      </c>
    </row>
    <row r="15" spans="1:17" x14ac:dyDescent="0.25">
      <c r="B15" s="192" t="s">
        <v>208</v>
      </c>
      <c r="C15" s="309">
        <v>50000</v>
      </c>
      <c r="D15" s="196">
        <v>10000</v>
      </c>
      <c r="E15" s="311">
        <v>1000</v>
      </c>
      <c r="F15" s="196">
        <v>8000</v>
      </c>
      <c r="G15" s="56">
        <f t="shared" si="3"/>
        <v>200</v>
      </c>
      <c r="H15" s="56">
        <f t="shared" si="4"/>
        <v>20</v>
      </c>
      <c r="I15" s="56">
        <f t="shared" si="5"/>
        <v>160</v>
      </c>
      <c r="J15" s="57">
        <f t="shared" si="0"/>
        <v>0.21008403361344538</v>
      </c>
      <c r="K15" s="57">
        <f t="shared" si="1"/>
        <v>9.7087378640776698E-2</v>
      </c>
      <c r="L15" s="57">
        <f t="shared" si="2"/>
        <v>0.27586206896551724</v>
      </c>
    </row>
    <row r="16" spans="1:17" x14ac:dyDescent="0.25">
      <c r="B16" s="103" t="s">
        <v>209</v>
      </c>
      <c r="C16" s="312">
        <v>20000</v>
      </c>
      <c r="D16" s="198">
        <v>5000</v>
      </c>
      <c r="E16" s="313">
        <v>2000</v>
      </c>
      <c r="F16" s="198">
        <v>5000</v>
      </c>
      <c r="G16" s="74">
        <f t="shared" si="3"/>
        <v>250</v>
      </c>
      <c r="H16" s="74">
        <f t="shared" si="4"/>
        <v>100</v>
      </c>
      <c r="I16" s="74">
        <f t="shared" si="5"/>
        <v>250</v>
      </c>
      <c r="J16" s="75">
        <f t="shared" si="0"/>
        <v>0.10504201680672269</v>
      </c>
      <c r="K16" s="75">
        <f t="shared" si="1"/>
        <v>0.1941747572815534</v>
      </c>
      <c r="L16" s="75">
        <f t="shared" si="2"/>
        <v>0.17241379310344829</v>
      </c>
    </row>
    <row r="17" spans="1:17" x14ac:dyDescent="0.25">
      <c r="B17" s="192" t="s">
        <v>210</v>
      </c>
      <c r="C17" s="309">
        <v>20000</v>
      </c>
      <c r="D17" s="196">
        <v>1000</v>
      </c>
      <c r="E17" s="311">
        <v>200</v>
      </c>
      <c r="F17" s="196">
        <v>400</v>
      </c>
      <c r="G17" s="56">
        <f t="shared" si="3"/>
        <v>50</v>
      </c>
      <c r="H17" s="56">
        <f t="shared" si="4"/>
        <v>10</v>
      </c>
      <c r="I17" s="56">
        <f t="shared" si="5"/>
        <v>20</v>
      </c>
      <c r="J17" s="57">
        <f t="shared" si="0"/>
        <v>2.100840336134454E-2</v>
      </c>
      <c r="K17" s="57">
        <f t="shared" si="1"/>
        <v>1.9417475728155338E-2</v>
      </c>
      <c r="L17" s="57">
        <f t="shared" si="2"/>
        <v>1.3793103448275862E-2</v>
      </c>
    </row>
    <row r="18" spans="1:17" x14ac:dyDescent="0.25">
      <c r="B18" s="103" t="s">
        <v>211</v>
      </c>
      <c r="C18" s="312">
        <v>10000</v>
      </c>
      <c r="D18" s="198">
        <v>1500</v>
      </c>
      <c r="E18" s="313">
        <v>300</v>
      </c>
      <c r="F18" s="198">
        <v>1000</v>
      </c>
      <c r="G18" s="74">
        <f t="shared" si="3"/>
        <v>150</v>
      </c>
      <c r="H18" s="74">
        <f t="shared" si="4"/>
        <v>30</v>
      </c>
      <c r="I18" s="74">
        <f t="shared" si="5"/>
        <v>100</v>
      </c>
      <c r="J18" s="75">
        <f t="shared" si="0"/>
        <v>3.1512605042016806E-2</v>
      </c>
      <c r="K18" s="75">
        <f t="shared" si="1"/>
        <v>2.9126213592233011E-2</v>
      </c>
      <c r="L18" s="75">
        <f t="shared" si="2"/>
        <v>3.4482758620689655E-2</v>
      </c>
    </row>
    <row r="19" spans="1:17" x14ac:dyDescent="0.25">
      <c r="B19" s="192" t="s">
        <v>212</v>
      </c>
      <c r="C19" s="309">
        <v>6000</v>
      </c>
      <c r="D19" s="196">
        <v>1500</v>
      </c>
      <c r="E19" s="311">
        <v>500</v>
      </c>
      <c r="F19" s="196">
        <v>1000</v>
      </c>
      <c r="G19" s="56">
        <f t="shared" si="3"/>
        <v>250</v>
      </c>
      <c r="H19" s="56">
        <f t="shared" si="4"/>
        <v>83.333333333333329</v>
      </c>
      <c r="I19" s="56">
        <f t="shared" si="5"/>
        <v>166.66666666666666</v>
      </c>
      <c r="J19" s="57">
        <f t="shared" si="0"/>
        <v>3.1512605042016806E-2</v>
      </c>
      <c r="K19" s="57">
        <f t="shared" si="1"/>
        <v>4.8543689320388349E-2</v>
      </c>
      <c r="L19" s="57">
        <f t="shared" si="2"/>
        <v>3.4482758620689655E-2</v>
      </c>
    </row>
    <row r="20" spans="1:17" x14ac:dyDescent="0.25">
      <c r="B20" s="103" t="s">
        <v>213</v>
      </c>
      <c r="C20" s="312">
        <v>2000</v>
      </c>
      <c r="D20" s="198">
        <v>600</v>
      </c>
      <c r="E20" s="313">
        <v>300</v>
      </c>
      <c r="F20" s="198">
        <v>600</v>
      </c>
      <c r="G20" s="74">
        <f t="shared" si="3"/>
        <v>300</v>
      </c>
      <c r="H20" s="74">
        <f t="shared" si="4"/>
        <v>150</v>
      </c>
      <c r="I20" s="74">
        <f t="shared" si="5"/>
        <v>300</v>
      </c>
      <c r="J20" s="75">
        <f t="shared" si="0"/>
        <v>1.2605042016806723E-2</v>
      </c>
      <c r="K20" s="75">
        <f t="shared" si="1"/>
        <v>2.9126213592233011E-2</v>
      </c>
      <c r="L20" s="75">
        <f t="shared" si="2"/>
        <v>2.0689655172413793E-2</v>
      </c>
    </row>
    <row r="21" spans="1:17" s="7" customFormat="1" ht="6" customHeight="1" thickBot="1" x14ac:dyDescent="0.3">
      <c r="B21" s="89"/>
      <c r="C21" s="99"/>
      <c r="D21" s="99"/>
      <c r="E21" s="93"/>
      <c r="F21" s="92"/>
      <c r="G21" s="100"/>
      <c r="H21" s="84"/>
      <c r="I21" s="101"/>
      <c r="J21" s="85"/>
      <c r="K21" s="85"/>
      <c r="L21" s="85"/>
    </row>
    <row r="22" spans="1:17" s="12" customFormat="1" ht="24.95" customHeight="1" thickTop="1" thickBot="1" x14ac:dyDescent="0.3">
      <c r="A22" s="13"/>
      <c r="B22" s="90" t="s">
        <v>13</v>
      </c>
      <c r="C22" s="63">
        <f>SUM(C11:C20)</f>
        <v>375000</v>
      </c>
      <c r="D22" s="63">
        <f>SUM(D11:D20)</f>
        <v>47600</v>
      </c>
      <c r="E22" s="62">
        <f>SUM(E11:E20)</f>
        <v>10300</v>
      </c>
      <c r="F22" s="102">
        <f>SUM(F11:F20)</f>
        <v>29000</v>
      </c>
      <c r="G22" s="94"/>
      <c r="H22" s="94"/>
      <c r="I22" s="94"/>
      <c r="J22" s="95">
        <f>SUM(J11:J20)</f>
        <v>1</v>
      </c>
      <c r="K22" s="64">
        <f>SUM(K11:K20)</f>
        <v>0.99999999999999989</v>
      </c>
      <c r="L22" s="65">
        <f>SUM(L11:L20)</f>
        <v>1</v>
      </c>
      <c r="M22" s="13"/>
      <c r="N22" s="13"/>
      <c r="O22" s="13"/>
      <c r="P22" s="13"/>
      <c r="Q22" s="13"/>
    </row>
    <row r="23" spans="1:17" ht="15.75" thickTop="1" x14ac:dyDescent="0.25">
      <c r="B23" s="15"/>
    </row>
    <row r="24" spans="1:17" x14ac:dyDescent="0.25">
      <c r="B24" s="15"/>
    </row>
    <row r="25" spans="1:17" x14ac:dyDescent="0.25">
      <c r="B25" s="66" t="s">
        <v>396</v>
      </c>
      <c r="C25" s="67"/>
      <c r="D25" s="67"/>
      <c r="E25" s="67"/>
      <c r="F25" s="67"/>
    </row>
    <row r="26" spans="1:17" x14ac:dyDescent="0.25">
      <c r="A26" s="21"/>
      <c r="B26" s="67" t="s">
        <v>293</v>
      </c>
      <c r="C26" s="68"/>
      <c r="D26" s="68"/>
      <c r="E26" s="68"/>
      <c r="F26" s="68"/>
      <c r="G26" s="87"/>
      <c r="H26" s="88"/>
      <c r="I26"/>
      <c r="J26"/>
      <c r="K26"/>
      <c r="L26"/>
      <c r="M26"/>
      <c r="N26"/>
      <c r="O26"/>
      <c r="P26"/>
      <c r="Q26"/>
    </row>
    <row r="27" spans="1:17" ht="14.45" customHeight="1" x14ac:dyDescent="0.25">
      <c r="A27" s="21"/>
      <c r="B27" s="67"/>
      <c r="C27" s="68"/>
      <c r="D27" s="68"/>
      <c r="E27" s="68"/>
      <c r="F27" s="68"/>
      <c r="G27" s="87"/>
      <c r="H27" s="88"/>
      <c r="I27"/>
      <c r="J27"/>
      <c r="K27"/>
      <c r="L27"/>
      <c r="M27"/>
      <c r="N27"/>
      <c r="O27"/>
      <c r="P27"/>
      <c r="Q27"/>
    </row>
    <row r="28" spans="1:17" x14ac:dyDescent="0.25">
      <c r="A28"/>
      <c r="B28" s="79" t="s">
        <v>397</v>
      </c>
      <c r="C28" s="68"/>
      <c r="D28" s="68"/>
      <c r="E28" s="68"/>
      <c r="F28" s="68"/>
      <c r="G28" s="88"/>
      <c r="H28" s="88"/>
      <c r="I28"/>
      <c r="J28"/>
      <c r="K28"/>
      <c r="L28"/>
      <c r="M28"/>
      <c r="N28"/>
      <c r="O28"/>
      <c r="P28"/>
      <c r="Q28"/>
    </row>
    <row r="29" spans="1:17" x14ac:dyDescent="0.25">
      <c r="A29" s="21"/>
      <c r="B29" s="67" t="s">
        <v>176</v>
      </c>
      <c r="C29" s="68"/>
      <c r="D29" s="68"/>
      <c r="E29" s="68"/>
      <c r="F29" s="68"/>
      <c r="G29" s="88"/>
      <c r="H29" s="88"/>
      <c r="I29"/>
      <c r="J29"/>
      <c r="K29"/>
      <c r="L29"/>
      <c r="M29"/>
      <c r="N29"/>
      <c r="O29"/>
      <c r="P29"/>
      <c r="Q29"/>
    </row>
    <row r="30" spans="1:17" x14ac:dyDescent="0.25">
      <c r="B30" s="67" t="s">
        <v>382</v>
      </c>
      <c r="C30" s="67"/>
      <c r="D30" s="67"/>
      <c r="E30" s="67"/>
      <c r="F30" s="67"/>
      <c r="G30" s="87"/>
      <c r="H30" s="87"/>
    </row>
    <row r="31" spans="1:17" x14ac:dyDescent="0.25">
      <c r="B31" s="87"/>
      <c r="C31" s="87"/>
      <c r="D31" s="87"/>
      <c r="E31" s="87"/>
      <c r="F31" s="87"/>
      <c r="G31" s="87"/>
      <c r="H31" s="87"/>
    </row>
    <row r="32" spans="1:17" x14ac:dyDescent="0.25">
      <c r="B32" s="66" t="s">
        <v>398</v>
      </c>
    </row>
  </sheetData>
  <mergeCells count="8">
    <mergeCell ref="C6:C7"/>
    <mergeCell ref="D6:F6"/>
    <mergeCell ref="G6:I6"/>
    <mergeCell ref="J6:L6"/>
    <mergeCell ref="B7:B8"/>
    <mergeCell ref="D7:F7"/>
    <mergeCell ref="G7:I7"/>
    <mergeCell ref="J7:L7"/>
  </mergeCells>
  <hyperlinks>
    <hyperlink ref="B1" location="Start!A1" display="Back to home page" xr:uid="{EC6B36B8-FA58-4B7B-A092-1D7E6325F8F2}"/>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2F714-6A51-4EFC-B985-72949C05F7E7}">
  <sheetPr>
    <tabColor rgb="FF92D050"/>
  </sheetPr>
  <dimension ref="A1:Q44"/>
  <sheetViews>
    <sheetView showGridLines="0" zoomScale="80" zoomScaleNormal="80" workbookViewId="0">
      <pane xSplit="2" ySplit="9" topLeftCell="C22" activePane="bottomRight" state="frozen"/>
      <selection pane="topRight" activeCell="C1" sqref="C1"/>
      <selection pane="bottomLeft" activeCell="A10" sqref="A10"/>
      <selection pane="bottomRight" activeCell="E44" sqref="E44"/>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283</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172">
        <v>420000</v>
      </c>
      <c r="D11" s="53">
        <v>56700</v>
      </c>
      <c r="E11" s="53">
        <v>9660</v>
      </c>
      <c r="F11" s="53">
        <v>17640</v>
      </c>
      <c r="G11" s="56">
        <f>IFERROR(D11*1000/C11,"-")</f>
        <v>135</v>
      </c>
      <c r="H11" s="56">
        <f>IFERROR(E11*1000/C11,"-")</f>
        <v>23</v>
      </c>
      <c r="I11" s="56">
        <f>IFERROR(F11*1000/C11,"-")</f>
        <v>42</v>
      </c>
      <c r="J11" s="57">
        <f t="shared" ref="J11:J30" si="0">D11/$D$33</f>
        <v>0.49061175045427013</v>
      </c>
      <c r="K11" s="57">
        <f t="shared" ref="K11:K31" si="1">E11/$E$33</f>
        <v>0.41446775646801393</v>
      </c>
      <c r="L11" s="57">
        <f t="shared" ref="L11:L31" si="2">F11/$F$33</f>
        <v>0.43409784427601139</v>
      </c>
    </row>
    <row r="12" spans="1:17" x14ac:dyDescent="0.25">
      <c r="B12" s="103" t="s">
        <v>27</v>
      </c>
      <c r="C12" s="174">
        <v>120000</v>
      </c>
      <c r="D12" s="71">
        <v>11400</v>
      </c>
      <c r="E12" s="71">
        <v>2160</v>
      </c>
      <c r="F12" s="71">
        <v>3600</v>
      </c>
      <c r="G12" s="74">
        <f t="shared" ref="G12:G31" si="3">IFERROR(D12*1000/C12,"-")</f>
        <v>95</v>
      </c>
      <c r="H12" s="74">
        <f t="shared" ref="H12:H31" si="4">IFERROR(E12*1000/C12,"-")</f>
        <v>18</v>
      </c>
      <c r="I12" s="74">
        <f t="shared" ref="I12:I31" si="5">IFERROR(F12*1000/C12,"-")</f>
        <v>30</v>
      </c>
      <c r="J12" s="75">
        <f t="shared" si="0"/>
        <v>9.8641515964350612E-2</v>
      </c>
      <c r="K12" s="75">
        <f t="shared" si="1"/>
        <v>9.2676020079804355E-2</v>
      </c>
      <c r="L12" s="75">
        <f t="shared" si="2"/>
        <v>8.8591396791022736E-2</v>
      </c>
    </row>
    <row r="13" spans="1:17" x14ac:dyDescent="0.25">
      <c r="B13" s="89" t="s">
        <v>28</v>
      </c>
      <c r="C13" s="172">
        <v>117000</v>
      </c>
      <c r="D13" s="53">
        <v>9360</v>
      </c>
      <c r="E13" s="53">
        <v>2106</v>
      </c>
      <c r="F13" s="53">
        <v>3276</v>
      </c>
      <c r="G13" s="56">
        <f t="shared" si="3"/>
        <v>80</v>
      </c>
      <c r="H13" s="56">
        <f t="shared" si="4"/>
        <v>18</v>
      </c>
      <c r="I13" s="56">
        <f t="shared" si="5"/>
        <v>28</v>
      </c>
      <c r="J13" s="57">
        <f t="shared" si="0"/>
        <v>8.0989876265466818E-2</v>
      </c>
      <c r="K13" s="57">
        <f t="shared" si="1"/>
        <v>9.0359119577809247E-2</v>
      </c>
      <c r="L13" s="57">
        <f t="shared" si="2"/>
        <v>8.0618171079830686E-2</v>
      </c>
    </row>
    <row r="14" spans="1:17" x14ac:dyDescent="0.25">
      <c r="B14" s="103" t="s">
        <v>29</v>
      </c>
      <c r="C14" s="174">
        <v>0</v>
      </c>
      <c r="D14" s="71">
        <v>0</v>
      </c>
      <c r="E14" s="71">
        <v>0</v>
      </c>
      <c r="F14" s="71">
        <v>0</v>
      </c>
      <c r="G14" s="74" t="str">
        <f t="shared" si="3"/>
        <v>-</v>
      </c>
      <c r="H14" s="74" t="str">
        <f t="shared" si="4"/>
        <v>-</v>
      </c>
      <c r="I14" s="74" t="str">
        <f t="shared" si="5"/>
        <v>-</v>
      </c>
      <c r="J14" s="75">
        <f t="shared" si="0"/>
        <v>0</v>
      </c>
      <c r="K14" s="75">
        <f t="shared" si="1"/>
        <v>0</v>
      </c>
      <c r="L14" s="75">
        <f t="shared" si="2"/>
        <v>0</v>
      </c>
    </row>
    <row r="15" spans="1:17" x14ac:dyDescent="0.25">
      <c r="B15" s="89" t="s">
        <v>30</v>
      </c>
      <c r="C15" s="172">
        <v>34000</v>
      </c>
      <c r="D15" s="53">
        <v>2380</v>
      </c>
      <c r="E15" s="53">
        <v>510</v>
      </c>
      <c r="F15" s="53">
        <v>408</v>
      </c>
      <c r="G15" s="56">
        <f t="shared" si="3"/>
        <v>70</v>
      </c>
      <c r="H15" s="56">
        <f t="shared" si="4"/>
        <v>15</v>
      </c>
      <c r="I15" s="56">
        <f t="shared" si="5"/>
        <v>12</v>
      </c>
      <c r="J15" s="57">
        <f t="shared" si="0"/>
        <v>2.0593579648697759E-2</v>
      </c>
      <c r="K15" s="57">
        <f t="shared" si="1"/>
        <v>2.1881838074398249E-2</v>
      </c>
      <c r="L15" s="57">
        <f t="shared" si="2"/>
        <v>1.0040358302982577E-2</v>
      </c>
    </row>
    <row r="16" spans="1:17" x14ac:dyDescent="0.25">
      <c r="B16" s="103" t="s">
        <v>31</v>
      </c>
      <c r="C16" s="174">
        <v>124000</v>
      </c>
      <c r="D16" s="71">
        <v>15500</v>
      </c>
      <c r="E16" s="71">
        <v>2728</v>
      </c>
      <c r="F16" s="71">
        <v>5580</v>
      </c>
      <c r="G16" s="74">
        <f t="shared" si="3"/>
        <v>125</v>
      </c>
      <c r="H16" s="74">
        <f t="shared" si="4"/>
        <v>22</v>
      </c>
      <c r="I16" s="74">
        <f t="shared" si="5"/>
        <v>45</v>
      </c>
      <c r="J16" s="75">
        <f t="shared" si="0"/>
        <v>0.13411785065328372</v>
      </c>
      <c r="K16" s="75">
        <f t="shared" si="1"/>
        <v>0.11704638091560475</v>
      </c>
      <c r="L16" s="75">
        <f t="shared" si="2"/>
        <v>0.13731666502608525</v>
      </c>
    </row>
    <row r="17" spans="2:12" x14ac:dyDescent="0.25">
      <c r="B17" s="89" t="s">
        <v>32</v>
      </c>
      <c r="C17" s="172">
        <v>2000</v>
      </c>
      <c r="D17" s="53">
        <v>70</v>
      </c>
      <c r="E17" s="53">
        <v>34</v>
      </c>
      <c r="F17" s="53">
        <v>60</v>
      </c>
      <c r="G17" s="56">
        <f t="shared" si="3"/>
        <v>35</v>
      </c>
      <c r="H17" s="56">
        <f t="shared" si="4"/>
        <v>17</v>
      </c>
      <c r="I17" s="56">
        <f t="shared" si="5"/>
        <v>30</v>
      </c>
      <c r="J17" s="57">
        <f t="shared" si="0"/>
        <v>6.0569351907934583E-4</v>
      </c>
      <c r="K17" s="57">
        <f t="shared" si="1"/>
        <v>1.4587892049598833E-3</v>
      </c>
      <c r="L17" s="57">
        <f t="shared" si="2"/>
        <v>1.476523279850379E-3</v>
      </c>
    </row>
    <row r="18" spans="2:12" x14ac:dyDescent="0.25">
      <c r="B18" s="103" t="s">
        <v>33</v>
      </c>
      <c r="C18" s="174">
        <v>54000</v>
      </c>
      <c r="D18" s="71">
        <v>1620</v>
      </c>
      <c r="E18" s="71">
        <v>918</v>
      </c>
      <c r="F18" s="71">
        <v>1512</v>
      </c>
      <c r="G18" s="74">
        <f t="shared" si="3"/>
        <v>30</v>
      </c>
      <c r="H18" s="74">
        <f t="shared" si="4"/>
        <v>17</v>
      </c>
      <c r="I18" s="74">
        <f t="shared" si="5"/>
        <v>28</v>
      </c>
      <c r="J18" s="75">
        <f t="shared" si="0"/>
        <v>1.4017478584407718E-2</v>
      </c>
      <c r="K18" s="75">
        <f t="shared" si="1"/>
        <v>3.9387308533916851E-2</v>
      </c>
      <c r="L18" s="75">
        <f t="shared" si="2"/>
        <v>3.7208386652229551E-2</v>
      </c>
    </row>
    <row r="19" spans="2:12" x14ac:dyDescent="0.25">
      <c r="B19" s="89" t="s">
        <v>26</v>
      </c>
      <c r="C19" s="172">
        <v>22000</v>
      </c>
      <c r="D19" s="53">
        <v>1870</v>
      </c>
      <c r="E19" s="53">
        <v>660</v>
      </c>
      <c r="F19" s="53">
        <v>1540</v>
      </c>
      <c r="G19" s="56">
        <f t="shared" si="3"/>
        <v>85</v>
      </c>
      <c r="H19" s="56">
        <f t="shared" si="4"/>
        <v>30</v>
      </c>
      <c r="I19" s="56">
        <f t="shared" si="5"/>
        <v>70</v>
      </c>
      <c r="J19" s="57">
        <f t="shared" si="0"/>
        <v>1.6180669723976811E-2</v>
      </c>
      <c r="K19" s="57">
        <f t="shared" si="1"/>
        <v>2.8317672802162439E-2</v>
      </c>
      <c r="L19" s="57">
        <f t="shared" si="2"/>
        <v>3.7897430849493062E-2</v>
      </c>
    </row>
    <row r="20" spans="2:12" x14ac:dyDescent="0.25">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25">
      <c r="B21" s="89" t="s">
        <v>9</v>
      </c>
      <c r="C21" s="172">
        <v>8000</v>
      </c>
      <c r="D21" s="53">
        <v>640</v>
      </c>
      <c r="E21" s="53">
        <v>160</v>
      </c>
      <c r="F21" s="53">
        <v>240</v>
      </c>
      <c r="G21" s="56">
        <f t="shared" si="3"/>
        <v>80</v>
      </c>
      <c r="H21" s="56">
        <f t="shared" si="4"/>
        <v>20</v>
      </c>
      <c r="I21" s="56">
        <f t="shared" si="5"/>
        <v>30</v>
      </c>
      <c r="J21" s="57">
        <f t="shared" si="0"/>
        <v>5.537769317296876E-3</v>
      </c>
      <c r="K21" s="57">
        <f t="shared" si="1"/>
        <v>6.8648903762818037E-3</v>
      </c>
      <c r="L21" s="57">
        <f t="shared" si="2"/>
        <v>5.9060931194015159E-3</v>
      </c>
    </row>
    <row r="22" spans="2:12" x14ac:dyDescent="0.25">
      <c r="B22" s="103" t="s">
        <v>35</v>
      </c>
      <c r="C22" s="174">
        <v>5000</v>
      </c>
      <c r="D22" s="71">
        <v>200</v>
      </c>
      <c r="E22" s="71">
        <v>85</v>
      </c>
      <c r="F22" s="71">
        <v>100</v>
      </c>
      <c r="G22" s="74">
        <f t="shared" si="3"/>
        <v>40</v>
      </c>
      <c r="H22" s="74">
        <f t="shared" si="4"/>
        <v>17</v>
      </c>
      <c r="I22" s="74">
        <f t="shared" si="5"/>
        <v>20</v>
      </c>
      <c r="J22" s="75">
        <f t="shared" si="0"/>
        <v>1.7305529116552738E-3</v>
      </c>
      <c r="K22" s="75">
        <f t="shared" si="1"/>
        <v>3.6469730123997084E-3</v>
      </c>
      <c r="L22" s="75">
        <f t="shared" si="2"/>
        <v>2.4608721330839651E-3</v>
      </c>
    </row>
    <row r="23" spans="2:12" x14ac:dyDescent="0.25">
      <c r="B23" s="89" t="s">
        <v>36</v>
      </c>
      <c r="C23" s="172">
        <v>50000</v>
      </c>
      <c r="D23" s="53">
        <v>750</v>
      </c>
      <c r="E23" s="53">
        <v>750</v>
      </c>
      <c r="F23" s="53">
        <v>1100</v>
      </c>
      <c r="G23" s="56">
        <f t="shared" si="3"/>
        <v>15</v>
      </c>
      <c r="H23" s="56">
        <f t="shared" si="4"/>
        <v>15</v>
      </c>
      <c r="I23" s="56">
        <f t="shared" si="5"/>
        <v>22</v>
      </c>
      <c r="J23" s="57">
        <f t="shared" si="0"/>
        <v>6.4895734187072774E-3</v>
      </c>
      <c r="K23" s="57">
        <f t="shared" si="1"/>
        <v>3.2179173638820953E-2</v>
      </c>
      <c r="L23" s="57">
        <f t="shared" si="2"/>
        <v>2.7069593463923614E-2</v>
      </c>
    </row>
    <row r="24" spans="2:12" x14ac:dyDescent="0.25">
      <c r="B24" s="103" t="s">
        <v>37</v>
      </c>
      <c r="C24" s="174">
        <v>120000</v>
      </c>
      <c r="D24" s="71">
        <v>6000</v>
      </c>
      <c r="E24" s="71">
        <v>1920</v>
      </c>
      <c r="F24" s="71">
        <v>3000</v>
      </c>
      <c r="G24" s="74">
        <f t="shared" si="3"/>
        <v>50</v>
      </c>
      <c r="H24" s="74">
        <f t="shared" si="4"/>
        <v>16</v>
      </c>
      <c r="I24" s="74">
        <f t="shared" si="5"/>
        <v>25</v>
      </c>
      <c r="J24" s="75">
        <f t="shared" si="0"/>
        <v>5.1916587349658219E-2</v>
      </c>
      <c r="K24" s="75">
        <f t="shared" si="1"/>
        <v>8.2378684515381648E-2</v>
      </c>
      <c r="L24" s="75">
        <f t="shared" si="2"/>
        <v>7.3826163992518942E-2</v>
      </c>
    </row>
    <row r="25" spans="2:12" x14ac:dyDescent="0.25">
      <c r="B25" s="89" t="s">
        <v>38</v>
      </c>
      <c r="C25" s="172">
        <v>26000</v>
      </c>
      <c r="D25" s="53">
        <v>2080</v>
      </c>
      <c r="E25" s="53">
        <v>416</v>
      </c>
      <c r="F25" s="53">
        <v>780</v>
      </c>
      <c r="G25" s="56">
        <f t="shared" si="3"/>
        <v>80</v>
      </c>
      <c r="H25" s="56">
        <f t="shared" si="4"/>
        <v>16</v>
      </c>
      <c r="I25" s="56">
        <f t="shared" si="5"/>
        <v>30</v>
      </c>
      <c r="J25" s="57">
        <f t="shared" si="0"/>
        <v>1.799775028121485E-2</v>
      </c>
      <c r="K25" s="57">
        <f t="shared" si="1"/>
        <v>1.7848714978332691E-2</v>
      </c>
      <c r="L25" s="57">
        <f t="shared" si="2"/>
        <v>1.9194802638054925E-2</v>
      </c>
    </row>
    <row r="26" spans="2:12" x14ac:dyDescent="0.25">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25">
      <c r="B27" s="89" t="s">
        <v>40</v>
      </c>
      <c r="C27" s="172">
        <v>2000</v>
      </c>
      <c r="D27" s="53">
        <v>0</v>
      </c>
      <c r="E27" s="53">
        <v>0</v>
      </c>
      <c r="F27" s="53">
        <v>0</v>
      </c>
      <c r="G27" s="56">
        <f t="shared" si="3"/>
        <v>0</v>
      </c>
      <c r="H27" s="56">
        <f t="shared" si="4"/>
        <v>0</v>
      </c>
      <c r="I27" s="56">
        <f t="shared" si="5"/>
        <v>0</v>
      </c>
      <c r="J27" s="57">
        <f t="shared" si="0"/>
        <v>0</v>
      </c>
      <c r="K27" s="57">
        <f t="shared" si="1"/>
        <v>0</v>
      </c>
      <c r="L27" s="57">
        <f t="shared" si="2"/>
        <v>0</v>
      </c>
    </row>
    <row r="28" spans="2:12" x14ac:dyDescent="0.25">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25">
      <c r="B29" s="89" t="s">
        <v>42</v>
      </c>
      <c r="C29" s="172">
        <v>10000</v>
      </c>
      <c r="D29" s="53">
        <v>500</v>
      </c>
      <c r="E29" s="53">
        <v>100</v>
      </c>
      <c r="F29" s="53">
        <v>200</v>
      </c>
      <c r="G29" s="56">
        <f t="shared" si="3"/>
        <v>50</v>
      </c>
      <c r="H29" s="56">
        <f t="shared" si="4"/>
        <v>10</v>
      </c>
      <c r="I29" s="56">
        <f t="shared" si="5"/>
        <v>20</v>
      </c>
      <c r="J29" s="57">
        <f t="shared" si="0"/>
        <v>4.3263822791381849E-3</v>
      </c>
      <c r="K29" s="57">
        <f t="shared" si="1"/>
        <v>4.2905564851761276E-3</v>
      </c>
      <c r="L29" s="57">
        <f t="shared" si="2"/>
        <v>4.9217442661679302E-3</v>
      </c>
    </row>
    <row r="30" spans="2:12" x14ac:dyDescent="0.25">
      <c r="B30" s="103" t="s">
        <v>10</v>
      </c>
      <c r="C30" s="174">
        <v>650000</v>
      </c>
      <c r="D30" s="71">
        <v>6500</v>
      </c>
      <c r="E30" s="71">
        <v>1100</v>
      </c>
      <c r="F30" s="71">
        <v>1600</v>
      </c>
      <c r="G30" s="74">
        <f t="shared" si="3"/>
        <v>10</v>
      </c>
      <c r="H30" s="74">
        <f t="shared" si="4"/>
        <v>1.6923076923076923</v>
      </c>
      <c r="I30" s="74">
        <f t="shared" si="5"/>
        <v>2.4615384615384617</v>
      </c>
      <c r="J30" s="75">
        <f t="shared" si="0"/>
        <v>5.6242969628796401E-2</v>
      </c>
      <c r="K30" s="75">
        <f t="shared" si="1"/>
        <v>4.7196121336937402E-2</v>
      </c>
      <c r="L30" s="75">
        <f t="shared" si="2"/>
        <v>3.9373954129343441E-2</v>
      </c>
    </row>
    <row r="31" spans="2:12" x14ac:dyDescent="0.25">
      <c r="B31" s="89" t="s">
        <v>43</v>
      </c>
      <c r="C31" s="54">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1764000</v>
      </c>
      <c r="D33" s="63">
        <f>SUM(D11:D31)</f>
        <v>115570</v>
      </c>
      <c r="E33" s="62">
        <f t="shared" ref="E33:F33" si="7">SUM(E11:E31)</f>
        <v>23307</v>
      </c>
      <c r="F33" s="102">
        <f t="shared" si="7"/>
        <v>40636</v>
      </c>
      <c r="G33" s="94"/>
      <c r="H33" s="94"/>
      <c r="I33" s="94"/>
      <c r="J33" s="95">
        <f t="shared" ref="J33:L33" si="8">SUM(J11:J31)</f>
        <v>1</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284</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AF2ACD16-F26A-4B80-9813-8DF2700AC6EF}"/>
  </hyperlink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E143-A23F-4616-812B-0F4286160852}">
  <sheetPr>
    <tabColor rgb="FF92D050"/>
  </sheetPr>
  <dimension ref="A1:Q44"/>
  <sheetViews>
    <sheetView showGridLines="0" zoomScale="80" zoomScaleNormal="80" workbookViewId="0">
      <pane xSplit="2" ySplit="9" topLeftCell="C19"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281</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773000</v>
      </c>
      <c r="D11" s="53">
        <v>73435</v>
      </c>
      <c r="E11" s="53">
        <v>18552</v>
      </c>
      <c r="F11" s="53">
        <v>20098</v>
      </c>
      <c r="G11" s="56">
        <f>IFERROR(D11*1000/C11,"-")</f>
        <v>95</v>
      </c>
      <c r="H11" s="56">
        <f>IFERROR(E11*1000/C11,"-")</f>
        <v>24</v>
      </c>
      <c r="I11" s="56">
        <f>IFERROR(F11*1000/C11,"-")</f>
        <v>26</v>
      </c>
      <c r="J11" s="57">
        <f t="shared" ref="J11:J30" si="0">D11/$D$33</f>
        <v>0.43224773531264166</v>
      </c>
      <c r="K11" s="57">
        <f t="shared" ref="K11:K31" si="1">E11/$E$33</f>
        <v>0.3840039741679086</v>
      </c>
      <c r="L11" s="57">
        <f t="shared" ref="L11:L31" si="2">F11/$F$33</f>
        <v>0.33404803457159477</v>
      </c>
    </row>
    <row r="12" spans="1:17" x14ac:dyDescent="0.25">
      <c r="B12" s="103" t="s">
        <v>27</v>
      </c>
      <c r="C12" s="71">
        <v>226000</v>
      </c>
      <c r="D12" s="71">
        <v>16271.999999999998</v>
      </c>
      <c r="E12" s="71">
        <v>4746</v>
      </c>
      <c r="F12" s="71">
        <v>5198</v>
      </c>
      <c r="G12" s="74">
        <f t="shared" ref="G12:G31" si="3">IFERROR(D12*1000/C12,"-")</f>
        <v>71.999999999999986</v>
      </c>
      <c r="H12" s="74">
        <f t="shared" ref="H12:H31" si="4">IFERROR(E12*1000/C12,"-")</f>
        <v>21</v>
      </c>
      <c r="I12" s="74">
        <f t="shared" ref="I12:I31" si="5">IFERROR(F12*1000/C12,"-")</f>
        <v>23</v>
      </c>
      <c r="J12" s="75">
        <f t="shared" si="0"/>
        <v>9.5779058337404563E-2</v>
      </c>
      <c r="K12" s="75">
        <f t="shared" si="1"/>
        <v>9.8236462990561352E-2</v>
      </c>
      <c r="L12" s="75">
        <f t="shared" si="2"/>
        <v>8.6395745034488491E-2</v>
      </c>
    </row>
    <row r="13" spans="1:17" x14ac:dyDescent="0.25">
      <c r="B13" s="89" t="s">
        <v>28</v>
      </c>
      <c r="C13" s="53">
        <v>219000</v>
      </c>
      <c r="D13" s="53">
        <v>16425</v>
      </c>
      <c r="E13" s="53">
        <v>4599</v>
      </c>
      <c r="F13" s="53">
        <v>5256</v>
      </c>
      <c r="G13" s="56">
        <f t="shared" si="3"/>
        <v>75</v>
      </c>
      <c r="H13" s="56">
        <f t="shared" si="4"/>
        <v>21</v>
      </c>
      <c r="I13" s="56">
        <f t="shared" si="5"/>
        <v>24</v>
      </c>
      <c r="J13" s="57">
        <f t="shared" si="0"/>
        <v>9.6679635766462019E-2</v>
      </c>
      <c r="K13" s="57">
        <f t="shared" si="1"/>
        <v>9.5193740685543968E-2</v>
      </c>
      <c r="L13" s="57">
        <f t="shared" si="2"/>
        <v>8.7359760658189983E-2</v>
      </c>
    </row>
    <row r="14" spans="1:17" x14ac:dyDescent="0.25">
      <c r="B14" s="103" t="s">
        <v>29</v>
      </c>
      <c r="C14" s="71">
        <v>13000</v>
      </c>
      <c r="D14" s="71">
        <v>1248</v>
      </c>
      <c r="E14" s="71">
        <v>273</v>
      </c>
      <c r="F14" s="71">
        <v>299</v>
      </c>
      <c r="G14" s="74">
        <f t="shared" si="3"/>
        <v>96</v>
      </c>
      <c r="H14" s="74">
        <f t="shared" si="4"/>
        <v>21</v>
      </c>
      <c r="I14" s="74">
        <f t="shared" si="5"/>
        <v>23</v>
      </c>
      <c r="J14" s="75">
        <f t="shared" si="0"/>
        <v>7.345886480154923E-3</v>
      </c>
      <c r="K14" s="75">
        <f t="shared" si="1"/>
        <v>5.65076999503229E-3</v>
      </c>
      <c r="L14" s="75">
        <f t="shared" si="2"/>
        <v>4.9696667497714621E-3</v>
      </c>
    </row>
    <row r="15" spans="1:17" x14ac:dyDescent="0.25">
      <c r="B15" s="89" t="s">
        <v>30</v>
      </c>
      <c r="C15" s="53">
        <v>53000</v>
      </c>
      <c r="D15" s="53">
        <v>954</v>
      </c>
      <c r="E15" s="53">
        <v>901</v>
      </c>
      <c r="F15" s="53">
        <v>1219</v>
      </c>
      <c r="G15" s="56">
        <f t="shared" si="3"/>
        <v>18</v>
      </c>
      <c r="H15" s="56">
        <f t="shared" si="4"/>
        <v>17</v>
      </c>
      <c r="I15" s="56">
        <f t="shared" si="5"/>
        <v>23</v>
      </c>
      <c r="J15" s="57">
        <f t="shared" si="0"/>
        <v>5.6153651458876576E-3</v>
      </c>
      <c r="K15" s="57">
        <f t="shared" si="1"/>
        <v>1.8649610862725617E-2</v>
      </c>
      <c r="L15" s="57">
        <f t="shared" si="2"/>
        <v>2.0260949056760576E-2</v>
      </c>
    </row>
    <row r="16" spans="1:17" x14ac:dyDescent="0.25">
      <c r="B16" s="103" t="s">
        <v>31</v>
      </c>
      <c r="C16" s="71">
        <v>209000</v>
      </c>
      <c r="D16" s="71">
        <v>20900</v>
      </c>
      <c r="E16" s="71">
        <v>4807</v>
      </c>
      <c r="F16" s="71">
        <v>7524</v>
      </c>
      <c r="G16" s="74">
        <f t="shared" si="3"/>
        <v>100</v>
      </c>
      <c r="H16" s="74">
        <f t="shared" si="4"/>
        <v>23</v>
      </c>
      <c r="I16" s="74">
        <f t="shared" si="5"/>
        <v>36</v>
      </c>
      <c r="J16" s="75">
        <f t="shared" si="0"/>
        <v>0.12302005403464575</v>
      </c>
      <c r="K16" s="75">
        <f t="shared" si="1"/>
        <v>9.9499089253187609E-2</v>
      </c>
      <c r="L16" s="75">
        <f t="shared" si="2"/>
        <v>0.12505609573672402</v>
      </c>
    </row>
    <row r="17" spans="2:12" x14ac:dyDescent="0.25">
      <c r="B17" s="89" t="s">
        <v>32</v>
      </c>
      <c r="C17" s="53">
        <v>3000</v>
      </c>
      <c r="D17" s="53">
        <v>105</v>
      </c>
      <c r="E17" s="53">
        <v>51</v>
      </c>
      <c r="F17" s="53">
        <v>72</v>
      </c>
      <c r="G17" s="56">
        <f t="shared" si="3"/>
        <v>35</v>
      </c>
      <c r="H17" s="56">
        <f t="shared" si="4"/>
        <v>17</v>
      </c>
      <c r="I17" s="56">
        <f t="shared" si="5"/>
        <v>24</v>
      </c>
      <c r="J17" s="57">
        <f t="shared" si="0"/>
        <v>6.1804333366688056E-4</v>
      </c>
      <c r="K17" s="57">
        <f t="shared" si="1"/>
        <v>1.055638350720318E-3</v>
      </c>
      <c r="L17" s="57">
        <f t="shared" si="2"/>
        <v>1.1967090501121915E-3</v>
      </c>
    </row>
    <row r="18" spans="2:12" x14ac:dyDescent="0.25">
      <c r="B18" s="103" t="s">
        <v>33</v>
      </c>
      <c r="C18" s="71">
        <v>206000</v>
      </c>
      <c r="D18" s="71">
        <v>3502</v>
      </c>
      <c r="E18" s="71">
        <v>3502</v>
      </c>
      <c r="F18" s="71">
        <v>5356</v>
      </c>
      <c r="G18" s="74">
        <f t="shared" si="3"/>
        <v>17</v>
      </c>
      <c r="H18" s="74">
        <f t="shared" si="4"/>
        <v>17</v>
      </c>
      <c r="I18" s="74">
        <f t="shared" si="5"/>
        <v>26</v>
      </c>
      <c r="J18" s="75">
        <f t="shared" si="0"/>
        <v>2.061321670953729E-2</v>
      </c>
      <c r="K18" s="75">
        <f t="shared" si="1"/>
        <v>7.2487166749461832E-2</v>
      </c>
      <c r="L18" s="75">
        <f t="shared" si="2"/>
        <v>8.9021856561123575E-2</v>
      </c>
    </row>
    <row r="19" spans="2:12" x14ac:dyDescent="0.25">
      <c r="B19" s="89" t="s">
        <v>26</v>
      </c>
      <c r="C19" s="53">
        <v>17000</v>
      </c>
      <c r="D19" s="53">
        <v>1547</v>
      </c>
      <c r="E19" s="53">
        <v>595</v>
      </c>
      <c r="F19" s="53">
        <v>1173</v>
      </c>
      <c r="G19" s="56">
        <f t="shared" si="3"/>
        <v>91</v>
      </c>
      <c r="H19" s="56">
        <f t="shared" si="4"/>
        <v>35</v>
      </c>
      <c r="I19" s="56">
        <f t="shared" si="5"/>
        <v>69</v>
      </c>
      <c r="J19" s="57">
        <f t="shared" si="0"/>
        <v>9.1058384493587063E-3</v>
      </c>
      <c r="K19" s="57">
        <f t="shared" si="1"/>
        <v>1.231578075840371E-2</v>
      </c>
      <c r="L19" s="57">
        <f t="shared" si="2"/>
        <v>1.9496384941411118E-2</v>
      </c>
    </row>
    <row r="20" spans="2:12" x14ac:dyDescent="0.25">
      <c r="B20" s="103" t="s">
        <v>34</v>
      </c>
      <c r="C20" s="71">
        <v>16000</v>
      </c>
      <c r="D20" s="71">
        <v>1600</v>
      </c>
      <c r="E20" s="71">
        <v>624</v>
      </c>
      <c r="F20" s="71">
        <v>1152</v>
      </c>
      <c r="G20" s="74">
        <f t="shared" si="3"/>
        <v>100</v>
      </c>
      <c r="H20" s="74">
        <f t="shared" si="4"/>
        <v>39</v>
      </c>
      <c r="I20" s="74">
        <f t="shared" si="5"/>
        <v>72</v>
      </c>
      <c r="J20" s="75">
        <f t="shared" si="0"/>
        <v>9.4178031796857981E-3</v>
      </c>
      <c r="K20" s="75">
        <f t="shared" si="1"/>
        <v>1.2916045702930949E-2</v>
      </c>
      <c r="L20" s="75">
        <f t="shared" si="2"/>
        <v>1.9147344801795065E-2</v>
      </c>
    </row>
    <row r="21" spans="2:12" x14ac:dyDescent="0.25">
      <c r="B21" s="89" t="s">
        <v>9</v>
      </c>
      <c r="C21" s="53">
        <v>14000</v>
      </c>
      <c r="D21" s="53">
        <v>490</v>
      </c>
      <c r="E21" s="53">
        <v>238</v>
      </c>
      <c r="F21" s="53">
        <v>350</v>
      </c>
      <c r="G21" s="56">
        <f t="shared" si="3"/>
        <v>35</v>
      </c>
      <c r="H21" s="56">
        <f t="shared" si="4"/>
        <v>17</v>
      </c>
      <c r="I21" s="56">
        <f t="shared" si="5"/>
        <v>25</v>
      </c>
      <c r="J21" s="57">
        <f t="shared" si="0"/>
        <v>2.8842022237787757E-3</v>
      </c>
      <c r="K21" s="57">
        <f t="shared" si="1"/>
        <v>4.9263123033614839E-3</v>
      </c>
      <c r="L21" s="57">
        <f t="shared" si="2"/>
        <v>5.8173356602675974E-3</v>
      </c>
    </row>
    <row r="22" spans="2:12" x14ac:dyDescent="0.25">
      <c r="B22" s="103" t="s">
        <v>35</v>
      </c>
      <c r="C22" s="71">
        <v>21000</v>
      </c>
      <c r="D22" s="71">
        <v>672</v>
      </c>
      <c r="E22" s="71">
        <v>357</v>
      </c>
      <c r="F22" s="71">
        <v>462</v>
      </c>
      <c r="G22" s="74">
        <f t="shared" si="3"/>
        <v>32</v>
      </c>
      <c r="H22" s="74">
        <f t="shared" si="4"/>
        <v>17</v>
      </c>
      <c r="I22" s="74">
        <f t="shared" si="5"/>
        <v>22</v>
      </c>
      <c r="J22" s="75">
        <f t="shared" si="0"/>
        <v>3.9554773354680351E-3</v>
      </c>
      <c r="K22" s="75">
        <f t="shared" si="1"/>
        <v>7.3894684550422259E-3</v>
      </c>
      <c r="L22" s="75">
        <f t="shared" si="2"/>
        <v>7.6788830715532287E-3</v>
      </c>
    </row>
    <row r="23" spans="2:12" x14ac:dyDescent="0.25">
      <c r="B23" s="89" t="s">
        <v>36</v>
      </c>
      <c r="C23" s="53">
        <v>59000</v>
      </c>
      <c r="D23" s="53">
        <v>885</v>
      </c>
      <c r="E23" s="53">
        <v>1002.9999999999999</v>
      </c>
      <c r="F23" s="53">
        <v>1534</v>
      </c>
      <c r="G23" s="56">
        <f t="shared" si="3"/>
        <v>15</v>
      </c>
      <c r="H23" s="56">
        <f t="shared" si="4"/>
        <v>16.999999999999996</v>
      </c>
      <c r="I23" s="56">
        <f t="shared" si="5"/>
        <v>26</v>
      </c>
      <c r="J23" s="57">
        <f t="shared" si="0"/>
        <v>5.2092223837637069E-3</v>
      </c>
      <c r="K23" s="57">
        <f t="shared" si="1"/>
        <v>2.0760887564166251E-2</v>
      </c>
      <c r="L23" s="57">
        <f t="shared" si="2"/>
        <v>2.5496551151001412E-2</v>
      </c>
    </row>
    <row r="24" spans="2:12" x14ac:dyDescent="0.25">
      <c r="B24" s="103" t="s">
        <v>37</v>
      </c>
      <c r="C24" s="71">
        <v>9000</v>
      </c>
      <c r="D24" s="71">
        <v>306</v>
      </c>
      <c r="E24" s="71">
        <v>144</v>
      </c>
      <c r="F24" s="71">
        <v>252</v>
      </c>
      <c r="G24" s="74">
        <f t="shared" si="3"/>
        <v>34</v>
      </c>
      <c r="H24" s="74">
        <f t="shared" si="4"/>
        <v>16</v>
      </c>
      <c r="I24" s="74">
        <f t="shared" si="5"/>
        <v>28</v>
      </c>
      <c r="J24" s="75">
        <f t="shared" si="0"/>
        <v>1.8011548581149089E-3</v>
      </c>
      <c r="K24" s="75">
        <f t="shared" si="1"/>
        <v>2.9806259314456036E-3</v>
      </c>
      <c r="L24" s="75">
        <f t="shared" si="2"/>
        <v>4.1884816753926706E-3</v>
      </c>
    </row>
    <row r="25" spans="2:12" x14ac:dyDescent="0.25">
      <c r="B25" s="89" t="s">
        <v>38</v>
      </c>
      <c r="C25" s="53">
        <v>28000</v>
      </c>
      <c r="D25" s="53">
        <v>2352</v>
      </c>
      <c r="E25" s="53">
        <v>448</v>
      </c>
      <c r="F25" s="53">
        <v>672</v>
      </c>
      <c r="G25" s="56">
        <f t="shared" si="3"/>
        <v>84</v>
      </c>
      <c r="H25" s="56">
        <f t="shared" si="4"/>
        <v>16</v>
      </c>
      <c r="I25" s="56">
        <f t="shared" si="5"/>
        <v>24</v>
      </c>
      <c r="J25" s="57">
        <f t="shared" si="0"/>
        <v>1.3844170674138123E-2</v>
      </c>
      <c r="K25" s="57">
        <f t="shared" si="1"/>
        <v>9.2730584533863222E-3</v>
      </c>
      <c r="L25" s="57">
        <f t="shared" si="2"/>
        <v>1.1169284467713788E-2</v>
      </c>
    </row>
    <row r="26" spans="2:12" x14ac:dyDescent="0.25">
      <c r="B26" s="103" t="s">
        <v>39</v>
      </c>
      <c r="C26" s="71">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25">
      <c r="B27" s="89" t="s">
        <v>40</v>
      </c>
      <c r="C27" s="53">
        <v>2000</v>
      </c>
      <c r="D27" s="53">
        <v>0</v>
      </c>
      <c r="E27" s="53">
        <v>0</v>
      </c>
      <c r="F27" s="53">
        <v>0</v>
      </c>
      <c r="G27" s="56">
        <f t="shared" si="3"/>
        <v>0</v>
      </c>
      <c r="H27" s="56">
        <f t="shared" si="4"/>
        <v>0</v>
      </c>
      <c r="I27" s="56">
        <f t="shared" si="5"/>
        <v>0</v>
      </c>
      <c r="J27" s="57">
        <f t="shared" si="0"/>
        <v>0</v>
      </c>
      <c r="K27" s="57">
        <f t="shared" si="1"/>
        <v>0</v>
      </c>
      <c r="L27" s="57">
        <f t="shared" si="2"/>
        <v>0</v>
      </c>
    </row>
    <row r="28" spans="2:12" x14ac:dyDescent="0.25">
      <c r="B28" s="103" t="s">
        <v>41</v>
      </c>
      <c r="C28" s="71">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25">
      <c r="B29" s="89" t="s">
        <v>42</v>
      </c>
      <c r="C29" s="53">
        <v>30000</v>
      </c>
      <c r="D29" s="53">
        <v>510</v>
      </c>
      <c r="E29" s="53">
        <v>300</v>
      </c>
      <c r="F29" s="53">
        <v>420</v>
      </c>
      <c r="G29" s="56">
        <f t="shared" si="3"/>
        <v>17</v>
      </c>
      <c r="H29" s="56">
        <f t="shared" si="4"/>
        <v>10</v>
      </c>
      <c r="I29" s="56">
        <f t="shared" si="5"/>
        <v>14</v>
      </c>
      <c r="J29" s="57">
        <f t="shared" si="0"/>
        <v>3.0019247635248484E-3</v>
      </c>
      <c r="K29" s="57">
        <f t="shared" si="1"/>
        <v>6.2096373571783412E-3</v>
      </c>
      <c r="L29" s="57">
        <f t="shared" si="2"/>
        <v>6.9808027923211171E-3</v>
      </c>
    </row>
    <row r="30" spans="2:12" x14ac:dyDescent="0.25">
      <c r="B30" s="103" t="s">
        <v>10</v>
      </c>
      <c r="C30" s="71">
        <v>894000</v>
      </c>
      <c r="D30" s="71">
        <v>28688</v>
      </c>
      <c r="E30" s="71">
        <v>7172</v>
      </c>
      <c r="F30" s="71">
        <v>9128</v>
      </c>
      <c r="G30" s="74">
        <f t="shared" si="3"/>
        <v>32.089485458612977</v>
      </c>
      <c r="H30" s="74">
        <f t="shared" si="4"/>
        <v>8.0223713646532442</v>
      </c>
      <c r="I30" s="74">
        <f t="shared" si="5"/>
        <v>10.210290827740492</v>
      </c>
      <c r="J30" s="75">
        <f t="shared" si="0"/>
        <v>0.16886121101176638</v>
      </c>
      <c r="K30" s="75">
        <f t="shared" si="1"/>
        <v>0.14845173041894352</v>
      </c>
      <c r="L30" s="75">
        <f t="shared" si="2"/>
        <v>0.15171611401977894</v>
      </c>
    </row>
    <row r="31" spans="2:12" x14ac:dyDescent="0.25">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2792000</v>
      </c>
      <c r="D33" s="63">
        <f>SUM(D11:D31)</f>
        <v>169891</v>
      </c>
      <c r="E33" s="62">
        <f t="shared" ref="E33:F33" si="7">SUM(E11:E31)</f>
        <v>48312</v>
      </c>
      <c r="F33" s="102">
        <f t="shared" si="7"/>
        <v>60165</v>
      </c>
      <c r="G33" s="94"/>
      <c r="H33" s="94"/>
      <c r="I33" s="94"/>
      <c r="J33" s="95">
        <f t="shared" ref="J33:L33" si="8">SUM(J11:J31)</f>
        <v>1.0000000000000002</v>
      </c>
      <c r="K33" s="64">
        <f t="shared" si="8"/>
        <v>1.0000000000000002</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282</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8FD8402A-F473-4B08-BA36-A718203F3BD8}"/>
  </hyperlink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CACF0-FC8A-4540-8A64-D09693CE0580}">
  <sheetPr>
    <tabColor rgb="FF92D050"/>
  </sheetPr>
  <dimension ref="A1:Q3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400</v>
      </c>
      <c r="D6" s="592" t="s">
        <v>389</v>
      </c>
      <c r="E6" s="592"/>
      <c r="F6" s="592"/>
      <c r="G6" s="589" t="s">
        <v>392</v>
      </c>
      <c r="H6" s="589"/>
      <c r="I6" s="589"/>
      <c r="J6" s="589" t="s">
        <v>399</v>
      </c>
      <c r="K6" s="589"/>
      <c r="L6" s="589"/>
    </row>
    <row r="7" spans="1:17" ht="25.15" customHeight="1" thickBot="1" x14ac:dyDescent="0.3">
      <c r="B7" s="596" t="s">
        <v>314</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314"/>
      <c r="C10" s="98"/>
      <c r="D10" s="98"/>
      <c r="E10" s="98"/>
      <c r="F10" s="98"/>
      <c r="G10" s="98"/>
      <c r="H10" s="98"/>
      <c r="I10" s="98"/>
      <c r="J10" s="98"/>
      <c r="K10" s="98"/>
      <c r="L10" s="98"/>
    </row>
    <row r="11" spans="1:17" x14ac:dyDescent="0.25">
      <c r="B11" s="59" t="s">
        <v>16</v>
      </c>
      <c r="C11" s="53">
        <v>699980</v>
      </c>
      <c r="D11" s="172">
        <v>64199.097870086436</v>
      </c>
      <c r="E11" s="53">
        <v>27928.674918602897</v>
      </c>
      <c r="F11" s="164">
        <v>68032.10789189511</v>
      </c>
      <c r="G11" s="56">
        <f>IFERROR(D11*1000/C11,"-")</f>
        <v>91.715617403477864</v>
      </c>
      <c r="H11" s="56">
        <f>IFERROR(E11*1000/C11,"-")</f>
        <v>39.899247005061426</v>
      </c>
      <c r="I11" s="56">
        <f>IFERROR(F11*1000/C11,"-")</f>
        <v>97.191502459920443</v>
      </c>
      <c r="J11" s="57">
        <f t="shared" ref="J11:J18" si="0">D11/$D$20</f>
        <v>0.12964276629662042</v>
      </c>
      <c r="K11" s="57">
        <f t="shared" ref="K11:K18" si="1">E11/$E$20</f>
        <v>0.1180417367650165</v>
      </c>
      <c r="L11" s="57">
        <f t="shared" ref="L11:L18" si="2">F11/$F$20</f>
        <v>4.7544977211471891E-2</v>
      </c>
    </row>
    <row r="12" spans="1:17" x14ac:dyDescent="0.25">
      <c r="B12" s="70" t="s">
        <v>51</v>
      </c>
      <c r="C12" s="71">
        <v>9548</v>
      </c>
      <c r="D12" s="174">
        <v>710.51752595866492</v>
      </c>
      <c r="E12" s="71">
        <v>456.30625603024674</v>
      </c>
      <c r="F12" s="166">
        <v>659.16738089856847</v>
      </c>
      <c r="G12" s="74">
        <f t="shared" ref="G12:G18" si="3">IFERROR(D12*1000/C12,"-")</f>
        <v>74.415325299399342</v>
      </c>
      <c r="H12" s="74">
        <f t="shared" ref="H12:H18" si="4">IFERROR(E12*1000/C12,"-")</f>
        <v>47.790768331613606</v>
      </c>
      <c r="I12" s="74">
        <f t="shared" ref="I12:I18" si="5">IFERROR(F12*1000/C12,"-")</f>
        <v>69.037220454395523</v>
      </c>
      <c r="J12" s="75">
        <f t="shared" si="0"/>
        <v>1.4348092204334913E-3</v>
      </c>
      <c r="K12" s="75">
        <f t="shared" si="1"/>
        <v>1.9285978699503249E-3</v>
      </c>
      <c r="L12" s="75">
        <f t="shared" si="2"/>
        <v>4.6066628059163373E-4</v>
      </c>
    </row>
    <row r="13" spans="1:17" x14ac:dyDescent="0.25">
      <c r="B13" s="59" t="s">
        <v>86</v>
      </c>
      <c r="C13" s="53">
        <v>5189344</v>
      </c>
      <c r="D13" s="172">
        <v>398523.77614948381</v>
      </c>
      <c r="E13" s="53">
        <v>182711.42224768386</v>
      </c>
      <c r="F13" s="164">
        <v>1338733.3006119065</v>
      </c>
      <c r="G13" s="56">
        <f t="shared" si="3"/>
        <v>76.796561598052435</v>
      </c>
      <c r="H13" s="56">
        <f t="shared" si="4"/>
        <v>35.20896326157677</v>
      </c>
      <c r="I13" s="56">
        <f t="shared" si="5"/>
        <v>257.97736681397618</v>
      </c>
      <c r="J13" s="57">
        <f t="shared" si="0"/>
        <v>0.80477337671543581</v>
      </c>
      <c r="K13" s="57">
        <f t="shared" si="1"/>
        <v>0.77223762572985588</v>
      </c>
      <c r="L13" s="57">
        <f t="shared" si="2"/>
        <v>0.93558830149689487</v>
      </c>
    </row>
    <row r="14" spans="1:17" x14ac:dyDescent="0.25">
      <c r="B14" s="70" t="s">
        <v>55</v>
      </c>
      <c r="C14" s="71">
        <v>1400</v>
      </c>
      <c r="D14" s="174">
        <v>337.09646258459236</v>
      </c>
      <c r="E14" s="71">
        <v>162.36674586824066</v>
      </c>
      <c r="F14" s="166">
        <v>469.1010092655722</v>
      </c>
      <c r="G14" s="74">
        <f t="shared" si="3"/>
        <v>240.7831875604231</v>
      </c>
      <c r="H14" s="74">
        <f t="shared" si="4"/>
        <v>115.97624704874333</v>
      </c>
      <c r="I14" s="74">
        <f t="shared" si="5"/>
        <v>335.07214947540871</v>
      </c>
      <c r="J14" s="75">
        <f t="shared" si="0"/>
        <v>6.8072791313528343E-4</v>
      </c>
      <c r="K14" s="75">
        <f t="shared" si="1"/>
        <v>6.8624998253694297E-4</v>
      </c>
      <c r="L14" s="75">
        <f t="shared" si="2"/>
        <v>3.278363332626825E-4</v>
      </c>
    </row>
    <row r="15" spans="1:17" x14ac:dyDescent="0.25">
      <c r="B15" s="59" t="s">
        <v>45</v>
      </c>
      <c r="C15" s="53">
        <v>87501</v>
      </c>
      <c r="D15" s="172">
        <v>14599.868119737881</v>
      </c>
      <c r="E15" s="53">
        <v>14039.965088985044</v>
      </c>
      <c r="F15" s="164">
        <v>6519.6004707252132</v>
      </c>
      <c r="G15" s="56">
        <f t="shared" si="3"/>
        <v>166.85372875439</v>
      </c>
      <c r="H15" s="56">
        <f t="shared" si="4"/>
        <v>160.45491010371362</v>
      </c>
      <c r="I15" s="56">
        <f t="shared" si="5"/>
        <v>74.508868135509459</v>
      </c>
      <c r="J15" s="57">
        <f t="shared" si="0"/>
        <v>2.9482770839535301E-2</v>
      </c>
      <c r="K15" s="57">
        <f t="shared" si="1"/>
        <v>5.9340511787764359E-2</v>
      </c>
      <c r="L15" s="57">
        <f t="shared" si="2"/>
        <v>4.5562935709869421E-3</v>
      </c>
    </row>
    <row r="16" spans="1:17" x14ac:dyDescent="0.25">
      <c r="B16" s="70" t="s">
        <v>9</v>
      </c>
      <c r="C16" s="71">
        <v>55558</v>
      </c>
      <c r="D16" s="174">
        <v>9380.5854889928414</v>
      </c>
      <c r="E16" s="71">
        <v>7617.5992893807652</v>
      </c>
      <c r="F16" s="166">
        <v>4421.6370551916661</v>
      </c>
      <c r="G16" s="74">
        <f t="shared" si="3"/>
        <v>168.84310970504413</v>
      </c>
      <c r="H16" s="74">
        <f t="shared" si="4"/>
        <v>137.11075433566302</v>
      </c>
      <c r="I16" s="74">
        <f t="shared" si="5"/>
        <v>79.585965210980703</v>
      </c>
      <c r="J16" s="75">
        <f t="shared" si="0"/>
        <v>1.8943024008466966E-2</v>
      </c>
      <c r="K16" s="75">
        <f t="shared" si="1"/>
        <v>3.2196108577264446E-2</v>
      </c>
      <c r="L16" s="75">
        <f t="shared" si="2"/>
        <v>3.0901090608649573E-3</v>
      </c>
    </row>
    <row r="17" spans="1:17" x14ac:dyDescent="0.25">
      <c r="B17" s="59" t="s">
        <v>304</v>
      </c>
      <c r="C17" s="53">
        <v>5051</v>
      </c>
      <c r="D17" s="172">
        <v>379.05434949904856</v>
      </c>
      <c r="E17" s="53">
        <v>182.5762891828588</v>
      </c>
      <c r="F17" s="164">
        <v>527.4893024778836</v>
      </c>
      <c r="G17" s="56">
        <f t="shared" si="3"/>
        <v>75.045406750950022</v>
      </c>
      <c r="H17" s="56">
        <f t="shared" si="4"/>
        <v>36.146562895042329</v>
      </c>
      <c r="I17" s="56">
        <f t="shared" si="5"/>
        <v>104.43264749116683</v>
      </c>
      <c r="J17" s="57">
        <f t="shared" si="0"/>
        <v>7.6545708703361988E-4</v>
      </c>
      <c r="K17" s="57">
        <f t="shared" si="1"/>
        <v>7.7166648006280153E-4</v>
      </c>
      <c r="L17" s="57">
        <f t="shared" si="2"/>
        <v>3.6864162588432718E-4</v>
      </c>
    </row>
    <row r="18" spans="1:17" x14ac:dyDescent="0.25">
      <c r="B18" s="70" t="s">
        <v>12</v>
      </c>
      <c r="C18" s="71">
        <v>261173</v>
      </c>
      <c r="D18" s="174">
        <v>7070.0040336567545</v>
      </c>
      <c r="E18" s="71">
        <v>3501.0891642660563</v>
      </c>
      <c r="F18" s="166">
        <v>11537.596277639226</v>
      </c>
      <c r="G18" s="74">
        <f t="shared" si="3"/>
        <v>27.07019498055601</v>
      </c>
      <c r="H18" s="74">
        <f t="shared" si="4"/>
        <v>13.405249257258815</v>
      </c>
      <c r="I18" s="74">
        <f t="shared" si="5"/>
        <v>44.17606826754384</v>
      </c>
      <c r="J18" s="75">
        <f t="shared" si="0"/>
        <v>1.4277067919339165E-2</v>
      </c>
      <c r="K18" s="75">
        <f t="shared" si="1"/>
        <v>1.4797502807548846E-2</v>
      </c>
      <c r="L18" s="75">
        <f t="shared" si="2"/>
        <v>8.0631744200427916E-3</v>
      </c>
    </row>
    <row r="19" spans="1:17" s="7" customFormat="1" ht="6" customHeight="1" thickBot="1" x14ac:dyDescent="0.3">
      <c r="B19" s="59"/>
      <c r="C19" s="93"/>
      <c r="D19" s="99"/>
      <c r="E19" s="93"/>
      <c r="F19" s="92"/>
      <c r="G19" s="100"/>
      <c r="H19" s="84"/>
      <c r="I19" s="101"/>
      <c r="J19" s="85"/>
      <c r="K19" s="85"/>
      <c r="L19" s="85"/>
    </row>
    <row r="20" spans="1:17" s="12" customFormat="1" ht="24.95" customHeight="1" thickTop="1" thickBot="1" x14ac:dyDescent="0.3">
      <c r="A20" s="13"/>
      <c r="B20" s="90" t="s">
        <v>13</v>
      </c>
      <c r="C20" s="63">
        <f>SUM(C11:C18)</f>
        <v>6309555</v>
      </c>
      <c r="D20" s="63">
        <f>SUM(D11:D18)</f>
        <v>495200</v>
      </c>
      <c r="E20" s="62">
        <f>SUM(E11:E18)</f>
        <v>236599.99999999994</v>
      </c>
      <c r="F20" s="102">
        <f>SUM(F11:F18)</f>
        <v>1430899.9999999995</v>
      </c>
      <c r="G20" s="94"/>
      <c r="H20" s="94"/>
      <c r="I20" s="94"/>
      <c r="J20" s="95">
        <f>SUM(J11:J18)</f>
        <v>1</v>
      </c>
      <c r="K20" s="64">
        <f>SUM(K11:K18)</f>
        <v>1</v>
      </c>
      <c r="L20" s="65">
        <f>SUM(L11:L18)</f>
        <v>1.0000000000000002</v>
      </c>
      <c r="M20" s="13"/>
      <c r="N20" s="13"/>
      <c r="O20" s="13"/>
      <c r="P20" s="13"/>
      <c r="Q20" s="13"/>
    </row>
    <row r="21" spans="1:17" ht="15.75" thickTop="1" x14ac:dyDescent="0.25">
      <c r="B21" s="15"/>
    </row>
    <row r="22" spans="1:17" x14ac:dyDescent="0.25">
      <c r="B22" s="15"/>
    </row>
    <row r="23" spans="1:17" x14ac:dyDescent="0.25">
      <c r="B23" s="66" t="s">
        <v>396</v>
      </c>
      <c r="C23" s="67"/>
      <c r="D23" s="67"/>
      <c r="E23" s="67"/>
      <c r="F23" s="67"/>
    </row>
    <row r="24" spans="1:17" x14ac:dyDescent="0.25">
      <c r="A24" s="21"/>
      <c r="B24" s="67" t="s">
        <v>373</v>
      </c>
      <c r="C24" s="68"/>
      <c r="D24" s="68"/>
      <c r="E24" s="68"/>
      <c r="F24" s="68"/>
      <c r="G24" s="87"/>
      <c r="H24" s="88"/>
      <c r="I24"/>
      <c r="J24"/>
      <c r="K24"/>
      <c r="L24"/>
      <c r="M24"/>
      <c r="N24"/>
      <c r="O24"/>
      <c r="P24"/>
      <c r="Q24"/>
    </row>
    <row r="25" spans="1:17" ht="14.45" customHeight="1" x14ac:dyDescent="0.25">
      <c r="A25" s="21"/>
      <c r="B25" s="67"/>
      <c r="C25" s="68"/>
      <c r="D25" s="68"/>
      <c r="E25" s="68"/>
      <c r="F25" s="68"/>
      <c r="G25" s="87"/>
      <c r="H25" s="88"/>
      <c r="I25"/>
      <c r="J25"/>
      <c r="K25"/>
      <c r="L25"/>
      <c r="M25"/>
      <c r="N25"/>
      <c r="O25"/>
      <c r="P25"/>
      <c r="Q25"/>
    </row>
    <row r="26" spans="1:17" x14ac:dyDescent="0.25">
      <c r="A26"/>
      <c r="B26" s="79" t="s">
        <v>397</v>
      </c>
      <c r="C26" s="68"/>
      <c r="D26" s="68"/>
      <c r="E26" s="68"/>
      <c r="F26" s="68"/>
      <c r="G26" s="88"/>
      <c r="H26" s="88"/>
      <c r="I26"/>
      <c r="J26"/>
      <c r="K26"/>
      <c r="L26"/>
      <c r="M26"/>
      <c r="N26"/>
      <c r="O26"/>
      <c r="P26"/>
      <c r="Q26"/>
    </row>
    <row r="27" spans="1:17" x14ac:dyDescent="0.25">
      <c r="A27" s="21"/>
      <c r="B27" s="67" t="s">
        <v>176</v>
      </c>
      <c r="C27" s="68"/>
      <c r="D27" s="68"/>
      <c r="E27" s="68"/>
      <c r="F27" s="68"/>
      <c r="G27" s="88"/>
      <c r="H27" s="88"/>
      <c r="I27"/>
      <c r="J27"/>
      <c r="K27"/>
      <c r="L27"/>
      <c r="M27"/>
      <c r="N27"/>
      <c r="O27"/>
      <c r="P27"/>
      <c r="Q27"/>
    </row>
    <row r="28" spans="1:17" x14ac:dyDescent="0.25">
      <c r="B28" s="67" t="s">
        <v>312</v>
      </c>
      <c r="C28" s="67"/>
      <c r="D28" s="67"/>
      <c r="E28" s="67"/>
      <c r="F28" s="67"/>
      <c r="G28" s="87"/>
      <c r="H28" s="87"/>
    </row>
    <row r="29" spans="1:17" x14ac:dyDescent="0.25">
      <c r="B29" s="67" t="s">
        <v>315</v>
      </c>
      <c r="C29" s="67"/>
      <c r="D29" s="67"/>
      <c r="E29" s="67"/>
      <c r="F29" s="67"/>
      <c r="G29" s="87"/>
      <c r="H29" s="87"/>
    </row>
    <row r="30" spans="1:17" x14ac:dyDescent="0.25">
      <c r="B30" s="67" t="s">
        <v>382</v>
      </c>
      <c r="C30" s="67"/>
      <c r="D30" s="67"/>
      <c r="E30" s="67"/>
      <c r="F30" s="67"/>
      <c r="G30" s="87"/>
      <c r="H30" s="87"/>
    </row>
    <row r="31" spans="1:17" x14ac:dyDescent="0.25">
      <c r="B31" s="69"/>
      <c r="C31" s="67"/>
      <c r="D31" s="67"/>
      <c r="E31" s="67"/>
      <c r="F31" s="67"/>
      <c r="G31" s="87"/>
      <c r="H31" s="87"/>
    </row>
    <row r="32" spans="1:17" x14ac:dyDescent="0.25">
      <c r="B32" s="66" t="s">
        <v>398</v>
      </c>
    </row>
  </sheetData>
  <mergeCells count="8">
    <mergeCell ref="C6:C7"/>
    <mergeCell ref="D6:F6"/>
    <mergeCell ref="G6:I6"/>
    <mergeCell ref="J6:L6"/>
    <mergeCell ref="B7:B8"/>
    <mergeCell ref="D7:F7"/>
    <mergeCell ref="G7:I7"/>
    <mergeCell ref="J7:L7"/>
  </mergeCells>
  <hyperlinks>
    <hyperlink ref="B1" location="Start!A1" display="Back to home page" xr:uid="{6C35EBF2-C9DF-4D8E-A067-A9CAD1E2CF16}"/>
  </hyperlink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1E09E-DB5D-4768-896E-171B1775525D}">
  <sheetPr>
    <tabColor rgb="FF92D050"/>
    <pageSetUpPr fitToPage="1"/>
  </sheetPr>
  <dimension ref="A1:BM4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32" width="12.7109375" style="7" customWidth="1"/>
    <col min="33" max="65" width="8.7109375" style="7"/>
  </cols>
  <sheetData>
    <row r="1" spans="1:65" x14ac:dyDescent="0.25">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25">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25">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25">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75" thickBot="1" x14ac:dyDescent="0.3">
      <c r="C5" s="21"/>
    </row>
    <row r="6" spans="1:65" ht="30" customHeight="1" thickTop="1" x14ac:dyDescent="0.25">
      <c r="B6" s="105" t="s">
        <v>387</v>
      </c>
      <c r="C6" s="615" t="s">
        <v>390</v>
      </c>
      <c r="D6" s="616"/>
      <c r="E6" s="617"/>
      <c r="F6" s="615" t="s">
        <v>389</v>
      </c>
      <c r="G6" s="616"/>
      <c r="H6" s="616"/>
      <c r="I6" s="616"/>
      <c r="J6" s="616"/>
      <c r="K6" s="616"/>
      <c r="L6" s="616"/>
      <c r="M6" s="616"/>
      <c r="N6" s="617"/>
      <c r="O6" s="615" t="s">
        <v>392</v>
      </c>
      <c r="P6" s="616"/>
      <c r="Q6" s="616"/>
      <c r="R6" s="616"/>
      <c r="S6" s="616"/>
      <c r="T6" s="616"/>
      <c r="U6" s="616"/>
      <c r="V6" s="616"/>
      <c r="W6" s="617"/>
      <c r="X6" s="615" t="s">
        <v>399</v>
      </c>
      <c r="Y6" s="616"/>
      <c r="Z6" s="616"/>
      <c r="AA6" s="616"/>
      <c r="AB6" s="616"/>
      <c r="AC6" s="616"/>
      <c r="AD6" s="616"/>
      <c r="AE6" s="616"/>
      <c r="AF6" s="617"/>
    </row>
    <row r="7" spans="1:65" ht="25.15" customHeight="1" thickBot="1" x14ac:dyDescent="0.3">
      <c r="B7" s="583" t="s">
        <v>333</v>
      </c>
      <c r="C7" s="599" t="s">
        <v>405</v>
      </c>
      <c r="D7" s="600"/>
      <c r="E7" s="601"/>
      <c r="F7" s="599" t="s">
        <v>14</v>
      </c>
      <c r="G7" s="600"/>
      <c r="H7" s="600"/>
      <c r="I7" s="600"/>
      <c r="J7" s="600"/>
      <c r="K7" s="600"/>
      <c r="L7" s="600"/>
      <c r="M7" s="600"/>
      <c r="N7" s="601"/>
      <c r="O7" s="599" t="s">
        <v>415</v>
      </c>
      <c r="P7" s="600"/>
      <c r="Q7" s="600"/>
      <c r="R7" s="600"/>
      <c r="S7" s="600"/>
      <c r="T7" s="600"/>
      <c r="U7" s="600"/>
      <c r="V7" s="600"/>
      <c r="W7" s="601"/>
      <c r="X7" s="605" t="s">
        <v>0</v>
      </c>
      <c r="Y7" s="606"/>
      <c r="Z7" s="606"/>
      <c r="AA7" s="606"/>
      <c r="AB7" s="606"/>
      <c r="AC7" s="606"/>
      <c r="AD7" s="606"/>
      <c r="AE7" s="606"/>
      <c r="AF7" s="607"/>
    </row>
    <row r="8" spans="1:65" ht="34.15" customHeight="1" thickTop="1" thickBot="1" x14ac:dyDescent="0.3">
      <c r="A8" s="13"/>
      <c r="B8" s="584"/>
      <c r="C8" s="602"/>
      <c r="D8" s="603"/>
      <c r="E8" s="604"/>
      <c r="F8" s="608" t="s">
        <v>388</v>
      </c>
      <c r="G8" s="609"/>
      <c r="H8" s="610"/>
      <c r="I8" s="608" t="s">
        <v>401</v>
      </c>
      <c r="J8" s="609"/>
      <c r="K8" s="610"/>
      <c r="L8" s="608" t="s">
        <v>402</v>
      </c>
      <c r="M8" s="609"/>
      <c r="N8" s="610"/>
      <c r="O8" s="612" t="s">
        <v>388</v>
      </c>
      <c r="P8" s="613"/>
      <c r="Q8" s="614"/>
      <c r="R8" s="612" t="s">
        <v>401</v>
      </c>
      <c r="S8" s="613"/>
      <c r="T8" s="614"/>
      <c r="U8" s="612" t="s">
        <v>402</v>
      </c>
      <c r="V8" s="613"/>
      <c r="W8" s="614"/>
      <c r="X8" s="608" t="s">
        <v>388</v>
      </c>
      <c r="Y8" s="609"/>
      <c r="Z8" s="610"/>
      <c r="AA8" s="608" t="s">
        <v>401</v>
      </c>
      <c r="AB8" s="609"/>
      <c r="AC8" s="610"/>
      <c r="AD8" s="608" t="s">
        <v>402</v>
      </c>
      <c r="AE8" s="609"/>
      <c r="AF8" s="611"/>
      <c r="AG8" s="13"/>
      <c r="AH8" s="13"/>
      <c r="AI8" s="13"/>
      <c r="AJ8" s="13"/>
      <c r="AK8" s="13"/>
      <c r="AL8" s="13"/>
      <c r="AM8" s="13"/>
    </row>
    <row r="9" spans="1:65" ht="34.15" customHeight="1" thickTop="1" thickBot="1" x14ac:dyDescent="0.3">
      <c r="B9" s="106" t="s">
        <v>393</v>
      </c>
      <c r="C9" s="51" t="s">
        <v>334</v>
      </c>
      <c r="D9" s="107" t="s">
        <v>15</v>
      </c>
      <c r="E9" s="51" t="s">
        <v>1</v>
      </c>
      <c r="F9" s="50" t="s">
        <v>334</v>
      </c>
      <c r="G9" s="107" t="s">
        <v>15</v>
      </c>
      <c r="H9" s="52" t="s">
        <v>1</v>
      </c>
      <c r="I9" s="51" t="s">
        <v>334</v>
      </c>
      <c r="J9" s="107" t="s">
        <v>15</v>
      </c>
      <c r="K9" s="51" t="s">
        <v>1</v>
      </c>
      <c r="L9" s="50" t="s">
        <v>334</v>
      </c>
      <c r="M9" s="107" t="s">
        <v>15</v>
      </c>
      <c r="N9" s="51" t="s">
        <v>412</v>
      </c>
      <c r="O9" s="50" t="s">
        <v>334</v>
      </c>
      <c r="P9" s="107" t="s">
        <v>15</v>
      </c>
      <c r="Q9" s="51" t="s">
        <v>1</v>
      </c>
      <c r="R9" s="108" t="s">
        <v>334</v>
      </c>
      <c r="S9" s="107" t="s">
        <v>15</v>
      </c>
      <c r="T9" s="109" t="s">
        <v>1</v>
      </c>
      <c r="U9" s="108" t="s">
        <v>334</v>
      </c>
      <c r="V9" s="107" t="s">
        <v>15</v>
      </c>
      <c r="W9" s="109" t="s">
        <v>1</v>
      </c>
      <c r="X9" s="108" t="s">
        <v>334</v>
      </c>
      <c r="Y9" s="107" t="s">
        <v>15</v>
      </c>
      <c r="Z9" s="109" t="s">
        <v>1</v>
      </c>
      <c r="AA9" s="108" t="s">
        <v>334</v>
      </c>
      <c r="AB9" s="107" t="s">
        <v>15</v>
      </c>
      <c r="AC9" s="109" t="s">
        <v>1</v>
      </c>
      <c r="AD9" s="108" t="s">
        <v>413</v>
      </c>
      <c r="AE9" s="107" t="s">
        <v>15</v>
      </c>
      <c r="AF9" s="110" t="s">
        <v>1</v>
      </c>
    </row>
    <row r="10" spans="1:65" ht="6" customHeight="1" thickTop="1" x14ac:dyDescent="0.25">
      <c r="B10" s="111"/>
      <c r="C10" s="112"/>
      <c r="D10" s="113"/>
      <c r="E10" s="114"/>
      <c r="F10" s="11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25">
      <c r="B11" s="89" t="s">
        <v>327</v>
      </c>
      <c r="C11" s="54">
        <v>545300</v>
      </c>
      <c r="D11" s="237">
        <v>656100</v>
      </c>
      <c r="E11" s="221">
        <v>703700</v>
      </c>
      <c r="F11" s="220">
        <v>27343</v>
      </c>
      <c r="G11" s="122">
        <v>32849</v>
      </c>
      <c r="H11" s="221">
        <v>35790</v>
      </c>
      <c r="I11" s="220">
        <v>19344</v>
      </c>
      <c r="J11" s="122">
        <v>24412</v>
      </c>
      <c r="K11" s="221">
        <v>29491</v>
      </c>
      <c r="L11" s="220">
        <v>18299</v>
      </c>
      <c r="M11" s="122">
        <v>21926</v>
      </c>
      <c r="N11" s="221">
        <v>24340</v>
      </c>
      <c r="O11" s="124">
        <f>IFERROR(F11*1000/C11,"-")</f>
        <v>50.143040528149641</v>
      </c>
      <c r="P11" s="125">
        <f t="shared" ref="P11:Q18" si="0">IFERROR(G11*1000/D11,"-")</f>
        <v>50.067062947721382</v>
      </c>
      <c r="Q11" s="126">
        <f t="shared" si="0"/>
        <v>50.859741367059826</v>
      </c>
      <c r="R11" s="127">
        <f>IFERROR(I11*1000/C11,"-")</f>
        <v>35.474050981111311</v>
      </c>
      <c r="S11" s="128">
        <f t="shared" ref="S11:T18" si="1">IFERROR(J11*1000/D11,"-")</f>
        <v>37.207742722146016</v>
      </c>
      <c r="T11" s="129">
        <f t="shared" si="1"/>
        <v>41.908483728861732</v>
      </c>
      <c r="U11" s="127">
        <f>IFERROR(L11*1000/C11,"-")</f>
        <v>33.557674674491103</v>
      </c>
      <c r="V11" s="128">
        <f t="shared" ref="V11:W18" si="2">IFERROR(M11*1000/D11,"-")</f>
        <v>33.418686175887821</v>
      </c>
      <c r="W11" s="129">
        <f t="shared" si="2"/>
        <v>34.58860309791104</v>
      </c>
      <c r="X11" s="130">
        <f t="shared" ref="X11:AF18" si="3">IFERROR(F11/F$20,"-")</f>
        <v>0.24444603377526664</v>
      </c>
      <c r="Y11" s="131">
        <f t="shared" si="3"/>
        <v>0.2367273696878851</v>
      </c>
      <c r="Z11" s="132">
        <f t="shared" si="3"/>
        <v>0.24243368466686535</v>
      </c>
      <c r="AA11" s="130">
        <f t="shared" si="3"/>
        <v>0.40772278897226205</v>
      </c>
      <c r="AB11" s="131">
        <f t="shared" si="3"/>
        <v>0.40624375956866138</v>
      </c>
      <c r="AC11" s="132">
        <f t="shared" si="3"/>
        <v>0.44363379264697034</v>
      </c>
      <c r="AD11" s="130">
        <f t="shared" si="3"/>
        <v>0.57205827185194447</v>
      </c>
      <c r="AE11" s="131">
        <f t="shared" si="3"/>
        <v>0.56709083385061043</v>
      </c>
      <c r="AF11" s="133">
        <f t="shared" si="3"/>
        <v>0.54156283374866498</v>
      </c>
    </row>
    <row r="12" spans="1:65" x14ac:dyDescent="0.25">
      <c r="B12" s="103" t="s">
        <v>67</v>
      </c>
      <c r="C12" s="177">
        <v>899600</v>
      </c>
      <c r="D12" s="244">
        <v>1031500</v>
      </c>
      <c r="E12" s="231">
        <v>1232600</v>
      </c>
      <c r="F12" s="230">
        <v>46890</v>
      </c>
      <c r="G12" s="135">
        <v>54210</v>
      </c>
      <c r="H12" s="231">
        <v>63798</v>
      </c>
      <c r="I12" s="230">
        <v>9481</v>
      </c>
      <c r="J12" s="135">
        <v>11172</v>
      </c>
      <c r="K12" s="231">
        <v>14452</v>
      </c>
      <c r="L12" s="230">
        <v>9481</v>
      </c>
      <c r="M12" s="135">
        <v>11172</v>
      </c>
      <c r="N12" s="231">
        <v>14452</v>
      </c>
      <c r="O12" s="137">
        <f t="shared" ref="O12:O18" si="4">IFERROR(F12*1000/C12,"-")</f>
        <v>52.123165851489553</v>
      </c>
      <c r="P12" s="138">
        <f t="shared" si="0"/>
        <v>52.554532234609795</v>
      </c>
      <c r="Q12" s="139">
        <f t="shared" si="0"/>
        <v>51.758883660554922</v>
      </c>
      <c r="R12" s="140">
        <f t="shared" ref="R12:R18" si="5">IFERROR(I12*1000/C12,"-")</f>
        <v>10.539128501556247</v>
      </c>
      <c r="S12" s="141">
        <f t="shared" si="1"/>
        <v>10.830828889966069</v>
      </c>
      <c r="T12" s="142">
        <f t="shared" si="1"/>
        <v>11.724809346097679</v>
      </c>
      <c r="U12" s="140">
        <f t="shared" ref="U12:U18" si="6">IFERROR(L12*1000/C12,"-")</f>
        <v>10.539128501556247</v>
      </c>
      <c r="V12" s="141">
        <f t="shared" si="2"/>
        <v>10.830828889966069</v>
      </c>
      <c r="W12" s="142">
        <f t="shared" si="2"/>
        <v>11.724809346097679</v>
      </c>
      <c r="X12" s="143">
        <f t="shared" si="3"/>
        <v>0.41919593767041846</v>
      </c>
      <c r="Y12" s="144">
        <f t="shared" si="3"/>
        <v>0.39066609975281597</v>
      </c>
      <c r="Z12" s="145">
        <f t="shared" si="3"/>
        <v>0.43215379196358417</v>
      </c>
      <c r="AA12" s="143">
        <f t="shared" si="3"/>
        <v>0.19983559564960796</v>
      </c>
      <c r="AB12" s="144">
        <f t="shared" si="3"/>
        <v>0.18591493043999202</v>
      </c>
      <c r="AC12" s="145">
        <f t="shared" si="3"/>
        <v>0.2174017690595102</v>
      </c>
      <c r="AD12" s="143">
        <f t="shared" si="3"/>
        <v>0.29639239714893084</v>
      </c>
      <c r="AE12" s="144">
        <f t="shared" si="3"/>
        <v>0.28895096213531968</v>
      </c>
      <c r="AF12" s="146">
        <f t="shared" si="3"/>
        <v>0.32155571377714487</v>
      </c>
    </row>
    <row r="13" spans="1:65" x14ac:dyDescent="0.25">
      <c r="B13" s="89" t="s">
        <v>16</v>
      </c>
      <c r="C13" s="176">
        <v>762100</v>
      </c>
      <c r="D13" s="237">
        <v>834600</v>
      </c>
      <c r="E13" s="221">
        <v>767900</v>
      </c>
      <c r="F13" s="220">
        <v>28151</v>
      </c>
      <c r="G13" s="122">
        <v>41491</v>
      </c>
      <c r="H13" s="221">
        <v>36820</v>
      </c>
      <c r="I13" s="220">
        <v>14043</v>
      </c>
      <c r="J13" s="122">
        <v>19165</v>
      </c>
      <c r="K13" s="221">
        <v>16301</v>
      </c>
      <c r="L13" s="220">
        <v>1096</v>
      </c>
      <c r="M13" s="122">
        <v>1402</v>
      </c>
      <c r="N13" s="221">
        <v>1391</v>
      </c>
      <c r="O13" s="124">
        <f t="shared" si="4"/>
        <v>36.938721952499669</v>
      </c>
      <c r="P13" s="125">
        <f t="shared" si="0"/>
        <v>49.713635274382938</v>
      </c>
      <c r="Q13" s="126">
        <f t="shared" si="0"/>
        <v>47.948951686417502</v>
      </c>
      <c r="R13" s="127">
        <f t="shared" si="5"/>
        <v>18.426715654113632</v>
      </c>
      <c r="S13" s="128">
        <f t="shared" si="1"/>
        <v>22.963096093937214</v>
      </c>
      <c r="T13" s="129">
        <f t="shared" si="1"/>
        <v>21.228024482354474</v>
      </c>
      <c r="U13" s="127">
        <f t="shared" si="6"/>
        <v>1.4381314788085553</v>
      </c>
      <c r="V13" s="128">
        <f t="shared" si="2"/>
        <v>1.6798466331176611</v>
      </c>
      <c r="W13" s="129">
        <f t="shared" si="2"/>
        <v>1.8114337804401615</v>
      </c>
      <c r="X13" s="130">
        <f t="shared" si="3"/>
        <v>0.25166954236212308</v>
      </c>
      <c r="Y13" s="131">
        <f t="shared" si="3"/>
        <v>0.29900621923711651</v>
      </c>
      <c r="Z13" s="132">
        <f t="shared" si="3"/>
        <v>0.24941068090064217</v>
      </c>
      <c r="AA13" s="130">
        <f t="shared" si="3"/>
        <v>0.29599106314813256</v>
      </c>
      <c r="AB13" s="131">
        <f t="shared" si="3"/>
        <v>0.31892764427877257</v>
      </c>
      <c r="AC13" s="132">
        <f t="shared" si="3"/>
        <v>0.2452163186714002</v>
      </c>
      <c r="AD13" s="130">
        <f t="shared" si="3"/>
        <v>3.4262848568213079E-2</v>
      </c>
      <c r="AE13" s="131">
        <f t="shared" si="3"/>
        <v>3.6261121456652182E-2</v>
      </c>
      <c r="AF13" s="133">
        <f t="shared" si="3"/>
        <v>3.0949626201495193E-2</v>
      </c>
    </row>
    <row r="14" spans="1:65" x14ac:dyDescent="0.25">
      <c r="B14" s="103" t="s">
        <v>336</v>
      </c>
      <c r="C14" s="177">
        <v>3400300</v>
      </c>
      <c r="D14" s="244">
        <v>3600300</v>
      </c>
      <c r="E14" s="231">
        <v>3741700</v>
      </c>
      <c r="F14" s="230">
        <v>993</v>
      </c>
      <c r="G14" s="135">
        <v>1971</v>
      </c>
      <c r="H14" s="231">
        <v>2444</v>
      </c>
      <c r="I14" s="230">
        <v>993</v>
      </c>
      <c r="J14" s="135">
        <v>1971</v>
      </c>
      <c r="K14" s="231">
        <v>2444</v>
      </c>
      <c r="L14" s="230">
        <v>993</v>
      </c>
      <c r="M14" s="135">
        <v>1971</v>
      </c>
      <c r="N14" s="231">
        <v>2444</v>
      </c>
      <c r="O14" s="137">
        <f t="shared" si="4"/>
        <v>0.29203305590683176</v>
      </c>
      <c r="P14" s="138">
        <f t="shared" si="0"/>
        <v>0.54745437880176651</v>
      </c>
      <c r="Q14" s="139">
        <f t="shared" si="0"/>
        <v>0.65317903626693752</v>
      </c>
      <c r="R14" s="140">
        <f t="shared" si="5"/>
        <v>0.29203305590683176</v>
      </c>
      <c r="S14" s="141">
        <f t="shared" si="1"/>
        <v>0.54745437880176651</v>
      </c>
      <c r="T14" s="142">
        <f t="shared" si="1"/>
        <v>0.65317903626693752</v>
      </c>
      <c r="U14" s="140">
        <f t="shared" si="6"/>
        <v>0.29203305590683176</v>
      </c>
      <c r="V14" s="141">
        <f t="shared" si="2"/>
        <v>0.54745437880176651</v>
      </c>
      <c r="W14" s="142">
        <f t="shared" si="2"/>
        <v>0.65317903626693752</v>
      </c>
      <c r="X14" s="143">
        <f t="shared" si="3"/>
        <v>8.8774059736985624E-3</v>
      </c>
      <c r="Y14" s="144">
        <f t="shared" si="3"/>
        <v>1.4204074573193143E-2</v>
      </c>
      <c r="Z14" s="145">
        <f t="shared" si="3"/>
        <v>1.6555125044029589E-2</v>
      </c>
      <c r="AA14" s="143">
        <f t="shared" si="3"/>
        <v>2.0929938453756007E-2</v>
      </c>
      <c r="AB14" s="144">
        <f t="shared" si="3"/>
        <v>3.279970711575584E-2</v>
      </c>
      <c r="AC14" s="145">
        <f t="shared" si="3"/>
        <v>3.6765148324207235E-2</v>
      </c>
      <c r="AD14" s="143">
        <f t="shared" si="3"/>
        <v>3.104289108415656E-2</v>
      </c>
      <c r="AE14" s="144">
        <f t="shared" si="3"/>
        <v>5.0977653631284918E-2</v>
      </c>
      <c r="AF14" s="146">
        <f t="shared" si="3"/>
        <v>5.4378782484870061E-2</v>
      </c>
    </row>
    <row r="15" spans="1:65" x14ac:dyDescent="0.25">
      <c r="B15" s="89" t="s">
        <v>309</v>
      </c>
      <c r="C15" s="176">
        <v>4700</v>
      </c>
      <c r="D15" s="237">
        <v>4800</v>
      </c>
      <c r="E15" s="221">
        <v>4800</v>
      </c>
      <c r="F15" s="220">
        <v>1147</v>
      </c>
      <c r="G15" s="122">
        <v>1160</v>
      </c>
      <c r="H15" s="221">
        <v>1164</v>
      </c>
      <c r="I15" s="220">
        <v>418</v>
      </c>
      <c r="J15" s="122">
        <v>479</v>
      </c>
      <c r="K15" s="221">
        <v>445</v>
      </c>
      <c r="L15" s="220">
        <v>625</v>
      </c>
      <c r="M15" s="122">
        <v>657</v>
      </c>
      <c r="N15" s="221">
        <v>677</v>
      </c>
      <c r="O15" s="124">
        <f t="shared" si="4"/>
        <v>244.04255319148936</v>
      </c>
      <c r="P15" s="125">
        <f t="shared" si="0"/>
        <v>241.66666666666666</v>
      </c>
      <c r="Q15" s="126">
        <f t="shared" si="0"/>
        <v>242.5</v>
      </c>
      <c r="R15" s="127">
        <f t="shared" si="5"/>
        <v>88.936170212765958</v>
      </c>
      <c r="S15" s="128">
        <f t="shared" si="1"/>
        <v>99.791666666666671</v>
      </c>
      <c r="T15" s="129">
        <f t="shared" si="1"/>
        <v>92.708333333333329</v>
      </c>
      <c r="U15" s="127">
        <f t="shared" si="6"/>
        <v>132.97872340425531</v>
      </c>
      <c r="V15" s="128">
        <f t="shared" si="2"/>
        <v>136.875</v>
      </c>
      <c r="W15" s="129">
        <f t="shared" si="2"/>
        <v>141.04166666666666</v>
      </c>
      <c r="X15" s="130">
        <f t="shared" si="3"/>
        <v>1.0254163798421199E-2</v>
      </c>
      <c r="Y15" s="131">
        <f t="shared" si="3"/>
        <v>8.3595771207022052E-3</v>
      </c>
      <c r="Z15" s="132">
        <f t="shared" si="3"/>
        <v>7.8846831224428978E-3</v>
      </c>
      <c r="AA15" s="130">
        <f t="shared" si="3"/>
        <v>8.8103869825478451E-3</v>
      </c>
      <c r="AB15" s="131">
        <f t="shared" si="3"/>
        <v>7.9711109631897762E-3</v>
      </c>
      <c r="AC15" s="132">
        <f t="shared" si="3"/>
        <v>6.6941452554305312E-3</v>
      </c>
      <c r="AD15" s="130">
        <f t="shared" si="3"/>
        <v>1.9538576966362384E-2</v>
      </c>
      <c r="AE15" s="131">
        <f t="shared" si="3"/>
        <v>1.6992551210428305E-2</v>
      </c>
      <c r="AF15" s="133">
        <f t="shared" si="3"/>
        <v>1.5063189747241012E-2</v>
      </c>
    </row>
    <row r="16" spans="1:65" x14ac:dyDescent="0.25">
      <c r="B16" s="103" t="s">
        <v>3</v>
      </c>
      <c r="C16" s="177">
        <v>9100</v>
      </c>
      <c r="D16" s="244">
        <v>4500</v>
      </c>
      <c r="E16" s="231">
        <v>7000</v>
      </c>
      <c r="F16" s="230">
        <v>419</v>
      </c>
      <c r="G16" s="135">
        <v>208</v>
      </c>
      <c r="H16" s="231">
        <v>324</v>
      </c>
      <c r="I16" s="230">
        <v>175</v>
      </c>
      <c r="J16" s="135">
        <v>87</v>
      </c>
      <c r="K16" s="231">
        <v>135</v>
      </c>
      <c r="L16" s="230"/>
      <c r="M16" s="135"/>
      <c r="N16" s="231"/>
      <c r="O16" s="137">
        <f t="shared" si="4"/>
        <v>46.043956043956044</v>
      </c>
      <c r="P16" s="138">
        <f t="shared" si="0"/>
        <v>46.222222222222221</v>
      </c>
      <c r="Q16" s="139">
        <f t="shared" si="0"/>
        <v>46.285714285714285</v>
      </c>
      <c r="R16" s="140">
        <f t="shared" si="5"/>
        <v>19.23076923076923</v>
      </c>
      <c r="S16" s="141">
        <f t="shared" si="1"/>
        <v>19.333333333333332</v>
      </c>
      <c r="T16" s="142">
        <f t="shared" si="1"/>
        <v>19.285714285714285</v>
      </c>
      <c r="U16" s="140">
        <f t="shared" si="6"/>
        <v>0</v>
      </c>
      <c r="V16" s="141">
        <f t="shared" si="2"/>
        <v>0</v>
      </c>
      <c r="W16" s="142">
        <f t="shared" si="2"/>
        <v>0</v>
      </c>
      <c r="X16" s="143">
        <f t="shared" si="3"/>
        <v>3.7458540815505513E-3</v>
      </c>
      <c r="Y16" s="144">
        <f t="shared" si="3"/>
        <v>1.4989586561259126E-3</v>
      </c>
      <c r="Z16" s="145">
        <f t="shared" si="3"/>
        <v>2.1947056114016311E-3</v>
      </c>
      <c r="AA16" s="143">
        <f t="shared" si="3"/>
        <v>3.6885591434111793E-3</v>
      </c>
      <c r="AB16" s="144">
        <f t="shared" si="3"/>
        <v>1.4477800705584771E-3</v>
      </c>
      <c r="AC16" s="145">
        <f t="shared" si="3"/>
        <v>2.0308081111980263E-3</v>
      </c>
      <c r="AD16" s="143">
        <f t="shared" si="3"/>
        <v>0</v>
      </c>
      <c r="AE16" s="144">
        <f t="shared" si="3"/>
        <v>0</v>
      </c>
      <c r="AF16" s="146">
        <f t="shared" si="3"/>
        <v>0</v>
      </c>
    </row>
    <row r="17" spans="1:65" x14ac:dyDescent="0.25">
      <c r="B17" s="89" t="s">
        <v>21</v>
      </c>
      <c r="C17" s="176">
        <v>1031000</v>
      </c>
      <c r="D17" s="237">
        <v>912600</v>
      </c>
      <c r="E17" s="221">
        <v>1091100</v>
      </c>
      <c r="F17" s="220">
        <v>969</v>
      </c>
      <c r="G17" s="122">
        <v>816</v>
      </c>
      <c r="H17" s="221">
        <v>948</v>
      </c>
      <c r="I17" s="220">
        <v>1869</v>
      </c>
      <c r="J17" s="122">
        <v>1654</v>
      </c>
      <c r="K17" s="221">
        <v>1978</v>
      </c>
      <c r="L17" s="220"/>
      <c r="M17" s="122"/>
      <c r="N17" s="221"/>
      <c r="O17" s="124">
        <f t="shared" si="4"/>
        <v>0.93986420950533467</v>
      </c>
      <c r="P17" s="125">
        <f t="shared" si="0"/>
        <v>0.89414858645627882</v>
      </c>
      <c r="Q17" s="126">
        <f t="shared" si="0"/>
        <v>0.86884795160846851</v>
      </c>
      <c r="R17" s="127">
        <f t="shared" si="5"/>
        <v>1.8128031037827352</v>
      </c>
      <c r="S17" s="128">
        <f t="shared" si="1"/>
        <v>1.8124041200964278</v>
      </c>
      <c r="T17" s="129">
        <f t="shared" si="1"/>
        <v>1.8128494180185135</v>
      </c>
      <c r="U17" s="127">
        <f t="shared" si="6"/>
        <v>0</v>
      </c>
      <c r="V17" s="128">
        <f t="shared" si="2"/>
        <v>0</v>
      </c>
      <c r="W17" s="129">
        <f t="shared" si="2"/>
        <v>0</v>
      </c>
      <c r="X17" s="130">
        <f t="shared" si="3"/>
        <v>8.6628463127028255E-3</v>
      </c>
      <c r="Y17" s="131">
        <f t="shared" si="3"/>
        <v>5.8805301124939648E-3</v>
      </c>
      <c r="Z17" s="132">
        <f t="shared" si="3"/>
        <v>6.4215460481751429E-3</v>
      </c>
      <c r="AA17" s="130">
        <f t="shared" si="3"/>
        <v>3.9393811651631395E-2</v>
      </c>
      <c r="AB17" s="131">
        <f t="shared" si="3"/>
        <v>2.7524462490847366E-2</v>
      </c>
      <c r="AC17" s="132">
        <f t="shared" si="3"/>
        <v>2.9755099584812563E-2</v>
      </c>
      <c r="AD17" s="130">
        <f t="shared" si="3"/>
        <v>0</v>
      </c>
      <c r="AE17" s="131">
        <f t="shared" si="3"/>
        <v>0</v>
      </c>
      <c r="AF17" s="133">
        <f t="shared" si="3"/>
        <v>0</v>
      </c>
    </row>
    <row r="18" spans="1:65" x14ac:dyDescent="0.25">
      <c r="B18" s="103" t="s">
        <v>331</v>
      </c>
      <c r="C18" s="177">
        <v>162300</v>
      </c>
      <c r="D18" s="244">
        <v>171300</v>
      </c>
      <c r="E18" s="231">
        <v>183600</v>
      </c>
      <c r="F18" s="230">
        <v>5945</v>
      </c>
      <c r="G18" s="135">
        <v>6058</v>
      </c>
      <c r="H18" s="231">
        <v>6340</v>
      </c>
      <c r="I18" s="230">
        <v>1121</v>
      </c>
      <c r="J18" s="135">
        <v>1152</v>
      </c>
      <c r="K18" s="231">
        <v>1230</v>
      </c>
      <c r="L18" s="230">
        <v>1494</v>
      </c>
      <c r="M18" s="135">
        <v>1536</v>
      </c>
      <c r="N18" s="231">
        <v>1640</v>
      </c>
      <c r="O18" s="137">
        <f t="shared" si="4"/>
        <v>36.629698089956868</v>
      </c>
      <c r="P18" s="138">
        <f t="shared" si="0"/>
        <v>35.364856976065383</v>
      </c>
      <c r="Q18" s="139">
        <f t="shared" si="0"/>
        <v>34.531590413943356</v>
      </c>
      <c r="R18" s="140">
        <f t="shared" si="5"/>
        <v>6.9069624152803453</v>
      </c>
      <c r="S18" s="141">
        <f t="shared" si="1"/>
        <v>6.7250437828371279</v>
      </c>
      <c r="T18" s="142">
        <f t="shared" si="1"/>
        <v>6.6993464052287583</v>
      </c>
      <c r="U18" s="140">
        <f t="shared" si="6"/>
        <v>9.2051756007393717</v>
      </c>
      <c r="V18" s="141">
        <f t="shared" si="2"/>
        <v>8.9667250437828372</v>
      </c>
      <c r="W18" s="142">
        <f t="shared" si="2"/>
        <v>8.9324618736383439</v>
      </c>
      <c r="X18" s="143">
        <f t="shared" si="3"/>
        <v>5.3148216025818679E-2</v>
      </c>
      <c r="Y18" s="144">
        <f t="shared" si="3"/>
        <v>4.3657170859667201E-2</v>
      </c>
      <c r="Z18" s="145">
        <f t="shared" si="3"/>
        <v>4.294578264285908E-2</v>
      </c>
      <c r="AA18" s="143">
        <f t="shared" si="3"/>
        <v>2.362785599865104E-2</v>
      </c>
      <c r="AB18" s="144">
        <f t="shared" si="3"/>
        <v>1.9170605072222593E-2</v>
      </c>
      <c r="AC18" s="145">
        <f t="shared" si="3"/>
        <v>1.8502918346470908E-2</v>
      </c>
      <c r="AD18" s="143">
        <f t="shared" si="3"/>
        <v>4.6705014380392644E-2</v>
      </c>
      <c r="AE18" s="144">
        <f t="shared" si="3"/>
        <v>3.9726877715704531E-2</v>
      </c>
      <c r="AF18" s="146">
        <f t="shared" si="3"/>
        <v>3.6489854040583837E-2</v>
      </c>
    </row>
    <row r="19" spans="1:65" ht="6" customHeight="1" thickBot="1" x14ac:dyDescent="0.3">
      <c r="B19" s="121"/>
      <c r="C19" s="566"/>
      <c r="D19" s="223"/>
      <c r="E19" s="567"/>
      <c r="F19" s="225"/>
      <c r="G19" s="226"/>
      <c r="H19" s="227"/>
      <c r="I19" s="228"/>
      <c r="J19" s="226"/>
      <c r="K19" s="228"/>
      <c r="L19" s="225"/>
      <c r="M19" s="226"/>
      <c r="N19" s="227"/>
      <c r="O19" s="124"/>
      <c r="P19" s="125"/>
      <c r="Q19" s="55"/>
      <c r="R19" s="335"/>
      <c r="S19" s="125"/>
      <c r="T19" s="302"/>
      <c r="U19" s="335"/>
      <c r="V19" s="125"/>
      <c r="W19" s="302"/>
      <c r="X19" s="456"/>
      <c r="Y19" s="354"/>
      <c r="Z19" s="358"/>
      <c r="AA19" s="456"/>
      <c r="AB19" s="354"/>
      <c r="AC19" s="358"/>
      <c r="AD19" s="456"/>
      <c r="AE19" s="354"/>
      <c r="AF19" s="355"/>
    </row>
    <row r="20" spans="1:65" ht="24.95" customHeight="1" thickTop="1" thickBot="1" x14ac:dyDescent="0.3">
      <c r="A20" s="13"/>
      <c r="B20" s="61" t="s">
        <v>13</v>
      </c>
      <c r="C20" s="483">
        <f t="shared" ref="C20:N20" si="7">SUM(C11:C18)</f>
        <v>6814400</v>
      </c>
      <c r="D20" s="484">
        <f t="shared" si="7"/>
        <v>7215700</v>
      </c>
      <c r="E20" s="486">
        <f t="shared" si="7"/>
        <v>7732400</v>
      </c>
      <c r="F20" s="487">
        <f t="shared" si="7"/>
        <v>111857</v>
      </c>
      <c r="G20" s="484">
        <f t="shared" si="7"/>
        <v>138763</v>
      </c>
      <c r="H20" s="486">
        <f t="shared" si="7"/>
        <v>147628</v>
      </c>
      <c r="I20" s="487">
        <f t="shared" si="7"/>
        <v>47444</v>
      </c>
      <c r="J20" s="484">
        <f t="shared" si="7"/>
        <v>60092</v>
      </c>
      <c r="K20" s="486">
        <f t="shared" si="7"/>
        <v>66476</v>
      </c>
      <c r="L20" s="487">
        <f t="shared" si="7"/>
        <v>31988</v>
      </c>
      <c r="M20" s="484">
        <f t="shared" si="7"/>
        <v>38664</v>
      </c>
      <c r="N20" s="486">
        <f t="shared" si="7"/>
        <v>44944</v>
      </c>
      <c r="O20" s="478"/>
      <c r="P20" s="478"/>
      <c r="Q20" s="478"/>
      <c r="R20" s="478"/>
      <c r="S20" s="478"/>
      <c r="T20" s="478"/>
      <c r="U20" s="478"/>
      <c r="V20" s="478"/>
      <c r="W20" s="478"/>
      <c r="X20" s="479">
        <f t="shared" ref="X20:AF20" si="8">SUM(X11:X18)</f>
        <v>1.0000000000000002</v>
      </c>
      <c r="Y20" s="480">
        <f t="shared" si="8"/>
        <v>1.0000000000000002</v>
      </c>
      <c r="Z20" s="481">
        <f t="shared" si="8"/>
        <v>1</v>
      </c>
      <c r="AA20" s="479">
        <f t="shared" si="8"/>
        <v>1</v>
      </c>
      <c r="AB20" s="480">
        <f t="shared" si="8"/>
        <v>1.0000000000000002</v>
      </c>
      <c r="AC20" s="481">
        <f t="shared" si="8"/>
        <v>1</v>
      </c>
      <c r="AD20" s="479">
        <f t="shared" si="8"/>
        <v>1</v>
      </c>
      <c r="AE20" s="480">
        <f t="shared" si="8"/>
        <v>1</v>
      </c>
      <c r="AF20" s="482">
        <f t="shared" si="8"/>
        <v>0.99999999999999989</v>
      </c>
      <c r="AG20" s="13"/>
      <c r="AH20" s="13"/>
      <c r="AI20" s="13"/>
      <c r="AJ20" s="13"/>
      <c r="AK20" s="13"/>
      <c r="AL20" s="13"/>
      <c r="AM20" s="13"/>
    </row>
    <row r="21" spans="1:65" ht="16.5" customHeight="1" thickTop="1" x14ac:dyDescent="0.25">
      <c r="B21" s="35"/>
      <c r="C21" s="35"/>
      <c r="D21" s="35"/>
      <c r="E21" s="35"/>
      <c r="F21" s="159"/>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row>
    <row r="22" spans="1:65" x14ac:dyDescent="0.2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row>
    <row r="23" spans="1:65" x14ac:dyDescent="0.25">
      <c r="B23" s="66" t="s">
        <v>396</v>
      </c>
      <c r="C23" s="67"/>
      <c r="D23" s="67"/>
      <c r="E23" s="67"/>
      <c r="F23" s="67"/>
      <c r="G23" s="67"/>
      <c r="H23" s="67"/>
      <c r="I23" s="67"/>
      <c r="J23" s="35"/>
      <c r="K23" s="35"/>
      <c r="L23" s="35"/>
      <c r="M23" s="35"/>
      <c r="N23" s="35"/>
      <c r="O23" s="35"/>
      <c r="P23" s="35"/>
      <c r="Q23" s="35"/>
      <c r="R23" s="35"/>
      <c r="S23" s="35"/>
      <c r="T23" s="35"/>
      <c r="U23" s="35"/>
      <c r="V23" s="35"/>
      <c r="W23" s="35"/>
      <c r="X23" s="35"/>
      <c r="Y23" s="35"/>
      <c r="Z23" s="35"/>
      <c r="AA23" s="35"/>
      <c r="AB23" s="35"/>
      <c r="AC23" s="35"/>
      <c r="AD23" s="35"/>
      <c r="AE23" s="35"/>
      <c r="AF23" s="35"/>
    </row>
    <row r="24" spans="1:65" x14ac:dyDescent="0.25">
      <c r="A24" s="21"/>
      <c r="B24" s="67" t="s">
        <v>374</v>
      </c>
      <c r="C24" s="67"/>
      <c r="D24" s="67"/>
      <c r="E24" s="67"/>
      <c r="F24" s="68"/>
      <c r="G24" s="68"/>
      <c r="H24" s="68"/>
      <c r="I24" s="68"/>
      <c r="J24" s="36"/>
      <c r="K24" s="36"/>
      <c r="L24" s="36"/>
      <c r="M24" s="36"/>
      <c r="N24" s="36"/>
      <c r="O24" s="35"/>
      <c r="P24" s="35"/>
      <c r="Q24" s="35"/>
      <c r="R24" s="35"/>
      <c r="S24" s="35"/>
      <c r="T24" s="36"/>
      <c r="U24" s="36"/>
      <c r="V24" s="36"/>
      <c r="W24" s="36"/>
      <c r="X24" s="36"/>
      <c r="Y24" s="36"/>
      <c r="Z24" s="35"/>
      <c r="AA24" s="36"/>
      <c r="AB24" s="36"/>
      <c r="AC24" s="36"/>
      <c r="AD24" s="36"/>
      <c r="AE24" s="36"/>
      <c r="AF24" s="36"/>
      <c r="AG24"/>
      <c r="AH24"/>
      <c r="AI24"/>
      <c r="AJ24"/>
      <c r="AK24"/>
      <c r="AL24"/>
      <c r="AM24"/>
      <c r="AN24"/>
      <c r="AO24"/>
      <c r="AP24"/>
      <c r="AQ24"/>
      <c r="AR24"/>
      <c r="AS24"/>
      <c r="AT24"/>
      <c r="AU24"/>
      <c r="AV24"/>
      <c r="AW24"/>
      <c r="AX24"/>
      <c r="AY24"/>
      <c r="AZ24"/>
      <c r="BA24"/>
      <c r="BB24"/>
      <c r="BC24"/>
      <c r="BD24"/>
      <c r="BE24"/>
      <c r="BF24"/>
      <c r="BG24"/>
      <c r="BH24"/>
      <c r="BI24"/>
      <c r="BJ24"/>
      <c r="BK24"/>
      <c r="BL24"/>
      <c r="BM24"/>
    </row>
    <row r="25" spans="1:65" x14ac:dyDescent="0.25">
      <c r="A25" s="21"/>
      <c r="B25" s="67"/>
      <c r="C25" s="67"/>
      <c r="D25" s="67"/>
      <c r="E25" s="67"/>
      <c r="F25" s="68"/>
      <c r="G25" s="68"/>
      <c r="H25" s="68"/>
      <c r="I25" s="68"/>
      <c r="J25" s="36"/>
      <c r="K25" s="36"/>
      <c r="L25" s="36"/>
      <c r="M25" s="36"/>
      <c r="N25" s="36"/>
      <c r="O25" s="35"/>
      <c r="P25" s="35"/>
      <c r="Q25" s="35"/>
      <c r="R25" s="35"/>
      <c r="S25" s="35"/>
      <c r="T25" s="36"/>
      <c r="U25" s="36"/>
      <c r="V25" s="36"/>
      <c r="W25" s="36"/>
      <c r="X25" s="36"/>
      <c r="Y25" s="36"/>
      <c r="Z25" s="35"/>
      <c r="AA25" s="36"/>
      <c r="AB25" s="36"/>
      <c r="AC25" s="36"/>
      <c r="AD25" s="36"/>
      <c r="AE25" s="36"/>
      <c r="AF25" s="36"/>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x14ac:dyDescent="0.25">
      <c r="A26"/>
      <c r="B26" s="79" t="s">
        <v>397</v>
      </c>
      <c r="C26" s="68"/>
      <c r="D26" s="68"/>
      <c r="E26" s="68"/>
      <c r="F26" s="68"/>
      <c r="G26" s="68"/>
      <c r="H26" s="68"/>
      <c r="I26" s="68"/>
      <c r="J26" s="36"/>
      <c r="K26" s="36"/>
      <c r="L26" s="36"/>
      <c r="M26" s="36"/>
      <c r="N26" s="36"/>
      <c r="O26" s="36"/>
      <c r="P26" s="36"/>
      <c r="Q26" s="36"/>
      <c r="R26" s="36"/>
      <c r="S26" s="36"/>
      <c r="T26" s="36"/>
      <c r="U26" s="36"/>
      <c r="V26" s="36"/>
      <c r="W26" s="36"/>
      <c r="X26" s="36"/>
      <c r="Y26" s="36"/>
      <c r="Z26" s="36"/>
      <c r="AA26" s="36"/>
      <c r="AB26" s="36"/>
      <c r="AC26" s="36"/>
      <c r="AD26" s="36"/>
      <c r="AE26" s="36"/>
      <c r="AF26" s="3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x14ac:dyDescent="0.25">
      <c r="A27" s="21"/>
      <c r="B27" s="68" t="s">
        <v>335</v>
      </c>
      <c r="C27" s="68"/>
      <c r="D27" s="68"/>
      <c r="E27" s="68"/>
      <c r="F27" s="68"/>
      <c r="G27" s="68"/>
      <c r="H27" s="68"/>
      <c r="I27" s="68"/>
      <c r="J27" s="36"/>
      <c r="K27" s="36"/>
      <c r="L27" s="36"/>
      <c r="M27" s="36"/>
      <c r="N27" s="36"/>
      <c r="O27" s="36"/>
      <c r="P27" s="36"/>
      <c r="Q27" s="36"/>
      <c r="R27" s="36"/>
      <c r="S27" s="36"/>
      <c r="T27" s="36"/>
      <c r="U27" s="36"/>
      <c r="V27" s="36"/>
      <c r="W27" s="36"/>
      <c r="X27" s="36"/>
      <c r="Y27" s="36"/>
      <c r="Z27" s="36"/>
      <c r="AA27" s="36"/>
      <c r="AB27" s="36"/>
      <c r="AC27" s="36"/>
      <c r="AD27" s="36"/>
      <c r="AE27" s="36"/>
      <c r="AF27" s="36"/>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x14ac:dyDescent="0.25">
      <c r="A28" s="21"/>
      <c r="B28" s="68" t="s">
        <v>382</v>
      </c>
      <c r="C28" s="68"/>
      <c r="D28" s="68"/>
      <c r="E28" s="68"/>
      <c r="F28" s="68"/>
      <c r="G28" s="68"/>
      <c r="H28" s="68"/>
      <c r="I28" s="68"/>
      <c r="J28" s="36"/>
      <c r="K28" s="36"/>
      <c r="L28" s="36"/>
      <c r="M28" s="36"/>
      <c r="N28" s="36"/>
      <c r="O28" s="36"/>
      <c r="P28" s="36"/>
      <c r="Q28" s="36"/>
      <c r="R28" s="36"/>
      <c r="S28" s="36"/>
      <c r="T28" s="36"/>
      <c r="U28" s="36"/>
      <c r="V28" s="36"/>
      <c r="W28" s="36"/>
      <c r="X28" s="36"/>
      <c r="Y28" s="36"/>
      <c r="Z28" s="36"/>
      <c r="AA28" s="36"/>
      <c r="AB28" s="36"/>
      <c r="AC28" s="36"/>
      <c r="AD28" s="36"/>
      <c r="AE28" s="36"/>
      <c r="AF28" s="36"/>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x14ac:dyDescent="0.25">
      <c r="B29" s="67"/>
      <c r="C29" s="67"/>
      <c r="D29" s="67"/>
      <c r="E29" s="67"/>
      <c r="F29" s="67"/>
      <c r="G29" s="67"/>
      <c r="H29" s="67"/>
      <c r="I29" s="67"/>
      <c r="J29" s="35"/>
      <c r="K29" s="35"/>
      <c r="L29" s="35"/>
      <c r="M29" s="35"/>
      <c r="N29" s="35"/>
      <c r="O29" s="35"/>
      <c r="P29" s="35"/>
      <c r="Q29" s="35"/>
      <c r="R29" s="35"/>
      <c r="S29" s="35"/>
      <c r="T29" s="35"/>
      <c r="U29" s="35"/>
      <c r="V29" s="35"/>
      <c r="W29" s="35"/>
      <c r="X29" s="35"/>
      <c r="Y29" s="35"/>
      <c r="Z29" s="35"/>
      <c r="AA29" s="35"/>
      <c r="AB29" s="35"/>
      <c r="AC29" s="35"/>
      <c r="AD29" s="35"/>
      <c r="AE29" s="35"/>
      <c r="AF29" s="35"/>
    </row>
    <row r="30" spans="1:65" x14ac:dyDescent="0.25">
      <c r="B30" s="66" t="s">
        <v>398</v>
      </c>
      <c r="C30" s="67"/>
      <c r="D30" s="67"/>
      <c r="E30" s="67"/>
      <c r="F30" s="67"/>
      <c r="G30" s="67"/>
      <c r="H30" s="67"/>
      <c r="I30" s="67"/>
      <c r="J30" s="35"/>
      <c r="K30" s="35"/>
      <c r="L30" s="35"/>
      <c r="M30" s="35"/>
      <c r="N30" s="35"/>
      <c r="O30" s="35"/>
      <c r="P30" s="35"/>
      <c r="Q30" s="35"/>
      <c r="R30" s="35"/>
      <c r="S30" s="35"/>
      <c r="T30" s="35"/>
      <c r="U30" s="35"/>
      <c r="V30" s="35"/>
      <c r="W30" s="35"/>
      <c r="X30" s="35"/>
      <c r="Y30" s="35"/>
      <c r="Z30" s="35"/>
      <c r="AA30" s="35"/>
      <c r="AB30" s="35"/>
      <c r="AC30" s="35"/>
      <c r="AD30" s="35"/>
      <c r="AE30" s="35"/>
      <c r="AF30" s="35"/>
    </row>
    <row r="31" spans="1:65" x14ac:dyDescent="0.2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row>
    <row r="32" spans="1:65" x14ac:dyDescent="0.2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row>
    <row r="33" spans="2:32" x14ac:dyDescent="0.2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row>
    <row r="34" spans="2:32" x14ac:dyDescent="0.2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row>
    <row r="35" spans="2:32" x14ac:dyDescent="0.2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row>
    <row r="36" spans="2:32" x14ac:dyDescent="0.2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row>
    <row r="37" spans="2:32" x14ac:dyDescent="0.2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row>
    <row r="38" spans="2:32" x14ac:dyDescent="0.2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2:32" x14ac:dyDescent="0.2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2:32" x14ac:dyDescent="0.2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2:32" s="7" customFormat="1" x14ac:dyDescent="0.2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2:32" s="7" customFormat="1" x14ac:dyDescent="0.2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2:32" s="7" customFormat="1" x14ac:dyDescent="0.2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2:32" s="7" customFormat="1" x14ac:dyDescent="0.2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2:32" s="7" customFormat="1" x14ac:dyDescent="0.2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2:32" s="7" customFormat="1" x14ac:dyDescent="0.2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sheetData>
  <mergeCells count="18">
    <mergeCell ref="U8:W8"/>
    <mergeCell ref="X8:Z8"/>
    <mergeCell ref="C6:E6"/>
    <mergeCell ref="F6:N6"/>
    <mergeCell ref="O6:W6"/>
    <mergeCell ref="X6:AF6"/>
    <mergeCell ref="B7:B8"/>
    <mergeCell ref="C7:E8"/>
    <mergeCell ref="F7:N7"/>
    <mergeCell ref="O7:W7"/>
    <mergeCell ref="X7:AF7"/>
    <mergeCell ref="F8:H8"/>
    <mergeCell ref="AA8:AC8"/>
    <mergeCell ref="AD8:AF8"/>
    <mergeCell ref="I8:K8"/>
    <mergeCell ref="L8:N8"/>
    <mergeCell ref="O8:Q8"/>
    <mergeCell ref="R8:T8"/>
  </mergeCells>
  <hyperlinks>
    <hyperlink ref="B1" location="Start!A1" display="Back to home page" xr:uid="{5905E253-6BF0-4EDA-82AA-3F8040F5E91C}"/>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4DEE-2408-47F3-AA47-54BAC13D7282}">
  <sheetPr>
    <tabColor rgb="FF92D050"/>
  </sheetPr>
  <dimension ref="A1:Q3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6" sqref="C6:C7"/>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400</v>
      </c>
      <c r="D6" s="592" t="s">
        <v>389</v>
      </c>
      <c r="E6" s="592"/>
      <c r="F6" s="592"/>
      <c r="G6" s="589" t="s">
        <v>392</v>
      </c>
      <c r="H6" s="589"/>
      <c r="I6" s="589"/>
      <c r="J6" s="589" t="s">
        <v>399</v>
      </c>
      <c r="K6" s="589"/>
      <c r="L6" s="589"/>
    </row>
    <row r="7" spans="1:17" ht="25.15" customHeight="1" thickBot="1" x14ac:dyDescent="0.3">
      <c r="B7" s="596" t="s">
        <v>307</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96"/>
      <c r="C10" s="97"/>
      <c r="D10" s="98"/>
      <c r="E10" s="98"/>
      <c r="F10" s="98"/>
      <c r="G10" s="98"/>
      <c r="H10" s="98"/>
      <c r="I10" s="98"/>
      <c r="J10" s="98"/>
      <c r="K10" s="98"/>
      <c r="L10" s="98"/>
    </row>
    <row r="11" spans="1:17" x14ac:dyDescent="0.25">
      <c r="B11" s="89" t="s">
        <v>3</v>
      </c>
      <c r="C11" s="53">
        <v>541345</v>
      </c>
      <c r="D11" s="53">
        <v>61133.713252487258</v>
      </c>
      <c r="E11" s="53">
        <v>10703.27544691106</v>
      </c>
      <c r="F11" s="53">
        <v>2417.8300389320666</v>
      </c>
      <c r="G11" s="56">
        <f>IFERROR(D11*1000/C11,"-")</f>
        <v>112.92930248268158</v>
      </c>
      <c r="H11" s="56">
        <f>IFERROR(E11*1000/C11,"-")</f>
        <v>19.771634441827413</v>
      </c>
      <c r="I11" s="56">
        <f>IFERROR(F11*1000/C11,"-")</f>
        <v>4.4663385436866809</v>
      </c>
      <c r="J11" s="57">
        <f t="shared" ref="J11:J24" si="0">D11/$D$26</f>
        <v>4.0758526070062827E-2</v>
      </c>
      <c r="K11" s="57">
        <f t="shared" ref="K11:K24" si="1">E11/$E$26</f>
        <v>2.114018456826202E-2</v>
      </c>
      <c r="L11" s="57">
        <f t="shared" ref="L11:L24" si="2">F11/$F$26</f>
        <v>8.3344710063152951E-3</v>
      </c>
    </row>
    <row r="12" spans="1:17" x14ac:dyDescent="0.25">
      <c r="B12" s="103" t="s">
        <v>16</v>
      </c>
      <c r="C12" s="71">
        <v>45150</v>
      </c>
      <c r="D12" s="71">
        <v>7818.1628985797197</v>
      </c>
      <c r="E12" s="71">
        <v>4002.5659451299898</v>
      </c>
      <c r="F12" s="71">
        <v>2458.1978648616637</v>
      </c>
      <c r="G12" s="74">
        <f t="shared" ref="G12:G24" si="3">IFERROR(D12*1000/C12,"-")</f>
        <v>173.159754121367</v>
      </c>
      <c r="H12" s="74">
        <f t="shared" ref="H12:H24" si="4">IFERROR(E12*1000/C12,"-")</f>
        <v>88.65040853001085</v>
      </c>
      <c r="I12" s="74">
        <f t="shared" ref="I12:I24" si="5">IFERROR(F12*1000/C12,"-")</f>
        <v>54.445135434366861</v>
      </c>
      <c r="J12" s="75">
        <f t="shared" si="0"/>
        <v>5.2124560961262197E-3</v>
      </c>
      <c r="K12" s="75">
        <f t="shared" si="1"/>
        <v>7.9055223091645064E-3</v>
      </c>
      <c r="L12" s="75">
        <f t="shared" si="2"/>
        <v>8.4736224228254536E-3</v>
      </c>
    </row>
    <row r="13" spans="1:17" x14ac:dyDescent="0.25">
      <c r="B13" s="89" t="s">
        <v>51</v>
      </c>
      <c r="C13" s="53">
        <v>7122562</v>
      </c>
      <c r="D13" s="53">
        <v>878802.1739298976</v>
      </c>
      <c r="E13" s="53">
        <v>184389.02890677648</v>
      </c>
      <c r="F13" s="53">
        <v>23906.968524547941</v>
      </c>
      <c r="G13" s="56">
        <f t="shared" si="3"/>
        <v>123.38287457938556</v>
      </c>
      <c r="H13" s="56">
        <f t="shared" si="4"/>
        <v>25.888020196493407</v>
      </c>
      <c r="I13" s="56">
        <f t="shared" si="5"/>
        <v>3.3565125195888701</v>
      </c>
      <c r="J13" s="57">
        <f t="shared" si="0"/>
        <v>0.58590717643169365</v>
      </c>
      <c r="K13" s="57">
        <f t="shared" si="1"/>
        <v>0.36418927297407955</v>
      </c>
      <c r="L13" s="57">
        <f t="shared" si="2"/>
        <v>8.2409405462074967E-2</v>
      </c>
    </row>
    <row r="14" spans="1:17" x14ac:dyDescent="0.25">
      <c r="B14" s="103" t="s">
        <v>5</v>
      </c>
      <c r="C14" s="71">
        <v>1717278</v>
      </c>
      <c r="D14" s="71">
        <v>35374.168866954948</v>
      </c>
      <c r="E14" s="71">
        <v>5659.3955271557788</v>
      </c>
      <c r="F14" s="71">
        <v>411.9406050493086</v>
      </c>
      <c r="G14" s="74">
        <f t="shared" si="3"/>
        <v>20.598976325880226</v>
      </c>
      <c r="H14" s="74">
        <f t="shared" si="4"/>
        <v>3.2955616546393651</v>
      </c>
      <c r="I14" s="74">
        <f t="shared" si="5"/>
        <v>0.23987997578103756</v>
      </c>
      <c r="J14" s="75">
        <f t="shared" si="0"/>
        <v>2.3584351534738941E-2</v>
      </c>
      <c r="K14" s="75">
        <f t="shared" si="1"/>
        <v>1.1177948898194309E-2</v>
      </c>
      <c r="L14" s="75">
        <f t="shared" si="2"/>
        <v>1.4199951914833115E-3</v>
      </c>
    </row>
    <row r="15" spans="1:17" x14ac:dyDescent="0.25">
      <c r="B15" s="89" t="s">
        <v>6</v>
      </c>
      <c r="C15" s="53">
        <v>190628</v>
      </c>
      <c r="D15" s="53">
        <v>0</v>
      </c>
      <c r="E15" s="53">
        <v>6895.4463543301254</v>
      </c>
      <c r="F15" s="53">
        <v>2823.2508408939266</v>
      </c>
      <c r="G15" s="56">
        <f t="shared" si="3"/>
        <v>0</v>
      </c>
      <c r="H15" s="56">
        <f t="shared" si="4"/>
        <v>36.172264065772737</v>
      </c>
      <c r="I15" s="56">
        <f t="shared" si="5"/>
        <v>14.810263134974539</v>
      </c>
      <c r="J15" s="57">
        <f t="shared" si="0"/>
        <v>0</v>
      </c>
      <c r="K15" s="57">
        <f t="shared" si="1"/>
        <v>1.3619289658957388E-2</v>
      </c>
      <c r="L15" s="57">
        <f t="shared" si="2"/>
        <v>9.7319918679556264E-3</v>
      </c>
    </row>
    <row r="16" spans="1:17" x14ac:dyDescent="0.25">
      <c r="B16" s="103" t="s">
        <v>86</v>
      </c>
      <c r="C16" s="71">
        <v>72841</v>
      </c>
      <c r="D16" s="71">
        <v>9934.0888559860377</v>
      </c>
      <c r="E16" s="71">
        <v>8476.3829786850965</v>
      </c>
      <c r="F16" s="71">
        <v>5784.2413052017946</v>
      </c>
      <c r="G16" s="74">
        <f t="shared" si="3"/>
        <v>136.38045683043941</v>
      </c>
      <c r="H16" s="74">
        <f t="shared" si="4"/>
        <v>116.36829503555822</v>
      </c>
      <c r="I16" s="74">
        <f t="shared" si="5"/>
        <v>79.409141900877188</v>
      </c>
      <c r="J16" s="75">
        <f t="shared" si="0"/>
        <v>6.6231674484872553E-3</v>
      </c>
      <c r="K16" s="75">
        <f t="shared" si="1"/>
        <v>1.6741819037497722E-2</v>
      </c>
      <c r="L16" s="75">
        <f t="shared" si="2"/>
        <v>1.9938784230271615E-2</v>
      </c>
    </row>
    <row r="17" spans="1:17" x14ac:dyDescent="0.25">
      <c r="B17" s="89" t="s">
        <v>300</v>
      </c>
      <c r="C17" s="53">
        <v>383628</v>
      </c>
      <c r="D17" s="53">
        <v>7161.0891008138724</v>
      </c>
      <c r="E17" s="53">
        <v>1833.0860930363926</v>
      </c>
      <c r="F17" s="53">
        <v>250.17775440290174</v>
      </c>
      <c r="G17" s="56">
        <f t="shared" si="3"/>
        <v>18.666752950290054</v>
      </c>
      <c r="H17" s="56">
        <f t="shared" si="4"/>
        <v>4.7782906697018799</v>
      </c>
      <c r="I17" s="56">
        <f t="shared" si="5"/>
        <v>0.6521363258231978</v>
      </c>
      <c r="J17" s="57">
        <f t="shared" si="0"/>
        <v>4.774377692388739E-3</v>
      </c>
      <c r="K17" s="57">
        <f t="shared" si="1"/>
        <v>3.6205532155567698E-3</v>
      </c>
      <c r="L17" s="57">
        <f t="shared" si="2"/>
        <v>8.6238453775560773E-4</v>
      </c>
    </row>
    <row r="18" spans="1:17" x14ac:dyDescent="0.25">
      <c r="B18" s="103" t="s">
        <v>25</v>
      </c>
      <c r="C18" s="71">
        <v>240580</v>
      </c>
      <c r="D18" s="71">
        <v>13982.437096817099</v>
      </c>
      <c r="E18" s="71">
        <v>8948.0142713273053</v>
      </c>
      <c r="F18" s="71">
        <v>4884.8641103543387</v>
      </c>
      <c r="G18" s="74">
        <f t="shared" si="3"/>
        <v>58.119698631711273</v>
      </c>
      <c r="H18" s="74">
        <f t="shared" si="4"/>
        <v>37.193508485024964</v>
      </c>
      <c r="I18" s="74">
        <f t="shared" si="5"/>
        <v>20.304531176134088</v>
      </c>
      <c r="J18" s="75">
        <f t="shared" si="0"/>
        <v>9.3222462142923488E-3</v>
      </c>
      <c r="K18" s="75">
        <f t="shared" si="1"/>
        <v>1.7673344403174609E-2</v>
      </c>
      <c r="L18" s="75">
        <f t="shared" si="2"/>
        <v>1.6838552603772285E-2</v>
      </c>
    </row>
    <row r="19" spans="1:17" x14ac:dyDescent="0.25">
      <c r="B19" s="89" t="s">
        <v>303</v>
      </c>
      <c r="C19" s="53">
        <v>786151</v>
      </c>
      <c r="D19" s="53">
        <v>98494.264721330183</v>
      </c>
      <c r="E19" s="53">
        <v>46498.336392575875</v>
      </c>
      <c r="F19" s="53">
        <v>78973.021734703958</v>
      </c>
      <c r="G19" s="56">
        <f t="shared" si="3"/>
        <v>125.28670029209424</v>
      </c>
      <c r="H19" s="56">
        <f t="shared" si="4"/>
        <v>59.146825982000756</v>
      </c>
      <c r="I19" s="56">
        <f t="shared" si="5"/>
        <v>100.45528369830218</v>
      </c>
      <c r="J19" s="57">
        <f t="shared" si="0"/>
        <v>6.5667220962284251E-2</v>
      </c>
      <c r="K19" s="57">
        <f t="shared" si="1"/>
        <v>9.1839495146308264E-2</v>
      </c>
      <c r="L19" s="57">
        <f t="shared" si="2"/>
        <v>0.27222689325992405</v>
      </c>
    </row>
    <row r="20" spans="1:17" x14ac:dyDescent="0.25">
      <c r="B20" s="103" t="s">
        <v>45</v>
      </c>
      <c r="C20" s="71">
        <v>1514399</v>
      </c>
      <c r="D20" s="71">
        <v>169521.96217586371</v>
      </c>
      <c r="E20" s="71">
        <v>114194.75554262007</v>
      </c>
      <c r="F20" s="71">
        <v>93511.115320017241</v>
      </c>
      <c r="G20" s="74">
        <f t="shared" si="3"/>
        <v>111.94009120176632</v>
      </c>
      <c r="H20" s="74">
        <f t="shared" si="4"/>
        <v>75.405989797021846</v>
      </c>
      <c r="I20" s="74">
        <f t="shared" si="5"/>
        <v>61.748003874815851</v>
      </c>
      <c r="J20" s="75">
        <f t="shared" si="0"/>
        <v>0.11302217626232659</v>
      </c>
      <c r="K20" s="75">
        <f t="shared" si="1"/>
        <v>0.22554761118431774</v>
      </c>
      <c r="L20" s="75">
        <f t="shared" si="2"/>
        <v>0.32234096973463378</v>
      </c>
    </row>
    <row r="21" spans="1:17" x14ac:dyDescent="0.25">
      <c r="B21" s="89" t="s">
        <v>9</v>
      </c>
      <c r="C21" s="53">
        <v>703734</v>
      </c>
      <c r="D21" s="53">
        <v>82963.996948052023</v>
      </c>
      <c r="E21" s="53">
        <v>57919.128915322392</v>
      </c>
      <c r="F21" s="53">
        <v>44793.553394082643</v>
      </c>
      <c r="G21" s="56">
        <f t="shared" si="3"/>
        <v>117.89113066592209</v>
      </c>
      <c r="H21" s="56">
        <f t="shared" si="4"/>
        <v>82.30258722091358</v>
      </c>
      <c r="I21" s="56">
        <f t="shared" si="5"/>
        <v>63.651256574334397</v>
      </c>
      <c r="J21" s="57">
        <f t="shared" si="0"/>
        <v>5.531301883329022E-2</v>
      </c>
      <c r="K21" s="57">
        <f t="shared" si="1"/>
        <v>0.11439685742706378</v>
      </c>
      <c r="L21" s="57">
        <f t="shared" si="2"/>
        <v>0.15440728505371476</v>
      </c>
    </row>
    <row r="22" spans="1:17" x14ac:dyDescent="0.25">
      <c r="B22" s="103" t="s">
        <v>304</v>
      </c>
      <c r="C22" s="71">
        <v>72931</v>
      </c>
      <c r="D22" s="71">
        <v>8871.034832010193</v>
      </c>
      <c r="E22" s="71">
        <v>4827.3472991054978</v>
      </c>
      <c r="F22" s="71">
        <v>5398.1733875423251</v>
      </c>
      <c r="G22" s="74">
        <f t="shared" si="3"/>
        <v>121.63599610604808</v>
      </c>
      <c r="H22" s="74">
        <f t="shared" si="4"/>
        <v>66.19060891946495</v>
      </c>
      <c r="I22" s="74">
        <f t="shared" si="5"/>
        <v>74.017542437952656</v>
      </c>
      <c r="J22" s="75">
        <f t="shared" si="0"/>
        <v>5.9144175158411831E-3</v>
      </c>
      <c r="K22" s="75">
        <f t="shared" si="1"/>
        <v>9.5345591528846491E-3</v>
      </c>
      <c r="L22" s="75">
        <f t="shared" si="2"/>
        <v>1.8607974448611949E-2</v>
      </c>
    </row>
    <row r="23" spans="1:17" x14ac:dyDescent="0.25">
      <c r="B23" s="89" t="s">
        <v>10</v>
      </c>
      <c r="C23" s="53">
        <v>80279000</v>
      </c>
      <c r="D23" s="53">
        <v>0</v>
      </c>
      <c r="E23" s="53">
        <v>0</v>
      </c>
      <c r="F23" s="53">
        <v>0</v>
      </c>
      <c r="G23" s="56">
        <f t="shared" si="3"/>
        <v>0</v>
      </c>
      <c r="H23" s="56">
        <f t="shared" si="4"/>
        <v>0</v>
      </c>
      <c r="I23" s="56">
        <f t="shared" si="5"/>
        <v>0</v>
      </c>
      <c r="J23" s="57">
        <f t="shared" si="0"/>
        <v>0</v>
      </c>
      <c r="K23" s="57">
        <f t="shared" si="1"/>
        <v>0</v>
      </c>
      <c r="L23" s="57">
        <f t="shared" si="2"/>
        <v>0</v>
      </c>
    </row>
    <row r="24" spans="1:17" x14ac:dyDescent="0.25">
      <c r="B24" s="103" t="s">
        <v>12</v>
      </c>
      <c r="C24" s="71">
        <v>3373220</v>
      </c>
      <c r="D24" s="71">
        <v>125842.90732120759</v>
      </c>
      <c r="E24" s="71">
        <v>51953.236327023973</v>
      </c>
      <c r="F24" s="71">
        <v>24486.665119409845</v>
      </c>
      <c r="G24" s="74">
        <f t="shared" si="3"/>
        <v>37.306463059393572</v>
      </c>
      <c r="H24" s="74">
        <f t="shared" si="4"/>
        <v>15.401674461500873</v>
      </c>
      <c r="I24" s="74">
        <f t="shared" si="5"/>
        <v>7.2591367059989693</v>
      </c>
      <c r="J24" s="75">
        <f t="shared" si="0"/>
        <v>8.3900864938467601E-2</v>
      </c>
      <c r="K24" s="75">
        <f t="shared" si="1"/>
        <v>0.10261354202453876</v>
      </c>
      <c r="L24" s="75">
        <f t="shared" si="2"/>
        <v>8.4407670180661323E-2</v>
      </c>
    </row>
    <row r="25" spans="1:17" s="7" customFormat="1" ht="6" customHeight="1" thickBot="1" x14ac:dyDescent="0.3">
      <c r="B25" s="89"/>
      <c r="C25" s="99"/>
      <c r="D25" s="99"/>
      <c r="E25" s="93"/>
      <c r="F25" s="92"/>
      <c r="G25" s="100"/>
      <c r="H25" s="84"/>
      <c r="I25" s="101"/>
      <c r="J25" s="85"/>
      <c r="K25" s="85"/>
      <c r="L25" s="85"/>
    </row>
    <row r="26" spans="1:17" s="12" customFormat="1" ht="24.95" customHeight="1" thickTop="1" thickBot="1" x14ac:dyDescent="0.3">
      <c r="A26" s="13"/>
      <c r="B26" s="90" t="s">
        <v>13</v>
      </c>
      <c r="C26" s="63">
        <f>SUM(C11:C24)</f>
        <v>97043447</v>
      </c>
      <c r="D26" s="63">
        <f>SUM(D11:D24)</f>
        <v>1499900.0000000005</v>
      </c>
      <c r="E26" s="62">
        <f>SUM(E11:E24)</f>
        <v>506300</v>
      </c>
      <c r="F26" s="102">
        <f>SUM(F11:F24)</f>
        <v>290099.99999999994</v>
      </c>
      <c r="G26" s="94"/>
      <c r="H26" s="94"/>
      <c r="I26" s="94"/>
      <c r="J26" s="95">
        <f>SUM(J11:J24)</f>
        <v>0.99999999999999978</v>
      </c>
      <c r="K26" s="64">
        <f>SUM(K11:K24)</f>
        <v>1</v>
      </c>
      <c r="L26" s="65">
        <f>SUM(L11:L24)</f>
        <v>1.0000000000000002</v>
      </c>
      <c r="M26" s="13"/>
      <c r="N26" s="13"/>
      <c r="O26" s="13"/>
      <c r="P26" s="13"/>
      <c r="Q26" s="13"/>
    </row>
    <row r="27" spans="1:17" ht="15.75" thickTop="1" x14ac:dyDescent="0.25">
      <c r="B27" s="15"/>
    </row>
    <row r="28" spans="1:17" x14ac:dyDescent="0.25">
      <c r="B28" s="15"/>
    </row>
    <row r="29" spans="1:17" x14ac:dyDescent="0.25">
      <c r="B29" s="66" t="s">
        <v>396</v>
      </c>
      <c r="C29" s="67"/>
      <c r="D29" s="67"/>
      <c r="E29" s="67"/>
      <c r="F29" s="67"/>
    </row>
    <row r="30" spans="1:17" x14ac:dyDescent="0.25">
      <c r="A30" s="21"/>
      <c r="B30" s="67" t="s">
        <v>373</v>
      </c>
      <c r="C30" s="68"/>
      <c r="D30" s="68"/>
      <c r="E30" s="68"/>
      <c r="F30" s="68"/>
      <c r="G30" s="87"/>
      <c r="H30" s="88"/>
      <c r="I30"/>
      <c r="J30"/>
      <c r="K30"/>
      <c r="L30"/>
      <c r="M30"/>
      <c r="N30"/>
      <c r="O30"/>
      <c r="P30"/>
      <c r="Q30"/>
    </row>
    <row r="31" spans="1:17" ht="14.45" customHeight="1" x14ac:dyDescent="0.25">
      <c r="A31" s="21"/>
      <c r="B31" s="67"/>
      <c r="C31" s="68"/>
      <c r="D31" s="68"/>
      <c r="E31" s="68"/>
      <c r="F31" s="68"/>
      <c r="G31" s="87"/>
      <c r="H31" s="88"/>
      <c r="I31"/>
      <c r="J31"/>
      <c r="K31"/>
      <c r="L31"/>
      <c r="M31"/>
      <c r="N31"/>
      <c r="O31"/>
      <c r="P31"/>
      <c r="Q31"/>
    </row>
    <row r="32" spans="1:17" x14ac:dyDescent="0.25">
      <c r="A32"/>
      <c r="B32" s="79" t="s">
        <v>397</v>
      </c>
      <c r="C32" s="68"/>
      <c r="D32" s="68"/>
      <c r="E32" s="68"/>
      <c r="F32" s="68"/>
      <c r="G32" s="88"/>
      <c r="H32" s="88"/>
      <c r="I32"/>
      <c r="J32"/>
      <c r="K32"/>
      <c r="L32"/>
      <c r="M32"/>
      <c r="N32"/>
      <c r="O32"/>
      <c r="P32"/>
      <c r="Q32"/>
    </row>
    <row r="33" spans="1:17" x14ac:dyDescent="0.25">
      <c r="A33" s="21"/>
      <c r="B33" s="67" t="s">
        <v>176</v>
      </c>
      <c r="C33" s="68"/>
      <c r="D33" s="68"/>
      <c r="E33" s="68"/>
      <c r="F33" s="68"/>
      <c r="G33" s="88"/>
      <c r="H33" s="88"/>
      <c r="I33"/>
      <c r="J33"/>
      <c r="K33"/>
      <c r="L33"/>
      <c r="M33"/>
      <c r="N33"/>
      <c r="O33"/>
      <c r="P33"/>
      <c r="Q33"/>
    </row>
    <row r="34" spans="1:17" x14ac:dyDescent="0.25">
      <c r="B34" s="67" t="s">
        <v>302</v>
      </c>
      <c r="C34" s="67"/>
      <c r="D34" s="67"/>
      <c r="E34" s="67"/>
      <c r="F34" s="67"/>
      <c r="G34" s="87"/>
      <c r="H34" s="87"/>
    </row>
    <row r="35" spans="1:17" x14ac:dyDescent="0.25">
      <c r="B35" s="69" t="s">
        <v>308</v>
      </c>
      <c r="C35" s="67"/>
      <c r="D35" s="67"/>
      <c r="E35" s="67"/>
      <c r="F35" s="67"/>
      <c r="G35" s="87"/>
      <c r="H35" s="87"/>
    </row>
    <row r="36" spans="1:17" x14ac:dyDescent="0.25">
      <c r="B36" s="69" t="s">
        <v>382</v>
      </c>
      <c r="C36" s="67"/>
      <c r="D36" s="67"/>
      <c r="E36" s="67"/>
      <c r="F36" s="67"/>
      <c r="G36" s="87"/>
      <c r="H36" s="87"/>
    </row>
    <row r="37" spans="1:17" x14ac:dyDescent="0.25">
      <c r="B37" s="87"/>
      <c r="C37" s="87"/>
      <c r="D37" s="87"/>
      <c r="E37" s="87"/>
      <c r="F37" s="87"/>
      <c r="G37" s="87"/>
      <c r="H37" s="87"/>
    </row>
    <row r="38" spans="1:17" x14ac:dyDescent="0.25">
      <c r="B38" s="66" t="s">
        <v>398</v>
      </c>
    </row>
  </sheetData>
  <mergeCells count="8">
    <mergeCell ref="C6:C7"/>
    <mergeCell ref="D6:F6"/>
    <mergeCell ref="G6:I6"/>
    <mergeCell ref="J6:L6"/>
    <mergeCell ref="B7:B8"/>
    <mergeCell ref="D7:F7"/>
    <mergeCell ref="G7:I7"/>
    <mergeCell ref="J7:L7"/>
  </mergeCells>
  <hyperlinks>
    <hyperlink ref="B1" location="Start!A1" display="Back to home page" xr:uid="{99DBD021-03F1-4D63-8A60-C0BBAF686223}"/>
  </hyperlink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14509-156F-4F81-A3B5-054E7EE25615}">
  <sheetPr>
    <tabColor rgb="FF92D050"/>
  </sheetPr>
  <dimension ref="A1:Q3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400</v>
      </c>
      <c r="D6" s="592" t="s">
        <v>389</v>
      </c>
      <c r="E6" s="592"/>
      <c r="F6" s="592"/>
      <c r="G6" s="589" t="s">
        <v>392</v>
      </c>
      <c r="H6" s="589"/>
      <c r="I6" s="589"/>
      <c r="J6" s="589" t="s">
        <v>399</v>
      </c>
      <c r="K6" s="589"/>
      <c r="L6" s="589"/>
    </row>
    <row r="7" spans="1:17" ht="25.15" customHeight="1" thickBot="1" x14ac:dyDescent="0.3">
      <c r="B7" s="596" t="s">
        <v>320</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v>2019</v>
      </c>
      <c r="D9" s="49" t="s">
        <v>2</v>
      </c>
      <c r="E9" s="49" t="s">
        <v>2</v>
      </c>
      <c r="F9" s="49" t="s">
        <v>2</v>
      </c>
      <c r="G9" s="49" t="s">
        <v>2</v>
      </c>
      <c r="H9" s="49" t="s">
        <v>2</v>
      </c>
      <c r="I9" s="49" t="s">
        <v>2</v>
      </c>
      <c r="J9" s="49" t="s">
        <v>2</v>
      </c>
      <c r="K9" s="49" t="s">
        <v>2</v>
      </c>
      <c r="L9" s="49" t="s">
        <v>2</v>
      </c>
    </row>
    <row r="10" spans="1:17" ht="6" customHeight="1" thickTop="1" x14ac:dyDescent="0.25">
      <c r="B10" s="96"/>
      <c r="C10" s="97"/>
      <c r="D10" s="98"/>
      <c r="E10" s="98"/>
      <c r="F10" s="98"/>
      <c r="G10" s="98"/>
      <c r="H10" s="98"/>
      <c r="I10" s="98"/>
      <c r="J10" s="98"/>
      <c r="K10" s="98"/>
      <c r="L10" s="98"/>
    </row>
    <row r="11" spans="1:17" x14ac:dyDescent="0.25">
      <c r="B11" s="89" t="s">
        <v>3</v>
      </c>
      <c r="C11" s="172">
        <v>2505987</v>
      </c>
      <c r="D11" s="53">
        <v>77680.047700709911</v>
      </c>
      <c r="E11" s="53">
        <v>46307.296840496929</v>
      </c>
      <c r="F11" s="53">
        <v>12764.969648628001</v>
      </c>
      <c r="G11" s="56">
        <f>IFERROR(D11*1000/C11,"-")</f>
        <v>30.997785583368913</v>
      </c>
      <c r="H11" s="56">
        <f>IFERROR(E11*1000/C11,"-")</f>
        <v>18.478666026797796</v>
      </c>
      <c r="I11" s="56">
        <f>IFERROR(F11*1000/C11,"-")</f>
        <v>5.0937892529482394</v>
      </c>
      <c r="J11" s="57">
        <f t="shared" ref="J11:J20" si="0">D11/$D$22</f>
        <v>0.36728154941234004</v>
      </c>
      <c r="K11" s="57">
        <f t="shared" ref="K11:K20" si="1">E11/$E$22</f>
        <v>0.35054728872442797</v>
      </c>
      <c r="L11" s="57">
        <f t="shared" ref="L11:L20" si="2">F11/$F$22</f>
        <v>0.14183299609586669</v>
      </c>
    </row>
    <row r="12" spans="1:17" x14ac:dyDescent="0.25">
      <c r="B12" s="103" t="s">
        <v>16</v>
      </c>
      <c r="C12" s="174">
        <v>7973</v>
      </c>
      <c r="D12" s="71">
        <v>887.10493985190737</v>
      </c>
      <c r="E12" s="71">
        <v>301.10075350216317</v>
      </c>
      <c r="F12" s="71">
        <v>162.91119162611551</v>
      </c>
      <c r="G12" s="74">
        <f t="shared" ref="G12:G20" si="3">IFERROR(D12*1000/C12,"-")</f>
        <v>111.26363224029944</v>
      </c>
      <c r="H12" s="74">
        <f t="shared" ref="H12:H20" si="4">IFERROR(E12*1000/C12,"-")</f>
        <v>37.765051235690855</v>
      </c>
      <c r="I12" s="74">
        <f t="shared" ref="I12:I20" si="5">IFERROR(F12*1000/C12,"-")</f>
        <v>20.432859855275993</v>
      </c>
      <c r="J12" s="75">
        <f t="shared" si="0"/>
        <v>4.1943495974085462E-3</v>
      </c>
      <c r="K12" s="75">
        <f t="shared" si="1"/>
        <v>2.2793395420300016E-3</v>
      </c>
      <c r="L12" s="75">
        <f t="shared" si="2"/>
        <v>1.8101243514012837E-3</v>
      </c>
    </row>
    <row r="13" spans="1:17" x14ac:dyDescent="0.25">
      <c r="B13" s="89" t="s">
        <v>51</v>
      </c>
      <c r="C13" s="172">
        <v>63292</v>
      </c>
      <c r="D13" s="53">
        <v>4680.6108952033146</v>
      </c>
      <c r="E13" s="53">
        <v>2385.3239330631259</v>
      </c>
      <c r="F13" s="53">
        <v>480.6913802886196</v>
      </c>
      <c r="G13" s="56">
        <f t="shared" si="3"/>
        <v>73.952646388221495</v>
      </c>
      <c r="H13" s="56">
        <f t="shared" si="4"/>
        <v>37.687605590961347</v>
      </c>
      <c r="I13" s="56">
        <f t="shared" si="5"/>
        <v>7.5948205190011313</v>
      </c>
      <c r="J13" s="57">
        <f t="shared" si="0"/>
        <v>2.2130547967864376E-2</v>
      </c>
      <c r="K13" s="57">
        <f t="shared" si="1"/>
        <v>1.80569563441569E-2</v>
      </c>
      <c r="L13" s="57">
        <f t="shared" si="2"/>
        <v>5.3410153365402186E-3</v>
      </c>
    </row>
    <row r="14" spans="1:17" x14ac:dyDescent="0.25">
      <c r="B14" s="103" t="s">
        <v>5</v>
      </c>
      <c r="C14" s="174">
        <v>1076488</v>
      </c>
      <c r="D14" s="71">
        <v>24188.803076182136</v>
      </c>
      <c r="E14" s="71">
        <v>11897.136708192162</v>
      </c>
      <c r="F14" s="71">
        <v>2345.8350018297906</v>
      </c>
      <c r="G14" s="74">
        <f t="shared" si="3"/>
        <v>22.470109352061645</v>
      </c>
      <c r="H14" s="74">
        <f t="shared" si="4"/>
        <v>11.051806158723704</v>
      </c>
      <c r="I14" s="74">
        <f t="shared" si="5"/>
        <v>2.1791557377600035</v>
      </c>
      <c r="J14" s="75">
        <f t="shared" si="0"/>
        <v>0.11436786324435999</v>
      </c>
      <c r="K14" s="75">
        <f t="shared" si="1"/>
        <v>9.0061595065799888E-2</v>
      </c>
      <c r="L14" s="75">
        <f t="shared" si="2"/>
        <v>2.6064833353664343E-2</v>
      </c>
    </row>
    <row r="15" spans="1:17" x14ac:dyDescent="0.25">
      <c r="B15" s="89" t="s">
        <v>19</v>
      </c>
      <c r="C15" s="172">
        <v>1113240</v>
      </c>
      <c r="D15" s="53">
        <v>8039.3718874384103</v>
      </c>
      <c r="E15" s="53">
        <v>6558.1570455888386</v>
      </c>
      <c r="F15" s="53">
        <v>2987.9779767979348</v>
      </c>
      <c r="G15" s="56">
        <f t="shared" si="3"/>
        <v>7.2215981167029657</v>
      </c>
      <c r="H15" s="56">
        <f t="shared" si="4"/>
        <v>5.8910540814099734</v>
      </c>
      <c r="I15" s="56">
        <f t="shared" si="5"/>
        <v>2.6840375631471511</v>
      </c>
      <c r="J15" s="57">
        <f t="shared" si="0"/>
        <v>3.8011214597817547E-2</v>
      </c>
      <c r="K15" s="57">
        <f t="shared" si="1"/>
        <v>4.9645397771300837E-2</v>
      </c>
      <c r="L15" s="57">
        <f t="shared" si="2"/>
        <v>3.3199755297754839E-2</v>
      </c>
    </row>
    <row r="16" spans="1:17" x14ac:dyDescent="0.25">
      <c r="B16" s="103" t="s">
        <v>321</v>
      </c>
      <c r="C16" s="174">
        <v>68477</v>
      </c>
      <c r="D16" s="71">
        <v>10681.098895162233</v>
      </c>
      <c r="E16" s="71">
        <v>5718.0104679228753</v>
      </c>
      <c r="F16" s="71">
        <v>5033.2898164173675</v>
      </c>
      <c r="G16" s="74">
        <f t="shared" si="3"/>
        <v>155.98082414770261</v>
      </c>
      <c r="H16" s="74">
        <f t="shared" si="4"/>
        <v>83.502642754835577</v>
      </c>
      <c r="I16" s="74">
        <f t="shared" si="5"/>
        <v>73.5033634127863</v>
      </c>
      <c r="J16" s="75">
        <f t="shared" si="0"/>
        <v>5.0501649622516478E-2</v>
      </c>
      <c r="K16" s="75">
        <f t="shared" si="1"/>
        <v>4.3285469098583468E-2</v>
      </c>
      <c r="L16" s="75">
        <f t="shared" si="2"/>
        <v>5.5925442404637427E-2</v>
      </c>
    </row>
    <row r="17" spans="1:17" x14ac:dyDescent="0.25">
      <c r="B17" s="89" t="s">
        <v>45</v>
      </c>
      <c r="C17" s="172">
        <v>461501</v>
      </c>
      <c r="D17" s="53">
        <v>43482.826147260843</v>
      </c>
      <c r="E17" s="53">
        <v>27461.673822522695</v>
      </c>
      <c r="F17" s="53">
        <v>46533.394025520625</v>
      </c>
      <c r="G17" s="56">
        <f t="shared" si="3"/>
        <v>94.220437544579198</v>
      </c>
      <c r="H17" s="56">
        <f t="shared" si="4"/>
        <v>59.505123114625313</v>
      </c>
      <c r="I17" s="56">
        <f t="shared" si="5"/>
        <v>100.83053780061283</v>
      </c>
      <c r="J17" s="57">
        <f t="shared" si="0"/>
        <v>0.20559255861589054</v>
      </c>
      <c r="K17" s="57">
        <f t="shared" si="1"/>
        <v>0.20788549449298033</v>
      </c>
      <c r="L17" s="57">
        <f t="shared" si="2"/>
        <v>0.51703771139467369</v>
      </c>
    </row>
    <row r="18" spans="1:17" x14ac:dyDescent="0.25">
      <c r="B18" s="103" t="s">
        <v>9</v>
      </c>
      <c r="C18" s="174">
        <v>142944</v>
      </c>
      <c r="D18" s="71">
        <v>19475.007398772676</v>
      </c>
      <c r="E18" s="71">
        <v>13617.2852563327</v>
      </c>
      <c r="F18" s="71">
        <v>13285.194646219776</v>
      </c>
      <c r="G18" s="74">
        <f t="shared" si="3"/>
        <v>136.24221652376229</v>
      </c>
      <c r="H18" s="74">
        <f t="shared" si="4"/>
        <v>95.263076843607976</v>
      </c>
      <c r="I18" s="74">
        <f t="shared" si="5"/>
        <v>92.939855091642713</v>
      </c>
      <c r="J18" s="75">
        <f t="shared" si="0"/>
        <v>9.2080413232967742E-2</v>
      </c>
      <c r="K18" s="75">
        <f t="shared" si="1"/>
        <v>0.10308315863991448</v>
      </c>
      <c r="L18" s="75">
        <f t="shared" si="2"/>
        <v>0.14761327384688641</v>
      </c>
    </row>
    <row r="19" spans="1:17" x14ac:dyDescent="0.25">
      <c r="B19" s="89" t="s">
        <v>304</v>
      </c>
      <c r="C19" s="172">
        <v>62943</v>
      </c>
      <c r="D19" s="53">
        <v>5801.1663680211768</v>
      </c>
      <c r="E19" s="53">
        <v>4259.0969244332409</v>
      </c>
      <c r="F19" s="53">
        <v>4373.9247266745451</v>
      </c>
      <c r="G19" s="56">
        <f t="shared" si="3"/>
        <v>92.165393578653337</v>
      </c>
      <c r="H19" s="56">
        <f t="shared" si="4"/>
        <v>67.665934646159869</v>
      </c>
      <c r="I19" s="56">
        <f t="shared" si="5"/>
        <v>69.490248743697407</v>
      </c>
      <c r="J19" s="57">
        <f t="shared" si="0"/>
        <v>2.7428682591116679E-2</v>
      </c>
      <c r="K19" s="57">
        <f t="shared" si="1"/>
        <v>3.2241460442340969E-2</v>
      </c>
      <c r="L19" s="57">
        <f t="shared" si="2"/>
        <v>4.8599163629717175E-2</v>
      </c>
    </row>
    <row r="20" spans="1:17" x14ac:dyDescent="0.25">
      <c r="B20" s="103" t="s">
        <v>12</v>
      </c>
      <c r="C20" s="174">
        <v>739340</v>
      </c>
      <c r="D20" s="71">
        <v>16583.962691397395</v>
      </c>
      <c r="E20" s="71">
        <v>13594.918247945254</v>
      </c>
      <c r="F20" s="71">
        <v>2031.8115859972052</v>
      </c>
      <c r="G20" s="74">
        <f t="shared" si="3"/>
        <v>22.430766212293932</v>
      </c>
      <c r="H20" s="74">
        <f t="shared" si="4"/>
        <v>18.387911174757562</v>
      </c>
      <c r="I20" s="74">
        <f t="shared" si="5"/>
        <v>2.748142378333656</v>
      </c>
      <c r="J20" s="75">
        <f t="shared" si="0"/>
        <v>7.8411171117718198E-2</v>
      </c>
      <c r="K20" s="75">
        <f t="shared" si="1"/>
        <v>0.10291383987846522</v>
      </c>
      <c r="L20" s="75">
        <f t="shared" si="2"/>
        <v>2.2575684288857839E-2</v>
      </c>
    </row>
    <row r="21" spans="1:17" s="7" customFormat="1" ht="6" customHeight="1" thickBot="1" x14ac:dyDescent="0.3">
      <c r="B21" s="89"/>
      <c r="C21" s="99"/>
      <c r="D21" s="99"/>
      <c r="E21" s="93"/>
      <c r="F21" s="92"/>
      <c r="G21" s="100"/>
      <c r="H21" s="84"/>
      <c r="I21" s="101"/>
      <c r="J21" s="85"/>
      <c r="K21" s="85"/>
      <c r="L21" s="85"/>
    </row>
    <row r="22" spans="1:17" s="12" customFormat="1" ht="24.95" customHeight="1" thickTop="1" thickBot="1" x14ac:dyDescent="0.3">
      <c r="A22" s="13"/>
      <c r="B22" s="90" t="s">
        <v>13</v>
      </c>
      <c r="C22" s="63">
        <f>SUM(C11:C20)</f>
        <v>6242185</v>
      </c>
      <c r="D22" s="63">
        <f>SUM(D11:D20)</f>
        <v>211499.99999999997</v>
      </c>
      <c r="E22" s="62">
        <f>SUM(E11:E20)</f>
        <v>132099.99999999997</v>
      </c>
      <c r="F22" s="102">
        <f>SUM(F11:F20)</f>
        <v>89999.999999999985</v>
      </c>
      <c r="G22" s="94"/>
      <c r="H22" s="94"/>
      <c r="I22" s="94"/>
      <c r="J22" s="95">
        <f>SUM(J11:J20)</f>
        <v>1</v>
      </c>
      <c r="K22" s="64">
        <f>SUM(K11:K20)</f>
        <v>1</v>
      </c>
      <c r="L22" s="65">
        <f>SUM(L11:L20)</f>
        <v>0.99999999999999989</v>
      </c>
      <c r="M22" s="13"/>
      <c r="N22" s="13"/>
      <c r="O22" s="13"/>
      <c r="P22" s="13"/>
      <c r="Q22" s="13"/>
    </row>
    <row r="23" spans="1:17" ht="15.75" thickTop="1" x14ac:dyDescent="0.25">
      <c r="B23" s="15"/>
    </row>
    <row r="24" spans="1:17" x14ac:dyDescent="0.25">
      <c r="B24" s="15"/>
    </row>
    <row r="25" spans="1:17" x14ac:dyDescent="0.25">
      <c r="B25" s="66" t="s">
        <v>396</v>
      </c>
      <c r="C25" s="67"/>
      <c r="D25" s="67"/>
      <c r="E25" s="67"/>
      <c r="F25" s="67"/>
    </row>
    <row r="26" spans="1:17" x14ac:dyDescent="0.25">
      <c r="A26" s="21"/>
      <c r="B26" s="67" t="s">
        <v>373</v>
      </c>
      <c r="C26" s="68"/>
      <c r="D26" s="68"/>
      <c r="E26" s="68"/>
      <c r="F26" s="68"/>
      <c r="G26" s="87"/>
      <c r="H26" s="88"/>
      <c r="I26"/>
      <c r="J26"/>
      <c r="K26"/>
      <c r="L26"/>
      <c r="M26"/>
      <c r="N26"/>
      <c r="O26"/>
      <c r="P26"/>
      <c r="Q26"/>
    </row>
    <row r="27" spans="1:17" ht="14.45" customHeight="1" x14ac:dyDescent="0.25">
      <c r="A27" s="21"/>
      <c r="B27" s="67"/>
      <c r="C27" s="68"/>
      <c r="D27" s="68"/>
      <c r="E27" s="68"/>
      <c r="F27" s="68"/>
      <c r="G27" s="87"/>
      <c r="H27" s="88"/>
      <c r="I27"/>
      <c r="J27"/>
      <c r="K27"/>
      <c r="L27"/>
      <c r="M27"/>
      <c r="N27"/>
      <c r="O27"/>
      <c r="P27"/>
      <c r="Q27"/>
    </row>
    <row r="28" spans="1:17" x14ac:dyDescent="0.25">
      <c r="A28"/>
      <c r="B28" s="79" t="s">
        <v>397</v>
      </c>
      <c r="C28" s="68"/>
      <c r="D28" s="68"/>
      <c r="E28" s="68"/>
      <c r="F28" s="68"/>
      <c r="G28" s="88"/>
      <c r="H28" s="88"/>
      <c r="I28"/>
      <c r="J28"/>
      <c r="K28"/>
      <c r="L28"/>
      <c r="M28"/>
      <c r="N28"/>
      <c r="O28"/>
      <c r="P28"/>
      <c r="Q28"/>
    </row>
    <row r="29" spans="1:17" x14ac:dyDescent="0.25">
      <c r="A29" s="21"/>
      <c r="B29" s="67" t="s">
        <v>433</v>
      </c>
      <c r="C29" s="68"/>
      <c r="D29" s="68"/>
      <c r="E29" s="68"/>
      <c r="F29" s="68"/>
      <c r="G29" s="88"/>
      <c r="H29" s="88"/>
      <c r="I29"/>
      <c r="J29"/>
      <c r="K29"/>
      <c r="L29"/>
      <c r="M29"/>
      <c r="N29"/>
      <c r="O29"/>
      <c r="P29"/>
      <c r="Q29"/>
    </row>
    <row r="30" spans="1:17" x14ac:dyDescent="0.25">
      <c r="B30" s="67" t="s">
        <v>312</v>
      </c>
      <c r="C30" s="67"/>
      <c r="D30" s="67"/>
      <c r="E30" s="67"/>
      <c r="F30" s="67"/>
      <c r="G30" s="87"/>
      <c r="H30" s="87"/>
    </row>
    <row r="31" spans="1:17" x14ac:dyDescent="0.25">
      <c r="B31" s="67" t="s">
        <v>322</v>
      </c>
      <c r="C31" s="67"/>
      <c r="D31" s="67"/>
      <c r="E31" s="67"/>
      <c r="F31" s="67"/>
      <c r="G31" s="87"/>
      <c r="H31" s="87"/>
    </row>
    <row r="32" spans="1:17" x14ac:dyDescent="0.25">
      <c r="B32" s="67" t="s">
        <v>382</v>
      </c>
      <c r="C32" s="67"/>
      <c r="D32" s="67"/>
      <c r="E32" s="67"/>
      <c r="F32" s="67"/>
      <c r="G32" s="87"/>
      <c r="H32" s="87"/>
    </row>
    <row r="33" spans="2:8" x14ac:dyDescent="0.25">
      <c r="B33" s="87"/>
      <c r="C33" s="87"/>
      <c r="D33" s="87"/>
      <c r="E33" s="87"/>
      <c r="F33" s="87"/>
      <c r="G33" s="87"/>
      <c r="H33" s="87"/>
    </row>
    <row r="34" spans="2:8" x14ac:dyDescent="0.25">
      <c r="B34" s="66" t="s">
        <v>398</v>
      </c>
    </row>
  </sheetData>
  <mergeCells count="8">
    <mergeCell ref="C6:C7"/>
    <mergeCell ref="D6:F6"/>
    <mergeCell ref="G6:I6"/>
    <mergeCell ref="J6:L6"/>
    <mergeCell ref="B7:B8"/>
    <mergeCell ref="D7:F7"/>
    <mergeCell ref="G7:I7"/>
    <mergeCell ref="J7:L7"/>
  </mergeCells>
  <hyperlinks>
    <hyperlink ref="B1" location="Start!A1" display="Back to home page" xr:uid="{1E0EBE59-6017-4DAE-A2EC-4D0A9E9B4E48}"/>
  </hyperlinks>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71829-CB0C-40E7-955D-87885A913BD7}">
  <sheetPr>
    <tabColor rgb="FF92D050"/>
  </sheetPr>
  <dimension ref="A1:Q42"/>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219</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v>2017</v>
      </c>
      <c r="D9" s="49">
        <v>2017</v>
      </c>
      <c r="E9" s="49">
        <v>2017</v>
      </c>
      <c r="F9" s="49">
        <v>2017</v>
      </c>
      <c r="G9" s="49">
        <v>2017</v>
      </c>
      <c r="H9" s="49">
        <v>2017</v>
      </c>
      <c r="I9" s="49">
        <v>2017</v>
      </c>
      <c r="J9" s="49">
        <v>2017</v>
      </c>
      <c r="K9" s="49">
        <v>2017</v>
      </c>
      <c r="L9" s="49">
        <v>2017</v>
      </c>
    </row>
    <row r="10" spans="1:17" ht="6" customHeight="1" thickTop="1" x14ac:dyDescent="0.25">
      <c r="B10" s="96"/>
      <c r="C10" s="97"/>
      <c r="D10" s="98"/>
      <c r="E10" s="98"/>
      <c r="F10" s="98"/>
      <c r="G10" s="98"/>
      <c r="H10" s="98"/>
      <c r="I10" s="98"/>
      <c r="J10" s="98"/>
      <c r="K10" s="98"/>
      <c r="L10" s="98"/>
    </row>
    <row r="11" spans="1:17" x14ac:dyDescent="0.25">
      <c r="B11" s="192" t="s">
        <v>3</v>
      </c>
      <c r="C11" s="191">
        <v>65474</v>
      </c>
      <c r="D11" s="191">
        <v>914.14530000000002</v>
      </c>
      <c r="E11" s="191">
        <v>596.18169999999998</v>
      </c>
      <c r="F11" s="191">
        <v>397.4545</v>
      </c>
      <c r="G11" s="56">
        <f>IFERROR(D11*1000/C11,"-")</f>
        <v>13.961958945535633</v>
      </c>
      <c r="H11" s="56">
        <f>IFERROR(E11*1000/C11,"-")</f>
        <v>9.1056251336408334</v>
      </c>
      <c r="I11" s="56">
        <f>IFERROR(F11*1000/C11,"-")</f>
        <v>6.0704172648684978</v>
      </c>
      <c r="J11" s="57">
        <f t="shared" ref="J11:J29" si="0">D11/$D$31</f>
        <v>5.0218333279605154E-3</v>
      </c>
      <c r="K11" s="57">
        <f t="shared" ref="K11:K29" si="1">E11/$E$31</f>
        <v>4.9559139538757208E-3</v>
      </c>
      <c r="L11" s="57">
        <f t="shared" ref="L11:L29" si="2">F11/$F$31</f>
        <v>2.4422584226717458E-3</v>
      </c>
    </row>
    <row r="12" spans="1:17" x14ac:dyDescent="0.25">
      <c r="B12" s="103" t="s">
        <v>16</v>
      </c>
      <c r="C12" s="71">
        <v>7259228</v>
      </c>
      <c r="D12" s="71">
        <v>135137.4</v>
      </c>
      <c r="E12" s="71">
        <v>66099.81</v>
      </c>
      <c r="F12" s="71">
        <v>88133.08</v>
      </c>
      <c r="G12" s="74">
        <f t="shared" ref="G12:G29" si="3">IFERROR(D12*1000/C12,"-")</f>
        <v>18.615946489075696</v>
      </c>
      <c r="H12" s="74">
        <f t="shared" ref="H12:H29" si="4">IFERROR(E12*1000/C12,"-")</f>
        <v>9.1056252813660077</v>
      </c>
      <c r="I12" s="74">
        <f t="shared" ref="I12:I29" si="5">IFERROR(F12*1000/C12,"-")</f>
        <v>12.14083370848801</v>
      </c>
      <c r="J12" s="75">
        <f t="shared" si="0"/>
        <v>0.7423737770942227</v>
      </c>
      <c r="K12" s="75">
        <f t="shared" si="1"/>
        <v>0.54947169751693803</v>
      </c>
      <c r="L12" s="75">
        <f t="shared" si="2"/>
        <v>0.54155571756264631</v>
      </c>
    </row>
    <row r="13" spans="1:17" x14ac:dyDescent="0.25">
      <c r="B13" s="192" t="s">
        <v>51</v>
      </c>
      <c r="C13" s="191">
        <v>347215</v>
      </c>
      <c r="D13" s="83">
        <v>4847.8010000000004</v>
      </c>
      <c r="E13" s="83">
        <v>3161.61</v>
      </c>
      <c r="F13" s="83">
        <v>5058.5749999999998</v>
      </c>
      <c r="G13" s="56">
        <f t="shared" si="3"/>
        <v>13.961957288711606</v>
      </c>
      <c r="H13" s="56">
        <f t="shared" si="4"/>
        <v>9.1056261970248986</v>
      </c>
      <c r="I13" s="56">
        <f t="shared" si="5"/>
        <v>14.568999035179932</v>
      </c>
      <c r="J13" s="57">
        <f t="shared" si="0"/>
        <v>2.6631268168332011E-2</v>
      </c>
      <c r="K13" s="57">
        <f t="shared" si="1"/>
        <v>2.6281697535689236E-2</v>
      </c>
      <c r="L13" s="57">
        <f t="shared" si="2"/>
        <v>3.108367725228102E-2</v>
      </c>
    </row>
    <row r="14" spans="1:17" x14ac:dyDescent="0.25">
      <c r="B14" s="103" t="s">
        <v>61</v>
      </c>
      <c r="C14" s="71">
        <v>504673</v>
      </c>
      <c r="D14" s="71">
        <v>4697.482</v>
      </c>
      <c r="E14" s="71">
        <v>2297.6819999999998</v>
      </c>
      <c r="F14" s="71">
        <v>3063.5749999999998</v>
      </c>
      <c r="G14" s="74">
        <f t="shared" si="3"/>
        <v>9.3079716965242838</v>
      </c>
      <c r="H14" s="74">
        <f t="shared" si="4"/>
        <v>4.5528134059083802</v>
      </c>
      <c r="I14" s="74">
        <f t="shared" si="5"/>
        <v>6.0704158930634291</v>
      </c>
      <c r="J14" s="75">
        <f t="shared" si="0"/>
        <v>2.5805494668183073E-2</v>
      </c>
      <c r="K14" s="75">
        <f t="shared" si="1"/>
        <v>1.9100073493314326E-2</v>
      </c>
      <c r="L14" s="75">
        <f t="shared" si="2"/>
        <v>1.882490158555657E-2</v>
      </c>
    </row>
    <row r="15" spans="1:17" x14ac:dyDescent="0.25">
      <c r="B15" s="192" t="s">
        <v>5</v>
      </c>
      <c r="C15" s="191">
        <v>9615</v>
      </c>
      <c r="D15" s="191">
        <v>89.496160000000003</v>
      </c>
      <c r="E15" s="191">
        <v>43.775289999999998</v>
      </c>
      <c r="F15" s="191">
        <v>58.367060000000002</v>
      </c>
      <c r="G15" s="56">
        <f t="shared" si="3"/>
        <v>9.3079729589183575</v>
      </c>
      <c r="H15" s="56">
        <f t="shared" si="4"/>
        <v>4.5528122724908995</v>
      </c>
      <c r="I15" s="56">
        <f t="shared" si="5"/>
        <v>6.0704170566822677</v>
      </c>
      <c r="J15" s="57">
        <f t="shared" si="0"/>
        <v>4.9164481730911574E-4</v>
      </c>
      <c r="K15" s="57">
        <f t="shared" si="1"/>
        <v>3.6389337436213879E-4</v>
      </c>
      <c r="L15" s="57">
        <f t="shared" si="2"/>
        <v>3.5865097487029876E-4</v>
      </c>
    </row>
    <row r="16" spans="1:17" x14ac:dyDescent="0.25">
      <c r="B16" s="103" t="s">
        <v>6</v>
      </c>
      <c r="C16" s="71">
        <v>139859</v>
      </c>
      <c r="D16" s="71">
        <v>1301.8040000000001</v>
      </c>
      <c r="E16" s="71">
        <v>1910.2550000000001</v>
      </c>
      <c r="F16" s="71">
        <v>3396.01</v>
      </c>
      <c r="G16" s="74">
        <f t="shared" si="3"/>
        <v>9.3079744599918488</v>
      </c>
      <c r="H16" s="74">
        <f t="shared" si="4"/>
        <v>13.658434566241715</v>
      </c>
      <c r="I16" s="74">
        <f t="shared" si="5"/>
        <v>24.281669395605576</v>
      </c>
      <c r="J16" s="75">
        <f t="shared" si="0"/>
        <v>7.1514262707168229E-3</v>
      </c>
      <c r="K16" s="75">
        <f t="shared" si="1"/>
        <v>1.5879486757075682E-2</v>
      </c>
      <c r="L16" s="75">
        <f t="shared" si="2"/>
        <v>2.0867631454612984E-2</v>
      </c>
    </row>
    <row r="17" spans="1:17" x14ac:dyDescent="0.25">
      <c r="B17" s="192" t="s">
        <v>86</v>
      </c>
      <c r="C17" s="191">
        <v>162104</v>
      </c>
      <c r="D17" s="191">
        <v>1207.088</v>
      </c>
      <c r="E17" s="191">
        <v>1180.847</v>
      </c>
      <c r="F17" s="191">
        <v>1180.847</v>
      </c>
      <c r="G17" s="56">
        <f t="shared" si="3"/>
        <v>7.4463801016631299</v>
      </c>
      <c r="H17" s="56">
        <f t="shared" si="4"/>
        <v>7.2845025415782461</v>
      </c>
      <c r="I17" s="56">
        <f t="shared" si="5"/>
        <v>7.2845025415782461</v>
      </c>
      <c r="J17" s="57">
        <f t="shared" si="0"/>
        <v>6.6311063987105796E-3</v>
      </c>
      <c r="K17" s="57">
        <f t="shared" si="1"/>
        <v>9.8160948661998246E-3</v>
      </c>
      <c r="L17" s="57">
        <f t="shared" si="2"/>
        <v>7.2560092580073021E-3</v>
      </c>
    </row>
    <row r="18" spans="1:17" x14ac:dyDescent="0.25">
      <c r="B18" s="103" t="s">
        <v>56</v>
      </c>
      <c r="C18" s="71">
        <v>2283</v>
      </c>
      <c r="D18" s="71">
        <v>17.000080000000001</v>
      </c>
      <c r="E18" s="71">
        <v>20.788139999999999</v>
      </c>
      <c r="F18" s="71">
        <v>13.85876</v>
      </c>
      <c r="G18" s="74">
        <f t="shared" si="3"/>
        <v>7.4463775733683759</v>
      </c>
      <c r="H18" s="74">
        <f t="shared" si="4"/>
        <v>9.1056241787122207</v>
      </c>
      <c r="I18" s="74">
        <f t="shared" si="5"/>
        <v>6.0704161191414805</v>
      </c>
      <c r="J18" s="75">
        <f t="shared" si="0"/>
        <v>9.338949543578575E-5</v>
      </c>
      <c r="K18" s="75">
        <f t="shared" si="1"/>
        <v>1.72806768643053E-4</v>
      </c>
      <c r="L18" s="75">
        <f t="shared" si="2"/>
        <v>8.5158611458132404E-5</v>
      </c>
    </row>
    <row r="19" spans="1:17" x14ac:dyDescent="0.25">
      <c r="B19" s="192" t="s">
        <v>19</v>
      </c>
      <c r="C19" s="83">
        <v>309534</v>
      </c>
      <c r="D19" s="191">
        <v>2132.0390000000002</v>
      </c>
      <c r="E19" s="191">
        <v>1240.1400000000001</v>
      </c>
      <c r="F19" s="191">
        <v>450.96010000000001</v>
      </c>
      <c r="G19" s="56">
        <f t="shared" si="3"/>
        <v>6.8878992291638399</v>
      </c>
      <c r="H19" s="56">
        <f t="shared" si="4"/>
        <v>4.0064742483862839</v>
      </c>
      <c r="I19" s="56">
        <f t="shared" si="5"/>
        <v>1.4569000497522082</v>
      </c>
      <c r="J19" s="57">
        <f t="shared" si="0"/>
        <v>1.1712300557374862E-2</v>
      </c>
      <c r="K19" s="57">
        <f t="shared" si="1"/>
        <v>1.0308983202200667E-2</v>
      </c>
      <c r="L19" s="57">
        <f t="shared" si="2"/>
        <v>2.7710369426283835E-3</v>
      </c>
    </row>
    <row r="20" spans="1:17" x14ac:dyDescent="0.25">
      <c r="B20" s="103" t="s">
        <v>25</v>
      </c>
      <c r="C20" s="71">
        <v>224623</v>
      </c>
      <c r="D20" s="71">
        <v>2718.02</v>
      </c>
      <c r="E20" s="71">
        <v>613.59990000000005</v>
      </c>
      <c r="F20" s="71">
        <v>818.13310000000001</v>
      </c>
      <c r="G20" s="74">
        <f t="shared" si="3"/>
        <v>12.100363720545092</v>
      </c>
      <c r="H20" s="74">
        <f t="shared" si="4"/>
        <v>2.7316877612711079</v>
      </c>
      <c r="I20" s="74">
        <f t="shared" si="5"/>
        <v>3.6422499031710909</v>
      </c>
      <c r="J20" s="75">
        <f t="shared" si="0"/>
        <v>1.4931371874977905E-2</v>
      </c>
      <c r="K20" s="75">
        <f t="shared" si="1"/>
        <v>5.100707228193598E-3</v>
      </c>
      <c r="L20" s="75">
        <f t="shared" si="2"/>
        <v>5.0272231270284918E-3</v>
      </c>
    </row>
    <row r="21" spans="1:17" x14ac:dyDescent="0.25">
      <c r="B21" s="192" t="s">
        <v>55</v>
      </c>
      <c r="C21" s="191">
        <v>294855</v>
      </c>
      <c r="D21" s="191">
        <v>5489.0039999999999</v>
      </c>
      <c r="E21" s="191">
        <v>4027.259</v>
      </c>
      <c r="F21" s="191">
        <v>14319.14</v>
      </c>
      <c r="G21" s="56">
        <f t="shared" si="3"/>
        <v>18.615943429821439</v>
      </c>
      <c r="H21" s="56">
        <f t="shared" si="4"/>
        <v>13.658438893693511</v>
      </c>
      <c r="I21" s="56">
        <f t="shared" si="5"/>
        <v>48.563327737362435</v>
      </c>
      <c r="J21" s="57">
        <f t="shared" si="0"/>
        <v>3.015370010052951E-2</v>
      </c>
      <c r="K21" s="57">
        <f t="shared" si="1"/>
        <v>3.3477627833882827E-2</v>
      </c>
      <c r="L21" s="57">
        <f t="shared" si="2"/>
        <v>8.7987531328531696E-2</v>
      </c>
    </row>
    <row r="22" spans="1:17" x14ac:dyDescent="0.25">
      <c r="B22" s="103" t="s">
        <v>7</v>
      </c>
      <c r="C22" s="71">
        <v>96566</v>
      </c>
      <c r="D22" s="71">
        <v>107.86</v>
      </c>
      <c r="E22" s="71">
        <v>633.0915</v>
      </c>
      <c r="F22" s="71">
        <v>1172.3920000000001</v>
      </c>
      <c r="G22" s="74">
        <f t="shared" si="3"/>
        <v>1.1169562786073772</v>
      </c>
      <c r="H22" s="74">
        <f t="shared" si="4"/>
        <v>6.5560497483586353</v>
      </c>
      <c r="I22" s="74">
        <f t="shared" si="5"/>
        <v>12.140836319201375</v>
      </c>
      <c r="J22" s="75">
        <f t="shared" si="0"/>
        <v>5.925260926833198E-4</v>
      </c>
      <c r="K22" s="75">
        <f t="shared" si="1"/>
        <v>5.2627361741061675E-3</v>
      </c>
      <c r="L22" s="75">
        <f t="shared" si="2"/>
        <v>7.2040553992292799E-3</v>
      </c>
    </row>
    <row r="23" spans="1:17" x14ac:dyDescent="0.25">
      <c r="B23" s="192" t="s">
        <v>57</v>
      </c>
      <c r="C23" s="191">
        <v>19667</v>
      </c>
      <c r="D23" s="191">
        <v>36.611980000000003</v>
      </c>
      <c r="E23" s="191">
        <v>268.62049999999999</v>
      </c>
      <c r="F23" s="191">
        <v>238.77379999999999</v>
      </c>
      <c r="G23" s="56">
        <f t="shared" si="3"/>
        <v>1.8615945492449282</v>
      </c>
      <c r="H23" s="56">
        <f t="shared" si="4"/>
        <v>13.658437992576397</v>
      </c>
      <c r="I23" s="56">
        <f t="shared" si="5"/>
        <v>12.140834901103371</v>
      </c>
      <c r="J23" s="57">
        <f t="shared" si="0"/>
        <v>2.0112695582050669E-4</v>
      </c>
      <c r="K23" s="57">
        <f t="shared" si="1"/>
        <v>2.2329771011875628E-3</v>
      </c>
      <c r="L23" s="57">
        <f t="shared" si="2"/>
        <v>1.4672052377400152E-3</v>
      </c>
    </row>
    <row r="24" spans="1:17" x14ac:dyDescent="0.25">
      <c r="B24" s="103" t="s">
        <v>218</v>
      </c>
      <c r="C24" s="71">
        <v>32725</v>
      </c>
      <c r="D24" s="71">
        <v>609.20680000000004</v>
      </c>
      <c r="E24" s="71">
        <v>595.96320000000003</v>
      </c>
      <c r="F24" s="71">
        <v>397.30880000000002</v>
      </c>
      <c r="G24" s="74">
        <f t="shared" si="3"/>
        <v>18.615944996180293</v>
      </c>
      <c r="H24" s="74">
        <f t="shared" si="4"/>
        <v>18.211251336898396</v>
      </c>
      <c r="I24" s="74">
        <f t="shared" si="5"/>
        <v>12.140834224598931</v>
      </c>
      <c r="J24" s="75">
        <f t="shared" si="0"/>
        <v>3.3466616432422463E-3</v>
      </c>
      <c r="K24" s="75">
        <f t="shared" si="1"/>
        <v>4.9540976163415067E-3</v>
      </c>
      <c r="L24" s="75">
        <f t="shared" si="2"/>
        <v>2.4413631326393442E-3</v>
      </c>
    </row>
    <row r="25" spans="1:17" x14ac:dyDescent="0.25">
      <c r="B25" s="192" t="s">
        <v>20</v>
      </c>
      <c r="C25" s="191">
        <v>610098</v>
      </c>
      <c r="D25" s="191">
        <v>3407.2649999999999</v>
      </c>
      <c r="E25" s="191">
        <v>1111.0650000000001</v>
      </c>
      <c r="F25" s="191">
        <v>3999.8330000000001</v>
      </c>
      <c r="G25" s="56">
        <f t="shared" si="3"/>
        <v>5.5847831004199326</v>
      </c>
      <c r="H25" s="56">
        <f t="shared" si="4"/>
        <v>1.8211254585328915</v>
      </c>
      <c r="I25" s="56">
        <f t="shared" si="5"/>
        <v>6.5560500116374749</v>
      </c>
      <c r="J25" s="57">
        <f t="shared" si="0"/>
        <v>1.8717721279312365E-2</v>
      </c>
      <c r="K25" s="57">
        <f t="shared" si="1"/>
        <v>9.2360140157990902E-3</v>
      </c>
      <c r="L25" s="57">
        <f t="shared" si="2"/>
        <v>2.4577972657324039E-2</v>
      </c>
    </row>
    <row r="26" spans="1:17" x14ac:dyDescent="0.25">
      <c r="B26" s="103" t="s">
        <v>9</v>
      </c>
      <c r="C26" s="71">
        <v>551937</v>
      </c>
      <c r="D26" s="71">
        <v>7706.1220000000003</v>
      </c>
      <c r="E26" s="71">
        <v>2613.38</v>
      </c>
      <c r="F26" s="71">
        <v>12061.76</v>
      </c>
      <c r="G26" s="74">
        <f t="shared" si="3"/>
        <v>13.961959426528752</v>
      </c>
      <c r="H26" s="74">
        <f t="shared" si="4"/>
        <v>4.7349244569579501</v>
      </c>
      <c r="I26" s="74">
        <f t="shared" si="5"/>
        <v>21.853508643196598</v>
      </c>
      <c r="J26" s="75">
        <f t="shared" si="0"/>
        <v>4.2333379922130258E-2</v>
      </c>
      <c r="K26" s="75">
        <f t="shared" si="1"/>
        <v>2.1724394440117388E-2</v>
      </c>
      <c r="L26" s="75">
        <f t="shared" si="2"/>
        <v>7.4116496233518958E-2</v>
      </c>
    </row>
    <row r="27" spans="1:17" x14ac:dyDescent="0.25">
      <c r="B27" s="192" t="s">
        <v>21</v>
      </c>
      <c r="C27" s="191">
        <v>4441085</v>
      </c>
      <c r="D27" s="191">
        <v>9920.9989999999998</v>
      </c>
      <c r="E27" s="191">
        <v>32351.08</v>
      </c>
      <c r="F27" s="191">
        <v>26959.24</v>
      </c>
      <c r="G27" s="56">
        <f t="shared" si="3"/>
        <v>2.2339133342415196</v>
      </c>
      <c r="H27" s="56">
        <f t="shared" si="4"/>
        <v>7.2844991708107365</v>
      </c>
      <c r="I27" s="56">
        <f t="shared" si="5"/>
        <v>6.0704174768102837</v>
      </c>
      <c r="J27" s="57">
        <f t="shared" si="0"/>
        <v>5.4500748868766206E-2</v>
      </c>
      <c r="K27" s="57">
        <f t="shared" si="1"/>
        <v>0.26892668593308006</v>
      </c>
      <c r="L27" s="57">
        <f t="shared" si="2"/>
        <v>0.16565778210796214</v>
      </c>
    </row>
    <row r="28" spans="1:17" x14ac:dyDescent="0.25">
      <c r="B28" s="103" t="s">
        <v>220</v>
      </c>
      <c r="C28" s="71">
        <v>27700</v>
      </c>
      <c r="D28" s="71">
        <v>386.74630000000002</v>
      </c>
      <c r="E28" s="71">
        <v>252.22579999999999</v>
      </c>
      <c r="F28" s="71">
        <v>168.15049999999999</v>
      </c>
      <c r="G28" s="74">
        <f t="shared" si="3"/>
        <v>13.961960288808665</v>
      </c>
      <c r="H28" s="74">
        <f t="shared" si="4"/>
        <v>9.1056245487364613</v>
      </c>
      <c r="I28" s="74">
        <f t="shared" si="5"/>
        <v>6.0704151624548732</v>
      </c>
      <c r="J28" s="75">
        <f t="shared" si="0"/>
        <v>2.1245806971883089E-3</v>
      </c>
      <c r="K28" s="75">
        <f t="shared" si="1"/>
        <v>2.0966919342667962E-3</v>
      </c>
      <c r="L28" s="75">
        <f t="shared" si="2"/>
        <v>1.0332427357130575E-3</v>
      </c>
    </row>
    <row r="29" spans="1:17" x14ac:dyDescent="0.25">
      <c r="B29" s="192" t="s">
        <v>221</v>
      </c>
      <c r="C29" s="191">
        <v>70267</v>
      </c>
      <c r="D29" s="191">
        <v>1308.087</v>
      </c>
      <c r="E29" s="191">
        <v>1279.6500000000001</v>
      </c>
      <c r="F29" s="191">
        <v>853.1</v>
      </c>
      <c r="G29" s="56">
        <f t="shared" si="3"/>
        <v>18.615950588469694</v>
      </c>
      <c r="H29" s="56">
        <f t="shared" si="4"/>
        <v>18.211251369775287</v>
      </c>
      <c r="I29" s="56">
        <f t="shared" si="5"/>
        <v>12.140834246516857</v>
      </c>
      <c r="J29" s="57">
        <f t="shared" si="0"/>
        <v>7.1859417671040768E-3</v>
      </c>
      <c r="K29" s="57">
        <f t="shared" si="1"/>
        <v>1.0637420254726146E-2</v>
      </c>
      <c r="L29" s="57">
        <f t="shared" si="2"/>
        <v>5.2420859755802655E-3</v>
      </c>
    </row>
    <row r="30" spans="1:17" s="7" customFormat="1" ht="6" customHeight="1" thickBot="1" x14ac:dyDescent="0.3">
      <c r="B30" s="89"/>
      <c r="C30" s="99"/>
      <c r="D30" s="99"/>
      <c r="E30" s="93"/>
      <c r="F30" s="92"/>
      <c r="G30" s="100"/>
      <c r="H30" s="84"/>
      <c r="I30" s="101"/>
      <c r="J30" s="85"/>
      <c r="K30" s="85"/>
      <c r="L30" s="85"/>
    </row>
    <row r="31" spans="1:17" s="12" customFormat="1" ht="24.95" customHeight="1" thickTop="1" thickBot="1" x14ac:dyDescent="0.3">
      <c r="A31" s="13"/>
      <c r="B31" s="90" t="s">
        <v>13</v>
      </c>
      <c r="C31" s="63">
        <f>SUM(C11:C29)</f>
        <v>15169508</v>
      </c>
      <c r="D31" s="63">
        <f>SUM(D11:D29)</f>
        <v>182034.17761999997</v>
      </c>
      <c r="E31" s="62">
        <f>SUM(E11:E29)</f>
        <v>120297.02403000002</v>
      </c>
      <c r="F31" s="102">
        <f>SUM(F11:F29)</f>
        <v>162740.55862</v>
      </c>
      <c r="G31" s="94"/>
      <c r="H31" s="94"/>
      <c r="I31" s="94"/>
      <c r="J31" s="95">
        <f>SUM(J11:J29)</f>
        <v>1.0000000000000004</v>
      </c>
      <c r="K31" s="64">
        <f>SUM(K11:K29)</f>
        <v>0.99999999999999989</v>
      </c>
      <c r="L31" s="65">
        <f>SUM(L11:L29)</f>
        <v>1</v>
      </c>
      <c r="M31" s="13"/>
      <c r="N31" s="13"/>
      <c r="O31" s="13"/>
      <c r="P31" s="13"/>
      <c r="Q31" s="13"/>
    </row>
    <row r="32" spans="1:17" ht="15.75" thickTop="1" x14ac:dyDescent="0.25">
      <c r="B32" s="15"/>
    </row>
    <row r="33" spans="1:17" x14ac:dyDescent="0.25">
      <c r="B33" s="15"/>
    </row>
    <row r="34" spans="1:17" x14ac:dyDescent="0.25">
      <c r="B34" s="66" t="s">
        <v>396</v>
      </c>
      <c r="C34" s="67"/>
      <c r="D34" s="67"/>
      <c r="E34" s="67"/>
      <c r="F34" s="67"/>
    </row>
    <row r="35" spans="1:17" x14ac:dyDescent="0.25">
      <c r="A35" s="21"/>
      <c r="B35" s="67" t="s">
        <v>222</v>
      </c>
      <c r="C35" s="68"/>
      <c r="D35" s="68"/>
      <c r="E35" s="68"/>
      <c r="F35" s="68"/>
      <c r="G35" s="87"/>
      <c r="H35" s="88"/>
      <c r="I35"/>
      <c r="J35"/>
      <c r="K35"/>
      <c r="L35"/>
      <c r="M35"/>
      <c r="N35"/>
      <c r="O35"/>
      <c r="P35"/>
      <c r="Q35"/>
    </row>
    <row r="36" spans="1:17" ht="14.45" customHeight="1" x14ac:dyDescent="0.25">
      <c r="A36" s="21"/>
      <c r="B36" s="67"/>
      <c r="C36" s="68"/>
      <c r="D36" s="68"/>
      <c r="E36" s="68"/>
      <c r="F36" s="68"/>
      <c r="G36" s="87"/>
      <c r="H36" s="88"/>
      <c r="I36"/>
      <c r="J36"/>
      <c r="K36"/>
      <c r="L36"/>
      <c r="M36"/>
      <c r="N36"/>
      <c r="O36"/>
      <c r="P36"/>
      <c r="Q36"/>
    </row>
    <row r="37" spans="1:17" x14ac:dyDescent="0.25">
      <c r="A37"/>
      <c r="B37" s="79" t="s">
        <v>397</v>
      </c>
      <c r="C37" s="68"/>
      <c r="D37" s="68"/>
      <c r="E37" s="68"/>
      <c r="F37" s="68"/>
      <c r="G37" s="88"/>
      <c r="H37" s="88"/>
      <c r="I37"/>
      <c r="J37"/>
      <c r="K37"/>
      <c r="L37"/>
      <c r="M37"/>
      <c r="N37"/>
      <c r="O37"/>
      <c r="P37"/>
      <c r="Q37"/>
    </row>
    <row r="38" spans="1:17" x14ac:dyDescent="0.25">
      <c r="A38" s="21"/>
      <c r="B38" s="69" t="s">
        <v>189</v>
      </c>
      <c r="C38" s="68"/>
      <c r="D38" s="68"/>
      <c r="E38" s="68"/>
      <c r="F38" s="68"/>
      <c r="G38" s="88"/>
      <c r="H38" s="88"/>
      <c r="I38"/>
      <c r="J38"/>
      <c r="K38"/>
      <c r="L38"/>
      <c r="M38"/>
      <c r="N38"/>
      <c r="O38"/>
      <c r="P38"/>
      <c r="Q38"/>
    </row>
    <row r="39" spans="1:17" x14ac:dyDescent="0.25">
      <c r="B39" s="67" t="s">
        <v>382</v>
      </c>
      <c r="C39" s="67"/>
      <c r="D39" s="67"/>
      <c r="E39" s="67"/>
      <c r="F39" s="67"/>
      <c r="G39" s="87"/>
      <c r="H39" s="87"/>
    </row>
    <row r="40" spans="1:17" x14ac:dyDescent="0.25">
      <c r="B40" s="69" t="s">
        <v>384</v>
      </c>
      <c r="C40" s="67"/>
      <c r="D40" s="67"/>
      <c r="E40" s="67"/>
      <c r="F40" s="67"/>
      <c r="G40" s="87"/>
      <c r="H40" s="87"/>
    </row>
    <row r="41" spans="1:17" x14ac:dyDescent="0.25">
      <c r="B41" s="87"/>
      <c r="C41" s="87"/>
      <c r="D41" s="87"/>
      <c r="E41" s="87"/>
      <c r="F41" s="87"/>
      <c r="G41" s="87"/>
      <c r="H41" s="87"/>
    </row>
    <row r="42" spans="1:17" x14ac:dyDescent="0.25">
      <c r="B42" s="66" t="s">
        <v>398</v>
      </c>
    </row>
  </sheetData>
  <mergeCells count="8">
    <mergeCell ref="C6:C7"/>
    <mergeCell ref="D6:F6"/>
    <mergeCell ref="G6:I6"/>
    <mergeCell ref="J6:L6"/>
    <mergeCell ref="B7:B8"/>
    <mergeCell ref="D7:F7"/>
    <mergeCell ref="G7:I7"/>
    <mergeCell ref="J7:L7"/>
  </mergeCells>
  <hyperlinks>
    <hyperlink ref="B1" location="Start!A1" display="Back to home page" xr:uid="{2C7BD55D-55D2-4463-9B2E-99A6A262606C}"/>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BF3A-D3B2-4E67-9952-9FA9D3CADE14}">
  <sheetPr codeName="Feuil4">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251</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282000</v>
      </c>
      <c r="D11" s="53">
        <v>30456</v>
      </c>
      <c r="E11" s="53">
        <v>2820</v>
      </c>
      <c r="F11" s="53">
        <v>4230</v>
      </c>
      <c r="G11" s="56">
        <f>IFERROR(D11*1000/C11,"-")</f>
        <v>108</v>
      </c>
      <c r="H11" s="56">
        <f>IFERROR(E11*1000/C11,"-")</f>
        <v>10</v>
      </c>
      <c r="I11" s="56">
        <f>IFERROR(F11*1000/C11,"-")</f>
        <v>15</v>
      </c>
      <c r="J11" s="57">
        <f t="shared" ref="J11:J30" si="0">D11/$D$33</f>
        <v>0.27072350254595628</v>
      </c>
      <c r="K11" s="57">
        <f t="shared" ref="K11:K31" si="1">E11/$E$33</f>
        <v>9.8294941780637968E-2</v>
      </c>
      <c r="L11" s="57">
        <f t="shared" ref="L11:L31" si="2">F11/$F$33</f>
        <v>0.12098573340807943</v>
      </c>
    </row>
    <row r="12" spans="1:17" x14ac:dyDescent="0.25">
      <c r="B12" s="103" t="s">
        <v>27</v>
      </c>
      <c r="C12" s="71">
        <v>138900</v>
      </c>
      <c r="D12" s="71">
        <v>11389.800000000001</v>
      </c>
      <c r="E12" s="71">
        <v>1250.1000000000001</v>
      </c>
      <c r="F12" s="71">
        <v>1666.8000000000002</v>
      </c>
      <c r="G12" s="74">
        <f t="shared" ref="G12:G31" si="3">IFERROR(D12*1000/C12,"-")</f>
        <v>82.000000000000014</v>
      </c>
      <c r="H12" s="74">
        <f t="shared" ref="H12:H31" si="4">IFERROR(E12*1000/C12,"-")</f>
        <v>9.0000000000000018</v>
      </c>
      <c r="I12" s="74">
        <f t="shared" ref="I12:I31" si="5">IFERROR(F12*1000/C12,"-")</f>
        <v>12.000000000000002</v>
      </c>
      <c r="J12" s="75">
        <f t="shared" si="0"/>
        <v>0.10124397653329173</v>
      </c>
      <c r="K12" s="75">
        <f t="shared" si="1"/>
        <v>4.3573938553182812E-2</v>
      </c>
      <c r="L12" s="75">
        <f t="shared" si="2"/>
        <v>4.7673527291864498E-2</v>
      </c>
    </row>
    <row r="13" spans="1:17" x14ac:dyDescent="0.25">
      <c r="B13" s="89" t="s">
        <v>28</v>
      </c>
      <c r="C13" s="91">
        <v>113000</v>
      </c>
      <c r="D13" s="53">
        <v>7119</v>
      </c>
      <c r="E13" s="53">
        <v>678</v>
      </c>
      <c r="F13" s="53">
        <v>1016.9999999999999</v>
      </c>
      <c r="G13" s="56">
        <f t="shared" si="3"/>
        <v>63</v>
      </c>
      <c r="H13" s="56">
        <f t="shared" si="4"/>
        <v>6</v>
      </c>
      <c r="I13" s="56">
        <f t="shared" si="5"/>
        <v>8.9999999999999982</v>
      </c>
      <c r="J13" s="57">
        <f t="shared" si="0"/>
        <v>6.328081870976697E-2</v>
      </c>
      <c r="K13" s="57">
        <f t="shared" si="1"/>
        <v>2.3632613662153381E-2</v>
      </c>
      <c r="L13" s="57">
        <f t="shared" si="2"/>
        <v>2.908805930875101E-2</v>
      </c>
    </row>
    <row r="14" spans="1:17" x14ac:dyDescent="0.25">
      <c r="B14" s="103" t="s">
        <v>29</v>
      </c>
      <c r="C14" s="104">
        <v>209500</v>
      </c>
      <c r="D14" s="71">
        <v>21997.5</v>
      </c>
      <c r="E14" s="71">
        <v>9637</v>
      </c>
      <c r="F14" s="71">
        <v>10475</v>
      </c>
      <c r="G14" s="74">
        <f t="shared" si="3"/>
        <v>105</v>
      </c>
      <c r="H14" s="74">
        <f t="shared" si="4"/>
        <v>46</v>
      </c>
      <c r="I14" s="74">
        <f t="shared" si="5"/>
        <v>50</v>
      </c>
      <c r="J14" s="75">
        <f t="shared" si="0"/>
        <v>0.19553586312236251</v>
      </c>
      <c r="K14" s="75">
        <f t="shared" si="1"/>
        <v>0.33591076380851348</v>
      </c>
      <c r="L14" s="75">
        <f t="shared" si="2"/>
        <v>0.29960415069731255</v>
      </c>
    </row>
    <row r="15" spans="1:17" x14ac:dyDescent="0.25">
      <c r="B15" s="89" t="s">
        <v>30</v>
      </c>
      <c r="C15" s="91">
        <v>33200</v>
      </c>
      <c r="D15" s="53">
        <v>2556.4</v>
      </c>
      <c r="E15" s="53">
        <v>265.60000000000002</v>
      </c>
      <c r="F15" s="53">
        <v>332</v>
      </c>
      <c r="G15" s="56">
        <f t="shared" si="3"/>
        <v>77</v>
      </c>
      <c r="H15" s="56">
        <f t="shared" si="4"/>
        <v>8</v>
      </c>
      <c r="I15" s="56">
        <f t="shared" si="5"/>
        <v>10</v>
      </c>
      <c r="J15" s="57">
        <f t="shared" si="0"/>
        <v>2.272384955044926E-2</v>
      </c>
      <c r="K15" s="57">
        <f t="shared" si="1"/>
        <v>9.2578498357934209E-3</v>
      </c>
      <c r="L15" s="57">
        <f t="shared" si="2"/>
        <v>9.4958069719816487E-3</v>
      </c>
    </row>
    <row r="16" spans="1:17" x14ac:dyDescent="0.25">
      <c r="B16" s="103" t="s">
        <v>31</v>
      </c>
      <c r="C16" s="104">
        <v>40500</v>
      </c>
      <c r="D16" s="71">
        <v>4779</v>
      </c>
      <c r="E16" s="71">
        <v>1099.98</v>
      </c>
      <c r="F16" s="71">
        <v>1417.5</v>
      </c>
      <c r="G16" s="74">
        <f t="shared" si="3"/>
        <v>118</v>
      </c>
      <c r="H16" s="74">
        <f t="shared" si="4"/>
        <v>27.16</v>
      </c>
      <c r="I16" s="74">
        <f t="shared" si="5"/>
        <v>35</v>
      </c>
      <c r="J16" s="75">
        <f t="shared" si="0"/>
        <v>4.2480549601626116E-2</v>
      </c>
      <c r="K16" s="75">
        <f t="shared" si="1"/>
        <v>3.8341301439668844E-2</v>
      </c>
      <c r="L16" s="75">
        <f t="shared" si="2"/>
        <v>4.0543091514409595E-2</v>
      </c>
    </row>
    <row r="17" spans="2:12" x14ac:dyDescent="0.25">
      <c r="B17" s="89" t="s">
        <v>32</v>
      </c>
      <c r="C17" s="91">
        <v>115300</v>
      </c>
      <c r="D17" s="53">
        <v>2907.866</v>
      </c>
      <c r="E17" s="53">
        <v>1006.5690000000001</v>
      </c>
      <c r="F17" s="53">
        <v>1268.3</v>
      </c>
      <c r="G17" s="56">
        <f t="shared" si="3"/>
        <v>25.22</v>
      </c>
      <c r="H17" s="56">
        <f t="shared" si="4"/>
        <v>8.73</v>
      </c>
      <c r="I17" s="56">
        <f t="shared" si="5"/>
        <v>11</v>
      </c>
      <c r="J17" s="57">
        <f t="shared" si="0"/>
        <v>2.584803219248423E-2</v>
      </c>
      <c r="K17" s="57">
        <f t="shared" si="1"/>
        <v>3.5085333777728718E-2</v>
      </c>
      <c r="L17" s="57">
        <f t="shared" si="2"/>
        <v>3.6275698742663627E-2</v>
      </c>
    </row>
    <row r="18" spans="2:12" x14ac:dyDescent="0.25">
      <c r="B18" s="103" t="s">
        <v>33</v>
      </c>
      <c r="C18" s="104">
        <v>22900</v>
      </c>
      <c r="D18" s="71">
        <v>25.008506050000001</v>
      </c>
      <c r="E18" s="71">
        <v>22.212999999999997</v>
      </c>
      <c r="F18" s="71">
        <v>22.9</v>
      </c>
      <c r="G18" s="74">
        <f t="shared" si="3"/>
        <v>1.0920745000000001</v>
      </c>
      <c r="H18" s="74">
        <f t="shared" si="4"/>
        <v>0.96999999999999986</v>
      </c>
      <c r="I18" s="74">
        <f t="shared" si="5"/>
        <v>1</v>
      </c>
      <c r="J18" s="75">
        <f t="shared" si="0"/>
        <v>2.2230070762075578E-4</v>
      </c>
      <c r="K18" s="75">
        <f t="shared" si="1"/>
        <v>7.7426437651535848E-4</v>
      </c>
      <c r="L18" s="75">
        <f t="shared" si="2"/>
        <v>6.5498186644090276E-4</v>
      </c>
    </row>
    <row r="19" spans="2:12" x14ac:dyDescent="0.25">
      <c r="B19" s="89" t="s">
        <v>26</v>
      </c>
      <c r="C19" s="91">
        <v>23000</v>
      </c>
      <c r="D19" s="53">
        <v>2185</v>
      </c>
      <c r="E19" s="53">
        <v>1227.05</v>
      </c>
      <c r="F19" s="53">
        <v>1610</v>
      </c>
      <c r="G19" s="56">
        <f t="shared" si="3"/>
        <v>95</v>
      </c>
      <c r="H19" s="56">
        <f t="shared" si="4"/>
        <v>53.35</v>
      </c>
      <c r="I19" s="56">
        <f t="shared" si="5"/>
        <v>70</v>
      </c>
      <c r="J19" s="57">
        <f t="shared" si="0"/>
        <v>1.9422473504823828E-2</v>
      </c>
      <c r="K19" s="57">
        <f t="shared" si="1"/>
        <v>4.2770499401394255E-2</v>
      </c>
      <c r="L19" s="57">
        <f t="shared" si="2"/>
        <v>4.6048943448465225E-2</v>
      </c>
    </row>
    <row r="20" spans="2:12" x14ac:dyDescent="0.25">
      <c r="B20" s="103" t="s">
        <v>34</v>
      </c>
      <c r="C20" s="104">
        <v>42700</v>
      </c>
      <c r="D20" s="71">
        <v>3416</v>
      </c>
      <c r="E20" s="71">
        <v>2070.9500000000003</v>
      </c>
      <c r="F20" s="71">
        <v>2690.1000000000004</v>
      </c>
      <c r="G20" s="74">
        <f t="shared" si="3"/>
        <v>80</v>
      </c>
      <c r="H20" s="74">
        <f t="shared" si="4"/>
        <v>48.500000000000007</v>
      </c>
      <c r="I20" s="74">
        <f t="shared" si="5"/>
        <v>63.000000000000014</v>
      </c>
      <c r="J20" s="75">
        <f t="shared" si="0"/>
        <v>3.0364837296328693E-2</v>
      </c>
      <c r="K20" s="75">
        <f t="shared" si="1"/>
        <v>7.2185783574685178E-2</v>
      </c>
      <c r="L20" s="75">
        <f t="shared" si="2"/>
        <v>7.694177811845733E-2</v>
      </c>
    </row>
    <row r="21" spans="2:12" x14ac:dyDescent="0.25">
      <c r="B21" s="89" t="s">
        <v>9</v>
      </c>
      <c r="C21" s="91">
        <v>16300</v>
      </c>
      <c r="D21" s="53">
        <v>1711.5</v>
      </c>
      <c r="E21" s="53">
        <v>901.22699999999998</v>
      </c>
      <c r="F21" s="53">
        <v>1141</v>
      </c>
      <c r="G21" s="56">
        <f t="shared" si="3"/>
        <v>105</v>
      </c>
      <c r="H21" s="56">
        <f t="shared" si="4"/>
        <v>55.29</v>
      </c>
      <c r="I21" s="56">
        <f t="shared" si="5"/>
        <v>70</v>
      </c>
      <c r="J21" s="57">
        <f t="shared" si="0"/>
        <v>1.5213530161787633E-2</v>
      </c>
      <c r="K21" s="57">
        <f t="shared" si="1"/>
        <v>3.1413494856786885E-2</v>
      </c>
      <c r="L21" s="57">
        <f t="shared" si="2"/>
        <v>3.26346860091297E-2</v>
      </c>
    </row>
    <row r="22" spans="2:12" x14ac:dyDescent="0.25">
      <c r="B22" s="103" t="s">
        <v>35</v>
      </c>
      <c r="C22" s="104">
        <v>10900.000000000091</v>
      </c>
      <c r="D22" s="71">
        <v>599.500000000005</v>
      </c>
      <c r="E22" s="71">
        <v>222.03300000000186</v>
      </c>
      <c r="F22" s="71">
        <v>272.50000000000227</v>
      </c>
      <c r="G22" s="74">
        <f t="shared" si="3"/>
        <v>55</v>
      </c>
      <c r="H22" s="74">
        <f t="shared" si="4"/>
        <v>20.37</v>
      </c>
      <c r="I22" s="74">
        <f t="shared" si="5"/>
        <v>25</v>
      </c>
      <c r="J22" s="75">
        <f t="shared" si="0"/>
        <v>5.328957833474591E-3</v>
      </c>
      <c r="K22" s="75">
        <f t="shared" si="1"/>
        <v>7.7392626980072945E-3</v>
      </c>
      <c r="L22" s="75">
        <f t="shared" si="2"/>
        <v>7.79399819236452E-3</v>
      </c>
    </row>
    <row r="23" spans="2:12" x14ac:dyDescent="0.25">
      <c r="B23" s="89" t="s">
        <v>36</v>
      </c>
      <c r="C23" s="91">
        <v>28300</v>
      </c>
      <c r="D23" s="53">
        <v>0</v>
      </c>
      <c r="E23" s="53">
        <v>247.05900000000003</v>
      </c>
      <c r="F23" s="53">
        <v>283</v>
      </c>
      <c r="G23" s="56">
        <f t="shared" si="3"/>
        <v>0</v>
      </c>
      <c r="H23" s="56">
        <f t="shared" si="4"/>
        <v>8.73</v>
      </c>
      <c r="I23" s="56">
        <f t="shared" si="5"/>
        <v>10</v>
      </c>
      <c r="J23" s="57">
        <f t="shared" si="0"/>
        <v>0</v>
      </c>
      <c r="K23" s="57">
        <f t="shared" si="1"/>
        <v>8.611578021766892E-3</v>
      </c>
      <c r="L23" s="57">
        <f t="shared" si="2"/>
        <v>8.0943173887674889E-3</v>
      </c>
    </row>
    <row r="24" spans="2:12" x14ac:dyDescent="0.25">
      <c r="B24" s="103" t="s">
        <v>37</v>
      </c>
      <c r="C24" s="104">
        <v>116000</v>
      </c>
      <c r="D24" s="71">
        <v>4872</v>
      </c>
      <c r="E24" s="71">
        <v>1687.8000000000002</v>
      </c>
      <c r="F24" s="71">
        <v>1972</v>
      </c>
      <c r="G24" s="74">
        <f t="shared" si="3"/>
        <v>42</v>
      </c>
      <c r="H24" s="74">
        <f t="shared" si="4"/>
        <v>14.550000000000002</v>
      </c>
      <c r="I24" s="74">
        <f t="shared" si="5"/>
        <v>17</v>
      </c>
      <c r="J24" s="75">
        <f t="shared" si="0"/>
        <v>4.330722696361633E-2</v>
      </c>
      <c r="K24" s="75">
        <f t="shared" si="1"/>
        <v>5.8830568346581832E-2</v>
      </c>
      <c r="L24" s="75">
        <f t="shared" si="2"/>
        <v>5.6402805267312679E-2</v>
      </c>
    </row>
    <row r="25" spans="2:12" x14ac:dyDescent="0.25">
      <c r="B25" s="89" t="s">
        <v>38</v>
      </c>
      <c r="C25" s="91">
        <v>47200</v>
      </c>
      <c r="D25" s="53">
        <v>5805.6</v>
      </c>
      <c r="E25" s="53">
        <v>1922.9280000000001</v>
      </c>
      <c r="F25" s="53">
        <v>2360</v>
      </c>
      <c r="G25" s="56">
        <f t="shared" si="3"/>
        <v>123</v>
      </c>
      <c r="H25" s="56">
        <f t="shared" si="4"/>
        <v>40.74</v>
      </c>
      <c r="I25" s="56">
        <f t="shared" si="5"/>
        <v>50</v>
      </c>
      <c r="J25" s="57">
        <f t="shared" si="0"/>
        <v>5.1606000997530987E-2</v>
      </c>
      <c r="K25" s="57">
        <f t="shared" si="1"/>
        <v>6.7026275109347028E-2</v>
      </c>
      <c r="L25" s="57">
        <f t="shared" si="2"/>
        <v>6.750031462011051E-2</v>
      </c>
    </row>
    <row r="26" spans="2:12" x14ac:dyDescent="0.25">
      <c r="B26" s="103" t="s">
        <v>39</v>
      </c>
      <c r="C26" s="104">
        <v>1000</v>
      </c>
      <c r="D26" s="71">
        <v>9.6999999999999993</v>
      </c>
      <c r="E26" s="71">
        <v>6.79</v>
      </c>
      <c r="F26" s="71">
        <v>10</v>
      </c>
      <c r="G26" s="74">
        <f t="shared" si="3"/>
        <v>9.6999999999999993</v>
      </c>
      <c r="H26" s="74">
        <f t="shared" si="4"/>
        <v>6.79</v>
      </c>
      <c r="I26" s="74">
        <f t="shared" si="5"/>
        <v>10</v>
      </c>
      <c r="J26" s="75">
        <f t="shared" si="0"/>
        <v>8.6223337755968462E-5</v>
      </c>
      <c r="K26" s="75">
        <f t="shared" si="1"/>
        <v>2.3667470024486942E-4</v>
      </c>
      <c r="L26" s="75">
        <f t="shared" si="2"/>
        <v>2.8601828228860387E-4</v>
      </c>
    </row>
    <row r="27" spans="2:12" x14ac:dyDescent="0.25">
      <c r="B27" s="89" t="s">
        <v>40</v>
      </c>
      <c r="C27" s="91">
        <v>1100</v>
      </c>
      <c r="D27" s="53">
        <v>10.67</v>
      </c>
      <c r="E27" s="53">
        <v>4.2679999999999998</v>
      </c>
      <c r="F27" s="53">
        <v>7.7000000000000011</v>
      </c>
      <c r="G27" s="56">
        <f t="shared" si="3"/>
        <v>9.6999999999999993</v>
      </c>
      <c r="H27" s="56">
        <f t="shared" si="4"/>
        <v>3.88</v>
      </c>
      <c r="I27" s="56">
        <f t="shared" si="5"/>
        <v>7.0000000000000009</v>
      </c>
      <c r="J27" s="57">
        <f t="shared" si="0"/>
        <v>9.4845671531565317E-5</v>
      </c>
      <c r="K27" s="57">
        <f t="shared" si="1"/>
        <v>1.4876695443963219E-4</v>
      </c>
      <c r="L27" s="57">
        <f t="shared" si="2"/>
        <v>2.20234077362225E-4</v>
      </c>
    </row>
    <row r="28" spans="2:12" x14ac:dyDescent="0.25">
      <c r="B28" s="103" t="s">
        <v>41</v>
      </c>
      <c r="C28" s="104">
        <v>35000</v>
      </c>
      <c r="D28" s="71">
        <v>1645</v>
      </c>
      <c r="E28" s="71">
        <v>271.59999999999997</v>
      </c>
      <c r="F28" s="71">
        <v>350</v>
      </c>
      <c r="G28" s="74">
        <f t="shared" si="3"/>
        <v>47</v>
      </c>
      <c r="H28" s="74">
        <f t="shared" si="4"/>
        <v>7.759999999999998</v>
      </c>
      <c r="I28" s="74">
        <f t="shared" si="5"/>
        <v>10</v>
      </c>
      <c r="J28" s="75">
        <f t="shared" si="0"/>
        <v>1.4622411402945169E-2</v>
      </c>
      <c r="K28" s="75">
        <f t="shared" si="1"/>
        <v>9.4669880097947752E-3</v>
      </c>
      <c r="L28" s="75">
        <f t="shared" si="2"/>
        <v>1.0010639880101136E-2</v>
      </c>
    </row>
    <row r="29" spans="2:12" x14ac:dyDescent="0.25">
      <c r="B29" s="89" t="s">
        <v>42</v>
      </c>
      <c r="C29" s="91">
        <v>62000</v>
      </c>
      <c r="D29" s="53">
        <v>1922</v>
      </c>
      <c r="E29" s="53">
        <v>620</v>
      </c>
      <c r="F29" s="53">
        <v>806</v>
      </c>
      <c r="G29" s="56">
        <f t="shared" si="3"/>
        <v>31</v>
      </c>
      <c r="H29" s="56">
        <f t="shared" si="4"/>
        <v>10</v>
      </c>
      <c r="I29" s="56">
        <f t="shared" si="5"/>
        <v>13</v>
      </c>
      <c r="J29" s="57">
        <f t="shared" si="0"/>
        <v>1.7084665481131071E-2</v>
      </c>
      <c r="K29" s="57">
        <f t="shared" si="1"/>
        <v>2.1610944646806927E-2</v>
      </c>
      <c r="L29" s="57">
        <f t="shared" si="2"/>
        <v>2.3053073552461473E-2</v>
      </c>
    </row>
    <row r="30" spans="2:12" x14ac:dyDescent="0.25">
      <c r="B30" s="103" t="s">
        <v>10</v>
      </c>
      <c r="C30" s="104">
        <v>1190000</v>
      </c>
      <c r="D30" s="71">
        <v>9090</v>
      </c>
      <c r="E30" s="71">
        <v>2727</v>
      </c>
      <c r="F30" s="71">
        <v>3030</v>
      </c>
      <c r="G30" s="74">
        <f t="shared" si="3"/>
        <v>7.6386554621848743</v>
      </c>
      <c r="H30" s="74">
        <f t="shared" si="4"/>
        <v>2.291596638655462</v>
      </c>
      <c r="I30" s="74">
        <f t="shared" si="5"/>
        <v>2.5462184873949578</v>
      </c>
      <c r="J30" s="75">
        <f t="shared" si="0"/>
        <v>8.0801045381624068E-2</v>
      </c>
      <c r="K30" s="75">
        <f t="shared" si="1"/>
        <v>9.5053300083616926E-2</v>
      </c>
      <c r="L30" s="75">
        <f t="shared" si="2"/>
        <v>8.6663539533446965E-2</v>
      </c>
    </row>
    <row r="31" spans="2:12" x14ac:dyDescent="0.25">
      <c r="B31" s="89" t="s">
        <v>43</v>
      </c>
      <c r="C31" s="91">
        <v>0</v>
      </c>
      <c r="D31" s="53">
        <v>1</v>
      </c>
      <c r="E31" s="53">
        <v>1</v>
      </c>
      <c r="F31" s="53">
        <v>1</v>
      </c>
      <c r="G31" s="56" t="str">
        <f t="shared" si="3"/>
        <v>-</v>
      </c>
      <c r="H31" s="56" t="str">
        <f t="shared" si="4"/>
        <v>-</v>
      </c>
      <c r="I31" s="56" t="str">
        <f t="shared" si="5"/>
        <v>-</v>
      </c>
      <c r="J31" s="57">
        <f>D31/$D$33</f>
        <v>8.8890038923678843E-6</v>
      </c>
      <c r="K31" s="57">
        <f t="shared" si="1"/>
        <v>3.4856362333559559E-5</v>
      </c>
      <c r="L31" s="57">
        <f t="shared" si="2"/>
        <v>2.8601828228860385E-5</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2528800</v>
      </c>
      <c r="D33" s="63">
        <f>SUM(D11:D31)</f>
        <v>112498.54450604999</v>
      </c>
      <c r="E33" s="62">
        <f t="shared" ref="E33:F33" si="7">SUM(E11:E31)</f>
        <v>28689.167000000001</v>
      </c>
      <c r="F33" s="102">
        <f t="shared" si="7"/>
        <v>34962.800000000003</v>
      </c>
      <c r="G33" s="94"/>
      <c r="H33" s="94"/>
      <c r="I33" s="94"/>
      <c r="J33" s="95">
        <f t="shared" ref="J33:L33" si="8">SUM(J11:J31)</f>
        <v>1</v>
      </c>
      <c r="K33" s="64">
        <f t="shared" si="8"/>
        <v>1</v>
      </c>
      <c r="L33" s="65">
        <f t="shared" si="8"/>
        <v>0.99999999999999989</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253</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B7:B8"/>
    <mergeCell ref="D6:F6"/>
    <mergeCell ref="D7:F7"/>
    <mergeCell ref="G6:I6"/>
    <mergeCell ref="J6:L6"/>
    <mergeCell ref="G7:I7"/>
    <mergeCell ref="J7:L7"/>
    <mergeCell ref="C6:C7"/>
  </mergeCells>
  <hyperlinks>
    <hyperlink ref="B1" location="Start!A1" display="Back to home page" xr:uid="{AEADE71E-88A0-4642-8737-31C8B64565BD}"/>
  </hyperlink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51960-4EEC-4A6A-87CE-077D1826F784}">
  <sheetPr>
    <tabColor rgb="FF92D050"/>
  </sheetPr>
  <dimension ref="A1:Q44"/>
  <sheetViews>
    <sheetView showGridLines="0" zoomScale="80" zoomScaleNormal="80" workbookViewId="0">
      <pane xSplit="2" ySplit="9" topLeftCell="C22"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265</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128000</v>
      </c>
      <c r="D11" s="53">
        <v>20352</v>
      </c>
      <c r="E11" s="53">
        <v>256</v>
      </c>
      <c r="F11" s="53">
        <v>640</v>
      </c>
      <c r="G11" s="56">
        <f>IFERROR(D11*1000/C11,"-")</f>
        <v>159</v>
      </c>
      <c r="H11" s="56">
        <f>IFERROR(E11*1000/C11,"-")</f>
        <v>2</v>
      </c>
      <c r="I11" s="56">
        <f>IFERROR(F11*1000/C11,"-")</f>
        <v>5</v>
      </c>
      <c r="J11" s="57">
        <f t="shared" ref="J11:J30" si="0">D11/$D$33</f>
        <v>9.4848397289513178E-2</v>
      </c>
      <c r="K11" s="57">
        <f t="shared" ref="K11:K31" si="1">E11/$E$33</f>
        <v>1.9332427125811812E-2</v>
      </c>
      <c r="L11" s="57">
        <f t="shared" ref="L11:L31" si="2">F11/$F$33</f>
        <v>1.7724603965880138E-2</v>
      </c>
    </row>
    <row r="12" spans="1:17" x14ac:dyDescent="0.25">
      <c r="B12" s="103" t="s">
        <v>27</v>
      </c>
      <c r="C12" s="71">
        <v>35000</v>
      </c>
      <c r="D12" s="71">
        <v>1960</v>
      </c>
      <c r="E12" s="71">
        <v>70</v>
      </c>
      <c r="F12" s="71">
        <v>175</v>
      </c>
      <c r="G12" s="74">
        <f t="shared" ref="G12:G31" si="3">IFERROR(D12*1000/C12,"-")</f>
        <v>56</v>
      </c>
      <c r="H12" s="74">
        <f t="shared" ref="H12:H31" si="4">IFERROR(E12*1000/C12,"-")</f>
        <v>2</v>
      </c>
      <c r="I12" s="74">
        <f t="shared" ref="I12:I31" si="5">IFERROR(F12*1000/C12,"-")</f>
        <v>5</v>
      </c>
      <c r="J12" s="75">
        <f t="shared" si="0"/>
        <v>9.1343778836205699E-3</v>
      </c>
      <c r="K12" s="75">
        <f t="shared" si="1"/>
        <v>5.2862105422141672E-3</v>
      </c>
      <c r="L12" s="75">
        <f t="shared" si="2"/>
        <v>4.8465713969203499E-3</v>
      </c>
    </row>
    <row r="13" spans="1:17" x14ac:dyDescent="0.25">
      <c r="B13" s="89" t="s">
        <v>28</v>
      </c>
      <c r="C13" s="53">
        <v>4000</v>
      </c>
      <c r="D13" s="53">
        <v>224</v>
      </c>
      <c r="E13" s="53">
        <v>4</v>
      </c>
      <c r="F13" s="53">
        <v>20</v>
      </c>
      <c r="G13" s="56">
        <f t="shared" si="3"/>
        <v>56</v>
      </c>
      <c r="H13" s="56">
        <f t="shared" si="4"/>
        <v>1</v>
      </c>
      <c r="I13" s="56">
        <f t="shared" si="5"/>
        <v>5</v>
      </c>
      <c r="J13" s="57">
        <f t="shared" si="0"/>
        <v>1.0439289009852078E-3</v>
      </c>
      <c r="K13" s="57">
        <f t="shared" si="1"/>
        <v>3.0206917384080956E-4</v>
      </c>
      <c r="L13" s="57">
        <f t="shared" si="2"/>
        <v>5.5389387393375432E-4</v>
      </c>
    </row>
    <row r="14" spans="1:17" x14ac:dyDescent="0.25">
      <c r="B14" s="103" t="s">
        <v>29</v>
      </c>
      <c r="C14" s="71">
        <v>19000</v>
      </c>
      <c r="D14" s="71">
        <v>665</v>
      </c>
      <c r="E14" s="71">
        <v>114</v>
      </c>
      <c r="F14" s="71">
        <v>190</v>
      </c>
      <c r="G14" s="74">
        <f t="shared" si="3"/>
        <v>35</v>
      </c>
      <c r="H14" s="74">
        <f t="shared" si="4"/>
        <v>6</v>
      </c>
      <c r="I14" s="74">
        <f t="shared" si="5"/>
        <v>10</v>
      </c>
      <c r="J14" s="75">
        <f t="shared" si="0"/>
        <v>3.0991639247998359E-3</v>
      </c>
      <c r="K14" s="75">
        <f t="shared" si="1"/>
        <v>8.6089714544630713E-3</v>
      </c>
      <c r="L14" s="75">
        <f t="shared" si="2"/>
        <v>5.2619918023706662E-3</v>
      </c>
    </row>
    <row r="15" spans="1:17" x14ac:dyDescent="0.25">
      <c r="B15" s="89" t="s">
        <v>30</v>
      </c>
      <c r="C15" s="53">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25">
      <c r="B16" s="103" t="s">
        <v>31</v>
      </c>
      <c r="C16" s="71">
        <v>2000</v>
      </c>
      <c r="D16" s="71">
        <v>350</v>
      </c>
      <c r="E16" s="71">
        <v>30</v>
      </c>
      <c r="F16" s="71">
        <v>46</v>
      </c>
      <c r="G16" s="74">
        <f t="shared" si="3"/>
        <v>175</v>
      </c>
      <c r="H16" s="74">
        <f t="shared" si="4"/>
        <v>15</v>
      </c>
      <c r="I16" s="74">
        <f t="shared" si="5"/>
        <v>23</v>
      </c>
      <c r="J16" s="75">
        <f t="shared" si="0"/>
        <v>1.6311389077893874E-3</v>
      </c>
      <c r="K16" s="75">
        <f t="shared" si="1"/>
        <v>2.2655188038060714E-3</v>
      </c>
      <c r="L16" s="75">
        <f t="shared" si="2"/>
        <v>1.2739559100476349E-3</v>
      </c>
    </row>
    <row r="17" spans="2:12" x14ac:dyDescent="0.25">
      <c r="B17" s="89" t="s">
        <v>32</v>
      </c>
      <c r="C17" s="53">
        <v>1000</v>
      </c>
      <c r="D17" s="53">
        <v>40</v>
      </c>
      <c r="E17" s="53">
        <v>20</v>
      </c>
      <c r="F17" s="53">
        <v>20</v>
      </c>
      <c r="G17" s="56">
        <f t="shared" si="3"/>
        <v>40</v>
      </c>
      <c r="H17" s="56">
        <f t="shared" si="4"/>
        <v>20</v>
      </c>
      <c r="I17" s="56">
        <f t="shared" si="5"/>
        <v>20</v>
      </c>
      <c r="J17" s="57">
        <f t="shared" si="0"/>
        <v>1.8641587517592999E-4</v>
      </c>
      <c r="K17" s="57">
        <f t="shared" si="1"/>
        <v>1.5103458692040477E-3</v>
      </c>
      <c r="L17" s="57">
        <f t="shared" si="2"/>
        <v>5.5389387393375432E-4</v>
      </c>
    </row>
    <row r="18" spans="2:12" x14ac:dyDescent="0.25">
      <c r="B18" s="103" t="s">
        <v>33</v>
      </c>
      <c r="C18" s="71">
        <v>2000</v>
      </c>
      <c r="D18" s="71">
        <v>58</v>
      </c>
      <c r="E18" s="71">
        <v>50</v>
      </c>
      <c r="F18" s="71">
        <v>200</v>
      </c>
      <c r="G18" s="74">
        <f t="shared" si="3"/>
        <v>29</v>
      </c>
      <c r="H18" s="74">
        <f t="shared" si="4"/>
        <v>25</v>
      </c>
      <c r="I18" s="74">
        <f t="shared" si="5"/>
        <v>100</v>
      </c>
      <c r="J18" s="75">
        <f t="shared" si="0"/>
        <v>2.703030190050985E-4</v>
      </c>
      <c r="K18" s="75">
        <f t="shared" si="1"/>
        <v>3.7758646730101193E-3</v>
      </c>
      <c r="L18" s="75">
        <f t="shared" si="2"/>
        <v>5.5389387393375428E-3</v>
      </c>
    </row>
    <row r="19" spans="2:12" x14ac:dyDescent="0.25">
      <c r="B19" s="89" t="s">
        <v>26</v>
      </c>
      <c r="C19" s="53">
        <v>158000</v>
      </c>
      <c r="D19" s="53">
        <v>22910</v>
      </c>
      <c r="E19" s="53">
        <v>7900</v>
      </c>
      <c r="F19" s="53">
        <v>23700</v>
      </c>
      <c r="G19" s="56">
        <f t="shared" si="3"/>
        <v>145</v>
      </c>
      <c r="H19" s="56">
        <f t="shared" si="4"/>
        <v>50</v>
      </c>
      <c r="I19" s="56">
        <f t="shared" si="5"/>
        <v>150</v>
      </c>
      <c r="J19" s="57">
        <f t="shared" si="0"/>
        <v>0.1067696925070139</v>
      </c>
      <c r="K19" s="57">
        <f t="shared" si="1"/>
        <v>0.59658661833559889</v>
      </c>
      <c r="L19" s="57">
        <f t="shared" si="2"/>
        <v>0.65636424061149878</v>
      </c>
    </row>
    <row r="20" spans="2:12" x14ac:dyDescent="0.25">
      <c r="B20" s="103" t="s">
        <v>34</v>
      </c>
      <c r="C20" s="71">
        <v>71000</v>
      </c>
      <c r="D20" s="71">
        <v>9230</v>
      </c>
      <c r="E20" s="71">
        <v>1775</v>
      </c>
      <c r="F20" s="71">
        <v>2840</v>
      </c>
      <c r="G20" s="74">
        <f t="shared" si="3"/>
        <v>130</v>
      </c>
      <c r="H20" s="74">
        <f t="shared" si="4"/>
        <v>25</v>
      </c>
      <c r="I20" s="74">
        <f t="shared" si="5"/>
        <v>40</v>
      </c>
      <c r="J20" s="75">
        <f t="shared" si="0"/>
        <v>4.3015463196845842E-2</v>
      </c>
      <c r="K20" s="75">
        <f t="shared" si="1"/>
        <v>0.13404319589185923</v>
      </c>
      <c r="L20" s="75">
        <f t="shared" si="2"/>
        <v>7.8652930098593116E-2</v>
      </c>
    </row>
    <row r="21" spans="2:12" x14ac:dyDescent="0.25">
      <c r="B21" s="89" t="s">
        <v>9</v>
      </c>
      <c r="C21" s="53">
        <v>38000</v>
      </c>
      <c r="D21" s="53">
        <v>5700</v>
      </c>
      <c r="E21" s="53">
        <v>1330</v>
      </c>
      <c r="F21" s="53">
        <v>3230</v>
      </c>
      <c r="G21" s="56">
        <f t="shared" si="3"/>
        <v>150</v>
      </c>
      <c r="H21" s="56">
        <f t="shared" si="4"/>
        <v>35</v>
      </c>
      <c r="I21" s="56">
        <f t="shared" si="5"/>
        <v>85</v>
      </c>
      <c r="J21" s="57">
        <f t="shared" si="0"/>
        <v>2.6564262212570022E-2</v>
      </c>
      <c r="K21" s="57">
        <f t="shared" si="1"/>
        <v>0.10043800030206917</v>
      </c>
      <c r="L21" s="57">
        <f t="shared" si="2"/>
        <v>8.9453860640301322E-2</v>
      </c>
    </row>
    <row r="22" spans="2:12" x14ac:dyDescent="0.25">
      <c r="B22" s="103" t="s">
        <v>35</v>
      </c>
      <c r="C22" s="71">
        <v>0</v>
      </c>
      <c r="D22" s="71">
        <v>0</v>
      </c>
      <c r="E22" s="71">
        <v>0</v>
      </c>
      <c r="F22" s="71">
        <v>0</v>
      </c>
      <c r="G22" s="74" t="str">
        <f t="shared" si="3"/>
        <v>-</v>
      </c>
      <c r="H22" s="74" t="str">
        <f t="shared" si="4"/>
        <v>-</v>
      </c>
      <c r="I22" s="74" t="str">
        <f t="shared" si="5"/>
        <v>-</v>
      </c>
      <c r="J22" s="75">
        <f t="shared" si="0"/>
        <v>0</v>
      </c>
      <c r="K22" s="75">
        <f t="shared" si="1"/>
        <v>0</v>
      </c>
      <c r="L22" s="75">
        <f t="shared" si="2"/>
        <v>0</v>
      </c>
    </row>
    <row r="23" spans="2:12" x14ac:dyDescent="0.25">
      <c r="B23" s="89" t="s">
        <v>36</v>
      </c>
      <c r="C23" s="53">
        <v>1000</v>
      </c>
      <c r="D23" s="53">
        <v>38</v>
      </c>
      <c r="E23" s="53">
        <v>15</v>
      </c>
      <c r="F23" s="53">
        <v>65</v>
      </c>
      <c r="G23" s="56">
        <f t="shared" si="3"/>
        <v>38</v>
      </c>
      <c r="H23" s="56">
        <f t="shared" si="4"/>
        <v>15</v>
      </c>
      <c r="I23" s="56">
        <f t="shared" si="5"/>
        <v>65</v>
      </c>
      <c r="J23" s="57">
        <f t="shared" si="0"/>
        <v>1.7709508141713348E-4</v>
      </c>
      <c r="K23" s="57">
        <f t="shared" si="1"/>
        <v>1.1327594019030357E-3</v>
      </c>
      <c r="L23" s="57">
        <f t="shared" si="2"/>
        <v>1.8001550902847015E-3</v>
      </c>
    </row>
    <row r="24" spans="2:12" x14ac:dyDescent="0.25">
      <c r="B24" s="103" t="s">
        <v>37</v>
      </c>
      <c r="C24" s="71">
        <v>4000</v>
      </c>
      <c r="D24" s="71">
        <v>112</v>
      </c>
      <c r="E24" s="71">
        <v>28</v>
      </c>
      <c r="F24" s="71">
        <v>152</v>
      </c>
      <c r="G24" s="74">
        <f t="shared" si="3"/>
        <v>28</v>
      </c>
      <c r="H24" s="74">
        <f t="shared" si="4"/>
        <v>7</v>
      </c>
      <c r="I24" s="74">
        <f t="shared" si="5"/>
        <v>38</v>
      </c>
      <c r="J24" s="75">
        <f t="shared" si="0"/>
        <v>5.2196445049260392E-4</v>
      </c>
      <c r="K24" s="75">
        <f t="shared" si="1"/>
        <v>2.1144842168856668E-3</v>
      </c>
      <c r="L24" s="75">
        <f t="shared" si="2"/>
        <v>4.2095934418965326E-3</v>
      </c>
    </row>
    <row r="25" spans="2:12" x14ac:dyDescent="0.25">
      <c r="B25" s="89" t="s">
        <v>38</v>
      </c>
      <c r="C25" s="53">
        <v>224000</v>
      </c>
      <c r="D25" s="53">
        <v>11200</v>
      </c>
      <c r="E25" s="53">
        <v>1120</v>
      </c>
      <c r="F25" s="53">
        <v>672</v>
      </c>
      <c r="G25" s="56">
        <f t="shared" si="3"/>
        <v>50</v>
      </c>
      <c r="H25" s="56">
        <f t="shared" si="4"/>
        <v>5</v>
      </c>
      <c r="I25" s="56">
        <f t="shared" si="5"/>
        <v>3</v>
      </c>
      <c r="J25" s="57">
        <f t="shared" si="0"/>
        <v>5.2196445049260395E-2</v>
      </c>
      <c r="K25" s="57">
        <f t="shared" si="1"/>
        <v>8.4579368675426675E-2</v>
      </c>
      <c r="L25" s="57">
        <f t="shared" si="2"/>
        <v>1.8610834164174143E-2</v>
      </c>
    </row>
    <row r="26" spans="2:12" x14ac:dyDescent="0.25">
      <c r="B26" s="103" t="s">
        <v>39</v>
      </c>
      <c r="C26" s="71">
        <v>3000</v>
      </c>
      <c r="D26" s="71">
        <v>0</v>
      </c>
      <c r="E26" s="71">
        <v>0</v>
      </c>
      <c r="F26" s="71">
        <v>0</v>
      </c>
      <c r="G26" s="74">
        <f t="shared" si="3"/>
        <v>0</v>
      </c>
      <c r="H26" s="74">
        <f t="shared" si="4"/>
        <v>0</v>
      </c>
      <c r="I26" s="74">
        <f t="shared" si="5"/>
        <v>0</v>
      </c>
      <c r="J26" s="75">
        <f t="shared" si="0"/>
        <v>0</v>
      </c>
      <c r="K26" s="75">
        <f t="shared" si="1"/>
        <v>0</v>
      </c>
      <c r="L26" s="75">
        <f t="shared" si="2"/>
        <v>0</v>
      </c>
    </row>
    <row r="27" spans="2:12" x14ac:dyDescent="0.25">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25">
      <c r="B28" s="103" t="s">
        <v>41</v>
      </c>
      <c r="C28" s="71">
        <v>5000</v>
      </c>
      <c r="D28" s="71">
        <v>175</v>
      </c>
      <c r="E28" s="71">
        <v>50</v>
      </c>
      <c r="F28" s="71">
        <v>50</v>
      </c>
      <c r="G28" s="74">
        <f t="shared" si="3"/>
        <v>35</v>
      </c>
      <c r="H28" s="74">
        <f t="shared" si="4"/>
        <v>10</v>
      </c>
      <c r="I28" s="74">
        <f t="shared" si="5"/>
        <v>10</v>
      </c>
      <c r="J28" s="75">
        <f t="shared" si="0"/>
        <v>8.1556945389469368E-4</v>
      </c>
      <c r="K28" s="75">
        <f t="shared" si="1"/>
        <v>3.7758646730101193E-3</v>
      </c>
      <c r="L28" s="75">
        <f t="shared" si="2"/>
        <v>1.3847346848343857E-3</v>
      </c>
    </row>
    <row r="29" spans="2:12" x14ac:dyDescent="0.25">
      <c r="B29" s="89" t="s">
        <v>42</v>
      </c>
      <c r="C29" s="53">
        <v>20000</v>
      </c>
      <c r="D29" s="53">
        <v>1160</v>
      </c>
      <c r="E29" s="53">
        <v>480</v>
      </c>
      <c r="F29" s="53">
        <v>1300</v>
      </c>
      <c r="G29" s="56">
        <f t="shared" si="3"/>
        <v>58</v>
      </c>
      <c r="H29" s="56">
        <f t="shared" si="4"/>
        <v>24</v>
      </c>
      <c r="I29" s="56">
        <f t="shared" si="5"/>
        <v>65</v>
      </c>
      <c r="J29" s="57">
        <f t="shared" si="0"/>
        <v>5.4060603801019697E-3</v>
      </c>
      <c r="K29" s="57">
        <f t="shared" si="1"/>
        <v>3.6248300860897142E-2</v>
      </c>
      <c r="L29" s="57">
        <f t="shared" si="2"/>
        <v>3.6003101805694028E-2</v>
      </c>
    </row>
    <row r="30" spans="2:12" x14ac:dyDescent="0.25">
      <c r="B30" s="103" t="s">
        <v>10</v>
      </c>
      <c r="C30" s="71">
        <v>975000</v>
      </c>
      <c r="D30" s="71">
        <v>140400</v>
      </c>
      <c r="E30" s="71">
        <v>0</v>
      </c>
      <c r="F30" s="71">
        <v>2808</v>
      </c>
      <c r="G30" s="74">
        <f t="shared" si="3"/>
        <v>144</v>
      </c>
      <c r="H30" s="74">
        <f t="shared" si="4"/>
        <v>0</v>
      </c>
      <c r="I30" s="74">
        <f t="shared" si="5"/>
        <v>2.88</v>
      </c>
      <c r="J30" s="75">
        <f t="shared" si="0"/>
        <v>0.65431972186751419</v>
      </c>
      <c r="K30" s="75">
        <f t="shared" si="1"/>
        <v>0</v>
      </c>
      <c r="L30" s="75">
        <f t="shared" si="2"/>
        <v>7.7766699900299108E-2</v>
      </c>
    </row>
    <row r="31" spans="2:12" x14ac:dyDescent="0.25">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1690000</v>
      </c>
      <c r="D33" s="63">
        <f>SUM(D11:D31)</f>
        <v>214574</v>
      </c>
      <c r="E33" s="62">
        <f t="shared" ref="E33:F33" si="7">SUM(E11:E31)</f>
        <v>13242</v>
      </c>
      <c r="F33" s="102">
        <f t="shared" si="7"/>
        <v>36108</v>
      </c>
      <c r="G33" s="94"/>
      <c r="H33" s="94"/>
      <c r="I33" s="94"/>
      <c r="J33" s="95">
        <f t="shared" ref="J33:L33" si="8">SUM(J11:J31)</f>
        <v>1</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266</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44F7D1B4-6DEC-418F-8BB2-8DC66B55A736}"/>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CAD6-C3DB-4FBA-B0D2-5B8966740885}">
  <sheetPr>
    <tabColor rgb="FF92D050"/>
  </sheetPr>
  <dimension ref="A1:Q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J26" sqref="J26"/>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104</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t="s">
        <v>15</v>
      </c>
      <c r="D9" s="49" t="s">
        <v>15</v>
      </c>
      <c r="E9" s="49" t="s">
        <v>15</v>
      </c>
      <c r="F9" s="49" t="s">
        <v>15</v>
      </c>
      <c r="G9" s="49" t="s">
        <v>15</v>
      </c>
      <c r="H9" s="49" t="s">
        <v>15</v>
      </c>
      <c r="I9" s="49" t="s">
        <v>15</v>
      </c>
      <c r="J9" s="49" t="s">
        <v>15</v>
      </c>
      <c r="K9" s="49" t="s">
        <v>15</v>
      </c>
      <c r="L9" s="49" t="s">
        <v>15</v>
      </c>
    </row>
    <row r="10" spans="1:17" ht="6" customHeight="1" thickTop="1" x14ac:dyDescent="0.25">
      <c r="B10" s="96"/>
      <c r="C10" s="97"/>
      <c r="D10" s="98"/>
      <c r="E10" s="98"/>
      <c r="F10" s="98"/>
      <c r="G10" s="98"/>
      <c r="H10" s="98"/>
      <c r="I10" s="98"/>
      <c r="J10" s="98"/>
      <c r="K10" s="98"/>
      <c r="L10" s="98"/>
    </row>
    <row r="11" spans="1:17" x14ac:dyDescent="0.25">
      <c r="B11" s="315" t="s">
        <v>80</v>
      </c>
      <c r="C11" s="316">
        <v>2101716</v>
      </c>
      <c r="D11" s="53">
        <v>230072</v>
      </c>
      <c r="E11" s="53">
        <v>112304</v>
      </c>
      <c r="F11" s="53">
        <v>63386</v>
      </c>
      <c r="G11" s="56">
        <f>IFERROR(D11*1000/C11,"-")</f>
        <v>109.46864371780012</v>
      </c>
      <c r="H11" s="56">
        <f>IFERROR(E11*1000/C11,"-")</f>
        <v>53.434431673927399</v>
      </c>
      <c r="I11" s="56">
        <f>IFERROR(F11*1000/C11,"-")</f>
        <v>30.159165177407413</v>
      </c>
      <c r="J11" s="57">
        <f t="shared" ref="J11:J20" si="0">D11/$D$22</f>
        <v>0.63876773066874715</v>
      </c>
      <c r="K11" s="57">
        <f t="shared" ref="K11:K20" si="1">E11/$E$22</f>
        <v>0.37979675002959129</v>
      </c>
      <c r="L11" s="57">
        <f t="shared" ref="L11:L20" si="2">F11/$F$22</f>
        <v>0.50195997687623239</v>
      </c>
    </row>
    <row r="12" spans="1:17" x14ac:dyDescent="0.25">
      <c r="B12" s="318" t="s">
        <v>81</v>
      </c>
      <c r="C12" s="319">
        <v>7213628</v>
      </c>
      <c r="D12" s="319">
        <v>82764</v>
      </c>
      <c r="E12" s="319">
        <v>150151</v>
      </c>
      <c r="F12" s="319">
        <v>41363</v>
      </c>
      <c r="G12" s="74">
        <f t="shared" ref="G12:G20" si="3">IFERROR(D12*1000/C12,"-")</f>
        <v>11.473283623718883</v>
      </c>
      <c r="H12" s="74">
        <f t="shared" ref="H12:H20" si="4">IFERROR(E12*1000/C12,"-")</f>
        <v>20.814907561077451</v>
      </c>
      <c r="I12" s="74">
        <f t="shared" ref="I12:I20" si="5">IFERROR(F12*1000/C12,"-")</f>
        <v>5.734007908364557</v>
      </c>
      <c r="J12" s="75">
        <f t="shared" si="0"/>
        <v>0.22978446947506947</v>
      </c>
      <c r="K12" s="75">
        <f t="shared" si="1"/>
        <v>0.50779012157797732</v>
      </c>
      <c r="L12" s="75">
        <f t="shared" si="2"/>
        <v>0.32755767083475218</v>
      </c>
    </row>
    <row r="13" spans="1:17" x14ac:dyDescent="0.25">
      <c r="B13" s="315" t="s">
        <v>82</v>
      </c>
      <c r="C13" s="316">
        <v>202587</v>
      </c>
      <c r="D13" s="316">
        <v>3318</v>
      </c>
      <c r="E13" s="316">
        <v>4902</v>
      </c>
      <c r="F13" s="316">
        <v>1571</v>
      </c>
      <c r="G13" s="56">
        <f t="shared" si="3"/>
        <v>16.378148647247848</v>
      </c>
      <c r="H13" s="56">
        <f t="shared" si="4"/>
        <v>24.197011654252247</v>
      </c>
      <c r="I13" s="56">
        <f t="shared" si="5"/>
        <v>7.7546930454570138</v>
      </c>
      <c r="J13" s="57">
        <f t="shared" si="0"/>
        <v>9.2120350601503139E-3</v>
      </c>
      <c r="K13" s="57">
        <f t="shared" si="1"/>
        <v>1.6577892761122103E-2</v>
      </c>
      <c r="L13" s="57">
        <f t="shared" si="2"/>
        <v>1.2440903727519659E-2</v>
      </c>
    </row>
    <row r="14" spans="1:17" x14ac:dyDescent="0.25">
      <c r="B14" s="318" t="s">
        <v>83</v>
      </c>
      <c r="C14" s="319">
        <v>92680</v>
      </c>
      <c r="D14" s="71">
        <v>23498</v>
      </c>
      <c r="E14" s="71">
        <v>12663</v>
      </c>
      <c r="F14" s="71">
        <v>7559</v>
      </c>
      <c r="G14" s="74">
        <f t="shared" si="3"/>
        <v>253.539059128183</v>
      </c>
      <c r="H14" s="74">
        <f t="shared" si="4"/>
        <v>136.63141993957703</v>
      </c>
      <c r="I14" s="74">
        <f t="shared" si="5"/>
        <v>81.560207164436775</v>
      </c>
      <c r="J14" s="75">
        <f t="shared" si="0"/>
        <v>6.5239421290962038E-2</v>
      </c>
      <c r="K14" s="75">
        <f t="shared" si="1"/>
        <v>4.2824532034697917E-2</v>
      </c>
      <c r="L14" s="75">
        <f t="shared" si="2"/>
        <v>5.9860465484609229E-2</v>
      </c>
    </row>
    <row r="15" spans="1:17" x14ac:dyDescent="0.25">
      <c r="B15" s="89" t="s">
        <v>84</v>
      </c>
      <c r="C15" s="316">
        <v>54735</v>
      </c>
      <c r="D15" s="53">
        <v>9106</v>
      </c>
      <c r="E15" s="53">
        <v>4904</v>
      </c>
      <c r="F15" s="53">
        <v>2443</v>
      </c>
      <c r="G15" s="56">
        <f t="shared" si="3"/>
        <v>166.36521421393988</v>
      </c>
      <c r="H15" s="56">
        <f t="shared" si="4"/>
        <v>89.595322919521337</v>
      </c>
      <c r="I15" s="56">
        <f t="shared" si="5"/>
        <v>44.633232849182427</v>
      </c>
      <c r="J15" s="57">
        <f t="shared" si="0"/>
        <v>2.5281733350731993E-2</v>
      </c>
      <c r="K15" s="57">
        <f t="shared" si="1"/>
        <v>1.658465648725883E-2</v>
      </c>
      <c r="L15" s="57">
        <f t="shared" si="2"/>
        <v>1.9346357610649605E-2</v>
      </c>
    </row>
    <row r="16" spans="1:17" x14ac:dyDescent="0.25">
      <c r="B16" s="318" t="s">
        <v>85</v>
      </c>
      <c r="C16" s="319">
        <v>45201</v>
      </c>
      <c r="D16" s="71">
        <v>5999</v>
      </c>
      <c r="E16" s="71">
        <v>4636</v>
      </c>
      <c r="F16" s="71">
        <v>4625</v>
      </c>
      <c r="G16" s="74">
        <f t="shared" si="3"/>
        <v>132.71830269241832</v>
      </c>
      <c r="H16" s="74">
        <f t="shared" si="4"/>
        <v>102.56410256410257</v>
      </c>
      <c r="I16" s="74">
        <f t="shared" si="5"/>
        <v>102.32074511625849</v>
      </c>
      <c r="J16" s="75">
        <f t="shared" si="0"/>
        <v>1.6655514866136749E-2</v>
      </c>
      <c r="K16" s="75">
        <f t="shared" si="1"/>
        <v>1.5678317184937181E-2</v>
      </c>
      <c r="L16" s="75">
        <f t="shared" si="2"/>
        <v>3.6625830515454122E-2</v>
      </c>
    </row>
    <row r="17" spans="1:17" x14ac:dyDescent="0.25">
      <c r="B17" s="315" t="s">
        <v>20</v>
      </c>
      <c r="C17" s="316">
        <v>71608</v>
      </c>
      <c r="D17" s="53">
        <v>2970</v>
      </c>
      <c r="E17" s="53">
        <v>3499</v>
      </c>
      <c r="F17" s="53">
        <v>4260</v>
      </c>
      <c r="G17" s="56">
        <f t="shared" si="3"/>
        <v>41.475812758351019</v>
      </c>
      <c r="H17" s="56">
        <f t="shared" si="4"/>
        <v>48.863255502178525</v>
      </c>
      <c r="I17" s="56">
        <f t="shared" si="5"/>
        <v>59.490559713998437</v>
      </c>
      <c r="J17" s="57">
        <f t="shared" si="0"/>
        <v>8.2458541677656507E-3</v>
      </c>
      <c r="K17" s="57">
        <f t="shared" si="1"/>
        <v>1.1833138876206902E-2</v>
      </c>
      <c r="L17" s="57">
        <f t="shared" si="2"/>
        <v>3.3735359566666928E-2</v>
      </c>
    </row>
    <row r="18" spans="1:17" x14ac:dyDescent="0.25">
      <c r="B18" s="318" t="s">
        <v>47</v>
      </c>
      <c r="C18" s="319">
        <v>1671799</v>
      </c>
      <c r="D18" s="320">
        <v>887</v>
      </c>
      <c r="E18" s="71">
        <v>1334</v>
      </c>
      <c r="F18" s="320">
        <v>404</v>
      </c>
      <c r="G18" s="74">
        <f t="shared" si="3"/>
        <v>0.53056617452217636</v>
      </c>
      <c r="H18" s="74">
        <f t="shared" si="4"/>
        <v>0.79794281489580987</v>
      </c>
      <c r="I18" s="74">
        <f t="shared" si="5"/>
        <v>0.24165584499093493</v>
      </c>
      <c r="J18" s="75">
        <f t="shared" si="0"/>
        <v>2.462650722831021E-3</v>
      </c>
      <c r="K18" s="75">
        <f t="shared" si="1"/>
        <v>4.511405333198059E-3</v>
      </c>
      <c r="L18" s="75">
        <f t="shared" si="2"/>
        <v>3.1993157898904789E-3</v>
      </c>
    </row>
    <row r="19" spans="1:17" x14ac:dyDescent="0.25">
      <c r="B19" s="315" t="s">
        <v>46</v>
      </c>
      <c r="C19" s="316">
        <v>3501</v>
      </c>
      <c r="D19" s="317">
        <v>258</v>
      </c>
      <c r="E19" s="317">
        <v>266</v>
      </c>
      <c r="F19" s="317">
        <v>264</v>
      </c>
      <c r="G19" s="56">
        <f t="shared" si="3"/>
        <v>73.693230505569844</v>
      </c>
      <c r="H19" s="56">
        <f t="shared" si="4"/>
        <v>75.978291916595253</v>
      </c>
      <c r="I19" s="56">
        <f t="shared" si="5"/>
        <v>75.407026563838897</v>
      </c>
      <c r="J19" s="57">
        <f t="shared" si="0"/>
        <v>7.1630652366449089E-4</v>
      </c>
      <c r="K19" s="57">
        <f t="shared" si="1"/>
        <v>8.9957557618492031E-4</v>
      </c>
      <c r="L19" s="57">
        <f t="shared" si="2"/>
        <v>2.0906420013145702E-3</v>
      </c>
    </row>
    <row r="20" spans="1:17" x14ac:dyDescent="0.25">
      <c r="B20" s="318" t="s">
        <v>12</v>
      </c>
      <c r="C20" s="319">
        <v>198216</v>
      </c>
      <c r="D20" s="71">
        <v>1309</v>
      </c>
      <c r="E20" s="71">
        <v>1036</v>
      </c>
      <c r="F20" s="320">
        <v>402</v>
      </c>
      <c r="G20" s="74">
        <f t="shared" si="3"/>
        <v>6.6039068490939181</v>
      </c>
      <c r="H20" s="74">
        <f t="shared" si="4"/>
        <v>5.22662146345401</v>
      </c>
      <c r="I20" s="74">
        <f t="shared" si="5"/>
        <v>2.0280905678653589</v>
      </c>
      <c r="J20" s="75">
        <f t="shared" si="0"/>
        <v>3.6342838739411572E-3</v>
      </c>
      <c r="K20" s="75">
        <f t="shared" si="1"/>
        <v>3.5036101388254788E-3</v>
      </c>
      <c r="L20" s="75">
        <f t="shared" si="2"/>
        <v>3.183477592910823E-3</v>
      </c>
    </row>
    <row r="21" spans="1:17" s="7" customFormat="1" ht="6" customHeight="1" thickBot="1" x14ac:dyDescent="0.3">
      <c r="B21" s="89"/>
      <c r="C21" s="99"/>
      <c r="D21" s="99"/>
      <c r="E21" s="93"/>
      <c r="F21" s="92"/>
      <c r="G21" s="100"/>
      <c r="H21" s="84"/>
      <c r="I21" s="101"/>
      <c r="J21" s="85"/>
      <c r="K21" s="85"/>
      <c r="L21" s="85"/>
    </row>
    <row r="22" spans="1:17" s="12" customFormat="1" ht="24.95" customHeight="1" thickTop="1" thickBot="1" x14ac:dyDescent="0.3">
      <c r="A22" s="13"/>
      <c r="B22" s="90" t="s">
        <v>13</v>
      </c>
      <c r="C22" s="63">
        <f>SUM(C11:C20)</f>
        <v>11655671</v>
      </c>
      <c r="D22" s="63">
        <f>SUM(D11:D20)</f>
        <v>360181</v>
      </c>
      <c r="E22" s="62">
        <f>SUM(E11:E20)</f>
        <v>295695</v>
      </c>
      <c r="F22" s="102">
        <f>SUM(F11:F20)</f>
        <v>126277</v>
      </c>
      <c r="G22" s="94"/>
      <c r="H22" s="94"/>
      <c r="I22" s="94"/>
      <c r="J22" s="95">
        <f>SUM(J11:J20)</f>
        <v>1</v>
      </c>
      <c r="K22" s="64">
        <f>SUM(K11:K20)</f>
        <v>0.99999999999999989</v>
      </c>
      <c r="L22" s="65">
        <f>SUM(L11:L20)</f>
        <v>1</v>
      </c>
      <c r="M22" s="13"/>
      <c r="N22" s="13"/>
      <c r="O22" s="13"/>
      <c r="P22" s="13"/>
      <c r="Q22" s="13"/>
    </row>
    <row r="23" spans="1:17" ht="15.75" thickTop="1" x14ac:dyDescent="0.25">
      <c r="B23" s="15"/>
    </row>
    <row r="24" spans="1:17" x14ac:dyDescent="0.25">
      <c r="B24" s="15"/>
    </row>
    <row r="25" spans="1:17" x14ac:dyDescent="0.25">
      <c r="B25" s="66" t="s">
        <v>396</v>
      </c>
      <c r="C25" s="67"/>
      <c r="D25" s="67"/>
      <c r="E25" s="67"/>
      <c r="F25" s="67"/>
    </row>
    <row r="26" spans="1:17" x14ac:dyDescent="0.25">
      <c r="A26" s="21"/>
      <c r="B26" s="67" t="s">
        <v>107</v>
      </c>
      <c r="C26" s="68"/>
      <c r="D26" s="68"/>
      <c r="E26" s="68"/>
      <c r="F26" s="68"/>
      <c r="G26" s="87"/>
      <c r="H26" s="88"/>
      <c r="I26"/>
      <c r="J26"/>
      <c r="K26"/>
      <c r="L26"/>
      <c r="M26"/>
      <c r="N26"/>
      <c r="O26"/>
      <c r="P26"/>
      <c r="Q26"/>
    </row>
    <row r="27" spans="1:17" ht="14.45" customHeight="1" x14ac:dyDescent="0.25">
      <c r="A27" s="21"/>
      <c r="B27" s="67"/>
      <c r="C27" s="68"/>
      <c r="D27" s="68"/>
      <c r="E27" s="68"/>
      <c r="F27" s="68"/>
      <c r="G27" s="87"/>
      <c r="H27" s="88"/>
      <c r="I27"/>
      <c r="J27"/>
      <c r="K27"/>
      <c r="L27"/>
      <c r="M27"/>
      <c r="N27"/>
      <c r="O27"/>
      <c r="P27"/>
      <c r="Q27"/>
    </row>
    <row r="28" spans="1:17" x14ac:dyDescent="0.25">
      <c r="A28"/>
      <c r="B28" s="79" t="s">
        <v>397</v>
      </c>
      <c r="C28" s="68"/>
      <c r="D28" s="68"/>
      <c r="E28" s="68"/>
      <c r="F28" s="68"/>
      <c r="G28" s="88"/>
      <c r="H28" s="88"/>
      <c r="I28"/>
      <c r="J28"/>
      <c r="K28"/>
      <c r="L28"/>
      <c r="M28"/>
      <c r="N28"/>
      <c r="O28"/>
      <c r="P28"/>
      <c r="Q28"/>
    </row>
    <row r="29" spans="1:17" x14ac:dyDescent="0.25">
      <c r="A29" s="21"/>
      <c r="B29" s="69" t="s">
        <v>105</v>
      </c>
      <c r="C29" s="68"/>
      <c r="D29" s="68"/>
      <c r="E29" s="68"/>
      <c r="F29" s="68"/>
      <c r="G29" s="88"/>
      <c r="H29" s="88"/>
      <c r="I29"/>
      <c r="J29"/>
      <c r="K29"/>
      <c r="L29"/>
      <c r="M29"/>
      <c r="N29"/>
      <c r="O29"/>
      <c r="P29"/>
      <c r="Q29"/>
    </row>
    <row r="30" spans="1:17" ht="31.15" customHeight="1" x14ac:dyDescent="0.25">
      <c r="B30" s="623" t="s">
        <v>106</v>
      </c>
      <c r="C30" s="623"/>
      <c r="D30" s="623"/>
      <c r="E30" s="623"/>
      <c r="F30" s="623"/>
      <c r="G30" s="623"/>
      <c r="H30" s="623"/>
      <c r="I30" s="623"/>
      <c r="J30" s="623"/>
      <c r="K30" s="623"/>
      <c r="L30" s="623"/>
    </row>
    <row r="31" spans="1:17" ht="14.45" customHeight="1" x14ac:dyDescent="0.25">
      <c r="B31" s="623" t="s">
        <v>382</v>
      </c>
      <c r="C31" s="623"/>
      <c r="D31" s="623"/>
      <c r="E31" s="623"/>
      <c r="F31" s="623"/>
      <c r="G31" s="623"/>
      <c r="H31" s="623"/>
      <c r="I31" s="623"/>
      <c r="J31" s="623"/>
      <c r="K31" s="623"/>
      <c r="L31" s="623"/>
    </row>
    <row r="32" spans="1:17" ht="14.45" customHeight="1" x14ac:dyDescent="0.25">
      <c r="B32" s="69"/>
      <c r="C32" s="67"/>
      <c r="D32" s="67"/>
      <c r="E32" s="67"/>
      <c r="F32" s="67"/>
      <c r="G32" s="87"/>
      <c r="H32" s="87"/>
    </row>
    <row r="33" spans="2:2" x14ac:dyDescent="0.25">
      <c r="B33" s="66" t="s">
        <v>398</v>
      </c>
    </row>
  </sheetData>
  <mergeCells count="10">
    <mergeCell ref="B30:L30"/>
    <mergeCell ref="B31:L31"/>
    <mergeCell ref="C6:C7"/>
    <mergeCell ref="D6:F6"/>
    <mergeCell ref="G6:I6"/>
    <mergeCell ref="J6:L6"/>
    <mergeCell ref="B7:B8"/>
    <mergeCell ref="D7:F7"/>
    <mergeCell ref="G7:I7"/>
    <mergeCell ref="J7:L7"/>
  </mergeCells>
  <hyperlinks>
    <hyperlink ref="B1" location="Start!A1" display="Back to home page" xr:uid="{F147E115-65BF-464B-B289-1DC5269AF770}"/>
  </hyperlinks>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8C3B5-CB67-4DDE-B326-103149735D09}">
  <sheetPr>
    <tabColor rgb="FF92D050"/>
    <pageSetUpPr fitToPage="1"/>
  </sheetPr>
  <dimension ref="A1:BM5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32" width="12.7109375" style="7" customWidth="1"/>
    <col min="33" max="65" width="8.7109375" style="7"/>
  </cols>
  <sheetData>
    <row r="1" spans="1:65" x14ac:dyDescent="0.25">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25">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25">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25">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75" thickBot="1" x14ac:dyDescent="0.3">
      <c r="C5" s="21"/>
    </row>
    <row r="6" spans="1:65" ht="30" customHeight="1" thickTop="1" x14ac:dyDescent="0.25">
      <c r="B6" s="105" t="s">
        <v>387</v>
      </c>
      <c r="C6" s="615" t="s">
        <v>400</v>
      </c>
      <c r="D6" s="616"/>
      <c r="E6" s="617"/>
      <c r="F6" s="615" t="s">
        <v>389</v>
      </c>
      <c r="G6" s="616"/>
      <c r="H6" s="616"/>
      <c r="I6" s="616"/>
      <c r="J6" s="616"/>
      <c r="K6" s="616"/>
      <c r="L6" s="616"/>
      <c r="M6" s="616"/>
      <c r="N6" s="617"/>
      <c r="O6" s="615" t="s">
        <v>392</v>
      </c>
      <c r="P6" s="616"/>
      <c r="Q6" s="616"/>
      <c r="R6" s="616"/>
      <c r="S6" s="616"/>
      <c r="T6" s="616"/>
      <c r="U6" s="616"/>
      <c r="V6" s="616"/>
      <c r="W6" s="617"/>
      <c r="X6" s="615" t="s">
        <v>399</v>
      </c>
      <c r="Y6" s="616"/>
      <c r="Z6" s="616"/>
      <c r="AA6" s="616"/>
      <c r="AB6" s="616"/>
      <c r="AC6" s="616"/>
      <c r="AD6" s="616"/>
      <c r="AE6" s="616"/>
      <c r="AF6" s="617"/>
    </row>
    <row r="7" spans="1:65" ht="25.15" customHeight="1" thickBot="1" x14ac:dyDescent="0.3">
      <c r="B7" s="583" t="s">
        <v>345</v>
      </c>
      <c r="C7" s="599" t="s">
        <v>405</v>
      </c>
      <c r="D7" s="600"/>
      <c r="E7" s="601"/>
      <c r="F7" s="599" t="s">
        <v>14</v>
      </c>
      <c r="G7" s="600"/>
      <c r="H7" s="600"/>
      <c r="I7" s="600"/>
      <c r="J7" s="600"/>
      <c r="K7" s="600"/>
      <c r="L7" s="600"/>
      <c r="M7" s="600"/>
      <c r="N7" s="601"/>
      <c r="O7" s="599" t="s">
        <v>415</v>
      </c>
      <c r="P7" s="600"/>
      <c r="Q7" s="600"/>
      <c r="R7" s="600"/>
      <c r="S7" s="600"/>
      <c r="T7" s="600"/>
      <c r="U7" s="600"/>
      <c r="V7" s="600"/>
      <c r="W7" s="601"/>
      <c r="X7" s="605" t="s">
        <v>0</v>
      </c>
      <c r="Y7" s="606"/>
      <c r="Z7" s="606"/>
      <c r="AA7" s="606"/>
      <c r="AB7" s="606"/>
      <c r="AC7" s="606"/>
      <c r="AD7" s="606"/>
      <c r="AE7" s="606"/>
      <c r="AF7" s="607"/>
    </row>
    <row r="8" spans="1:65" ht="34.15" customHeight="1" thickTop="1" thickBot="1" x14ac:dyDescent="0.3">
      <c r="A8" s="13"/>
      <c r="B8" s="584"/>
      <c r="C8" s="602"/>
      <c r="D8" s="603"/>
      <c r="E8" s="604"/>
      <c r="F8" s="608" t="s">
        <v>388</v>
      </c>
      <c r="G8" s="609"/>
      <c r="H8" s="610"/>
      <c r="I8" s="608" t="s">
        <v>401</v>
      </c>
      <c r="J8" s="609"/>
      <c r="K8" s="610"/>
      <c r="L8" s="608" t="s">
        <v>402</v>
      </c>
      <c r="M8" s="609"/>
      <c r="N8" s="610"/>
      <c r="O8" s="612" t="s">
        <v>388</v>
      </c>
      <c r="P8" s="613"/>
      <c r="Q8" s="614"/>
      <c r="R8" s="612" t="s">
        <v>401</v>
      </c>
      <c r="S8" s="613"/>
      <c r="T8" s="614"/>
      <c r="U8" s="612" t="s">
        <v>402</v>
      </c>
      <c r="V8" s="613"/>
      <c r="W8" s="614"/>
      <c r="X8" s="608" t="s">
        <v>388</v>
      </c>
      <c r="Y8" s="609"/>
      <c r="Z8" s="610"/>
      <c r="AA8" s="608" t="s">
        <v>401</v>
      </c>
      <c r="AB8" s="609"/>
      <c r="AC8" s="610"/>
      <c r="AD8" s="608" t="s">
        <v>402</v>
      </c>
      <c r="AE8" s="609"/>
      <c r="AF8" s="611"/>
      <c r="AG8" s="13"/>
      <c r="AH8" s="13"/>
      <c r="AI8" s="13"/>
      <c r="AJ8" s="13"/>
      <c r="AK8" s="13"/>
      <c r="AL8" s="13"/>
      <c r="AM8" s="13"/>
    </row>
    <row r="9" spans="1:65" ht="34.15" customHeight="1" thickTop="1" thickBot="1" x14ac:dyDescent="0.3">
      <c r="B9" s="106" t="s">
        <v>393</v>
      </c>
      <c r="C9" s="51" t="s">
        <v>23</v>
      </c>
      <c r="D9" s="107" t="s">
        <v>334</v>
      </c>
      <c r="E9" s="51" t="s">
        <v>15</v>
      </c>
      <c r="F9" s="50" t="s">
        <v>23</v>
      </c>
      <c r="G9" s="107" t="s">
        <v>334</v>
      </c>
      <c r="H9" s="52" t="s">
        <v>15</v>
      </c>
      <c r="I9" s="51" t="s">
        <v>23</v>
      </c>
      <c r="J9" s="107" t="s">
        <v>334</v>
      </c>
      <c r="K9" s="51" t="s">
        <v>15</v>
      </c>
      <c r="L9" s="50" t="s">
        <v>23</v>
      </c>
      <c r="M9" s="107" t="s">
        <v>334</v>
      </c>
      <c r="N9" s="51" t="s">
        <v>15</v>
      </c>
      <c r="O9" s="50" t="s">
        <v>23</v>
      </c>
      <c r="P9" s="107" t="s">
        <v>334</v>
      </c>
      <c r="Q9" s="51" t="s">
        <v>15</v>
      </c>
      <c r="R9" s="108" t="s">
        <v>23</v>
      </c>
      <c r="S9" s="107" t="s">
        <v>334</v>
      </c>
      <c r="T9" s="109" t="s">
        <v>15</v>
      </c>
      <c r="U9" s="108" t="s">
        <v>23</v>
      </c>
      <c r="V9" s="107" t="s">
        <v>334</v>
      </c>
      <c r="W9" s="109" t="s">
        <v>15</v>
      </c>
      <c r="X9" s="108" t="s">
        <v>23</v>
      </c>
      <c r="Y9" s="107" t="s">
        <v>334</v>
      </c>
      <c r="Z9" s="109" t="s">
        <v>15</v>
      </c>
      <c r="AA9" s="108" t="s">
        <v>23</v>
      </c>
      <c r="AB9" s="107" t="s">
        <v>334</v>
      </c>
      <c r="AC9" s="109" t="s">
        <v>15</v>
      </c>
      <c r="AD9" s="108" t="s">
        <v>23</v>
      </c>
      <c r="AE9" s="107" t="s">
        <v>334</v>
      </c>
      <c r="AF9" s="110" t="s">
        <v>15</v>
      </c>
    </row>
    <row r="10" spans="1:65" ht="6" customHeight="1" thickTop="1" x14ac:dyDescent="0.25">
      <c r="B10" s="111"/>
      <c r="C10" s="112"/>
      <c r="D10" s="113"/>
      <c r="E10" s="219"/>
      <c r="F10" s="23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25">
      <c r="B11" s="89" t="s">
        <v>346</v>
      </c>
      <c r="C11" s="220">
        <v>3121562</v>
      </c>
      <c r="D11" s="122">
        <v>4935500</v>
      </c>
      <c r="E11" s="221">
        <v>5627700</v>
      </c>
      <c r="F11" s="321">
        <v>15064</v>
      </c>
      <c r="G11" s="122">
        <v>22234</v>
      </c>
      <c r="H11" s="221">
        <v>32674</v>
      </c>
      <c r="I11" s="321">
        <v>2470</v>
      </c>
      <c r="J11" s="122">
        <v>5348</v>
      </c>
      <c r="K11" s="221">
        <v>7563</v>
      </c>
      <c r="L11" s="321">
        <v>2470</v>
      </c>
      <c r="M11" s="122">
        <v>5348</v>
      </c>
      <c r="N11" s="221">
        <v>7563</v>
      </c>
      <c r="O11" s="124">
        <f>IFERROR(F11*1000/C11,"-")</f>
        <v>4.8257891401804613</v>
      </c>
      <c r="P11" s="125">
        <f t="shared" ref="P11:Q22" si="0">IFERROR(G11*1000/D11,"-")</f>
        <v>4.5049133826360048</v>
      </c>
      <c r="Q11" s="126">
        <f t="shared" si="0"/>
        <v>5.8059242674627294</v>
      </c>
      <c r="R11" s="127">
        <f>IFERROR(I11*1000/C11,"-")</f>
        <v>0.79127052417988175</v>
      </c>
      <c r="S11" s="128">
        <f t="shared" ref="S11:T22" si="1">IFERROR(J11*1000/D11,"-")</f>
        <v>1.0835781582413129</v>
      </c>
      <c r="T11" s="129">
        <f t="shared" si="1"/>
        <v>1.3438882669651901</v>
      </c>
      <c r="U11" s="127">
        <f>IFERROR(L11*1000/C11,"-")</f>
        <v>0.79127052417988175</v>
      </c>
      <c r="V11" s="128">
        <f t="shared" ref="V11:W22" si="2">IFERROR(M11*1000/D11,"-")</f>
        <v>1.0835781582413129</v>
      </c>
      <c r="W11" s="129">
        <f t="shared" si="2"/>
        <v>1.3438882669651901</v>
      </c>
      <c r="X11" s="130">
        <f t="shared" ref="X11:X22" si="3">IFERROR(F11/F$24,"-")</f>
        <v>8.3824871458143213E-2</v>
      </c>
      <c r="Y11" s="131">
        <f t="shared" ref="Y11:Y22" si="4">IFERROR(G11/G$24,"-")</f>
        <v>9.0664796336545242E-2</v>
      </c>
      <c r="Z11" s="132">
        <f t="shared" ref="Z11:Z22" si="5">IFERROR(H11/H$24,"-")</f>
        <v>9.2836786939090948E-2</v>
      </c>
      <c r="AA11" s="130">
        <f t="shared" ref="AA11:AA22" si="6">IFERROR(I11/I$24,"-")</f>
        <v>7.5231481481481483E-2</v>
      </c>
      <c r="AB11" s="131">
        <f t="shared" ref="AB11:AB22" si="7">IFERROR(J11/J$24,"-")</f>
        <v>8.5780736225840079E-2</v>
      </c>
      <c r="AC11" s="132">
        <f t="shared" ref="AC11:AC22" si="8">IFERROR(K11/K$24,"-")</f>
        <v>8.8625098140314287E-2</v>
      </c>
      <c r="AD11" s="130">
        <f t="shared" ref="AD11:AD22" si="9">IFERROR(L11/L$24,"-")</f>
        <v>8.357017187711463E-2</v>
      </c>
      <c r="AE11" s="131">
        <f t="shared" ref="AE11:AE22" si="10">IFERROR(M11/M$24,"-")</f>
        <v>9.0376003379805656E-2</v>
      </c>
      <c r="AF11" s="133">
        <f t="shared" ref="AF11:AF22" si="11">IFERROR(N11/N$24,"-")</f>
        <v>9.2059936946916124E-2</v>
      </c>
    </row>
    <row r="12" spans="1:65" x14ac:dyDescent="0.25">
      <c r="B12" s="103" t="s">
        <v>67</v>
      </c>
      <c r="C12" s="230">
        <v>6771189</v>
      </c>
      <c r="D12" s="135">
        <v>7312078</v>
      </c>
      <c r="E12" s="231">
        <v>6540000</v>
      </c>
      <c r="F12" s="325">
        <v>31794</v>
      </c>
      <c r="G12" s="135">
        <v>36398</v>
      </c>
      <c r="H12" s="231">
        <v>54731</v>
      </c>
      <c r="I12" s="325">
        <v>5213</v>
      </c>
      <c r="J12" s="135">
        <v>8749</v>
      </c>
      <c r="K12" s="231">
        <v>12691</v>
      </c>
      <c r="L12" s="325">
        <v>5213</v>
      </c>
      <c r="M12" s="135">
        <v>8749</v>
      </c>
      <c r="N12" s="231">
        <v>12691</v>
      </c>
      <c r="O12" s="137">
        <f t="shared" ref="O12:O22" si="12">IFERROR(F12*1000/C12,"-")</f>
        <v>4.6954825806811771</v>
      </c>
      <c r="P12" s="138">
        <f t="shared" si="0"/>
        <v>4.9777915388758158</v>
      </c>
      <c r="Q12" s="139">
        <f t="shared" si="0"/>
        <v>8.3686544342507645</v>
      </c>
      <c r="R12" s="140">
        <f t="shared" ref="R12:R22" si="13">IFERROR(I12*1000/C12,"-")</f>
        <v>0.76987955881899028</v>
      </c>
      <c r="S12" s="141">
        <f t="shared" si="1"/>
        <v>1.1965134945223506</v>
      </c>
      <c r="T12" s="142">
        <f t="shared" si="1"/>
        <v>1.940519877675841</v>
      </c>
      <c r="U12" s="140">
        <f t="shared" ref="U12:U22" si="14">IFERROR(L12*1000/C12,"-")</f>
        <v>0.76987955881899028</v>
      </c>
      <c r="V12" s="141">
        <f t="shared" si="2"/>
        <v>1.1965134945223506</v>
      </c>
      <c r="W12" s="142">
        <f t="shared" si="2"/>
        <v>1.940519877675841</v>
      </c>
      <c r="X12" s="143">
        <f t="shared" si="3"/>
        <v>0.17692033743628552</v>
      </c>
      <c r="Y12" s="144">
        <f t="shared" si="4"/>
        <v>0.14842211284778151</v>
      </c>
      <c r="Z12" s="145">
        <f t="shared" si="5"/>
        <v>0.15550744279743486</v>
      </c>
      <c r="AA12" s="143">
        <f t="shared" si="6"/>
        <v>0.15877802144249512</v>
      </c>
      <c r="AB12" s="144">
        <f t="shared" si="7"/>
        <v>0.14033202341807682</v>
      </c>
      <c r="AC12" s="145">
        <f t="shared" si="8"/>
        <v>0.14871626609794111</v>
      </c>
      <c r="AD12" s="143">
        <f t="shared" si="9"/>
        <v>0.17637704696169981</v>
      </c>
      <c r="AE12" s="144">
        <f t="shared" si="10"/>
        <v>0.14784959864807773</v>
      </c>
      <c r="AF12" s="146">
        <f t="shared" si="11"/>
        <v>0.15448005550618968</v>
      </c>
    </row>
    <row r="13" spans="1:65" x14ac:dyDescent="0.25">
      <c r="B13" s="89" t="s">
        <v>347</v>
      </c>
      <c r="C13" s="220">
        <v>609333</v>
      </c>
      <c r="D13" s="122">
        <v>1070580</v>
      </c>
      <c r="E13" s="221">
        <v>1119660</v>
      </c>
      <c r="F13" s="321">
        <v>4948</v>
      </c>
      <c r="G13" s="122">
        <v>9086</v>
      </c>
      <c r="H13" s="221">
        <v>13018</v>
      </c>
      <c r="I13" s="321">
        <v>1146</v>
      </c>
      <c r="J13" s="122">
        <v>2555</v>
      </c>
      <c r="K13" s="221">
        <v>3388</v>
      </c>
      <c r="L13" s="321">
        <v>811</v>
      </c>
      <c r="M13" s="122">
        <v>2182</v>
      </c>
      <c r="N13" s="221">
        <v>3021</v>
      </c>
      <c r="O13" s="124">
        <f t="shared" si="12"/>
        <v>8.1203545516162752</v>
      </c>
      <c r="P13" s="125">
        <f t="shared" si="0"/>
        <v>8.486988361448935</v>
      </c>
      <c r="Q13" s="126">
        <f t="shared" si="0"/>
        <v>11.626743832949288</v>
      </c>
      <c r="R13" s="127">
        <f t="shared" si="13"/>
        <v>1.8807450113484745</v>
      </c>
      <c r="S13" s="128">
        <f t="shared" si="1"/>
        <v>2.3865568196678435</v>
      </c>
      <c r="T13" s="129">
        <f t="shared" si="1"/>
        <v>3.025918582426808</v>
      </c>
      <c r="U13" s="127">
        <f t="shared" si="14"/>
        <v>1.330963528973484</v>
      </c>
      <c r="V13" s="128">
        <f t="shared" si="2"/>
        <v>2.0381475461899159</v>
      </c>
      <c r="W13" s="129">
        <f t="shared" si="2"/>
        <v>2.6981405069396067</v>
      </c>
      <c r="X13" s="130">
        <f t="shared" si="3"/>
        <v>2.7533554432746455E-2</v>
      </c>
      <c r="Y13" s="131">
        <f t="shared" si="4"/>
        <v>3.7050478524505263E-2</v>
      </c>
      <c r="Z13" s="132">
        <f t="shared" si="5"/>
        <v>3.6988103457583583E-2</v>
      </c>
      <c r="AA13" s="130">
        <f t="shared" si="6"/>
        <v>3.4904970760233918E-2</v>
      </c>
      <c r="AB13" s="131">
        <f t="shared" si="7"/>
        <v>4.0981634453444542E-2</v>
      </c>
      <c r="AC13" s="132">
        <f t="shared" si="8"/>
        <v>3.9701419079648921E-2</v>
      </c>
      <c r="AD13" s="130">
        <f t="shared" si="9"/>
        <v>2.7439437000947354E-2</v>
      </c>
      <c r="AE13" s="131">
        <f t="shared" si="10"/>
        <v>3.6873679763413603E-2</v>
      </c>
      <c r="AF13" s="133">
        <f t="shared" si="11"/>
        <v>3.6772850656701522E-2</v>
      </c>
    </row>
    <row r="14" spans="1:65" x14ac:dyDescent="0.25">
      <c r="B14" s="103" t="s">
        <v>329</v>
      </c>
      <c r="C14" s="230">
        <v>1591803</v>
      </c>
      <c r="D14" s="135">
        <v>1737835</v>
      </c>
      <c r="E14" s="231">
        <v>1800069</v>
      </c>
      <c r="F14" s="325">
        <v>12524</v>
      </c>
      <c r="G14" s="135">
        <v>14530</v>
      </c>
      <c r="H14" s="231">
        <v>20339</v>
      </c>
      <c r="I14" s="325">
        <v>2054</v>
      </c>
      <c r="J14" s="135">
        <v>3494</v>
      </c>
      <c r="K14" s="231">
        <v>4657</v>
      </c>
      <c r="L14" s="325">
        <v>2053</v>
      </c>
      <c r="M14" s="135">
        <v>3494</v>
      </c>
      <c r="N14" s="231">
        <v>4657</v>
      </c>
      <c r="O14" s="137">
        <f t="shared" si="12"/>
        <v>7.867807762643996</v>
      </c>
      <c r="P14" s="138">
        <f t="shared" si="0"/>
        <v>8.3609778834008974</v>
      </c>
      <c r="Q14" s="139">
        <f t="shared" si="0"/>
        <v>11.299011315677344</v>
      </c>
      <c r="R14" s="140">
        <f t="shared" si="13"/>
        <v>1.290360679053878</v>
      </c>
      <c r="S14" s="141">
        <f t="shared" si="1"/>
        <v>2.0105476066485024</v>
      </c>
      <c r="T14" s="142">
        <f t="shared" si="1"/>
        <v>2.5871230491720039</v>
      </c>
      <c r="U14" s="140">
        <f t="shared" si="14"/>
        <v>1.2897324606122742</v>
      </c>
      <c r="V14" s="141">
        <f t="shared" si="2"/>
        <v>2.0105476066485024</v>
      </c>
      <c r="W14" s="142">
        <f t="shared" si="2"/>
        <v>2.5871230491720039</v>
      </c>
      <c r="X14" s="143">
        <f t="shared" si="3"/>
        <v>6.9690831793798827E-2</v>
      </c>
      <c r="Y14" s="144">
        <f t="shared" si="4"/>
        <v>5.9249774704056957E-2</v>
      </c>
      <c r="Z14" s="145">
        <f t="shared" si="5"/>
        <v>5.7789294532477532E-2</v>
      </c>
      <c r="AA14" s="143">
        <f t="shared" si="6"/>
        <v>6.2560916179337234E-2</v>
      </c>
      <c r="AB14" s="144">
        <f t="shared" si="7"/>
        <v>5.6042986606784827E-2</v>
      </c>
      <c r="AC14" s="145">
        <f t="shared" si="8"/>
        <v>5.4571873864794875E-2</v>
      </c>
      <c r="AD14" s="143">
        <f t="shared" si="9"/>
        <v>6.9461361483285966E-2</v>
      </c>
      <c r="AE14" s="144">
        <f t="shared" si="10"/>
        <v>5.9045204900718205E-2</v>
      </c>
      <c r="AF14" s="146">
        <f t="shared" si="11"/>
        <v>5.6686913441992379E-2</v>
      </c>
    </row>
    <row r="15" spans="1:65" x14ac:dyDescent="0.25">
      <c r="B15" s="89" t="s">
        <v>229</v>
      </c>
      <c r="C15" s="220">
        <v>6216434</v>
      </c>
      <c r="D15" s="122">
        <v>6237211</v>
      </c>
      <c r="E15" s="221">
        <v>6429092</v>
      </c>
      <c r="F15" s="321">
        <v>13984</v>
      </c>
      <c r="G15" s="122">
        <v>25386</v>
      </c>
      <c r="H15" s="221">
        <v>37282</v>
      </c>
      <c r="I15" s="321">
        <v>3209</v>
      </c>
      <c r="J15" s="122">
        <v>7206</v>
      </c>
      <c r="K15" s="221">
        <v>9878</v>
      </c>
      <c r="L15" s="321">
        <v>2441</v>
      </c>
      <c r="M15" s="122">
        <v>6290</v>
      </c>
      <c r="N15" s="221">
        <v>8975</v>
      </c>
      <c r="O15" s="124">
        <f t="shared" si="12"/>
        <v>2.2495211885141866</v>
      </c>
      <c r="P15" s="125">
        <f t="shared" si="0"/>
        <v>4.0700883776418655</v>
      </c>
      <c r="Q15" s="126">
        <f t="shared" si="0"/>
        <v>5.7989526359243264</v>
      </c>
      <c r="R15" s="127">
        <f t="shared" si="13"/>
        <v>0.51621234939516769</v>
      </c>
      <c r="S15" s="128">
        <f t="shared" si="1"/>
        <v>1.1553240703256631</v>
      </c>
      <c r="T15" s="129">
        <f t="shared" si="1"/>
        <v>1.5364533591990905</v>
      </c>
      <c r="U15" s="127">
        <f t="shared" si="14"/>
        <v>0.39266885162779819</v>
      </c>
      <c r="V15" s="128">
        <f t="shared" si="2"/>
        <v>1.0084635584718875</v>
      </c>
      <c r="W15" s="129">
        <f t="shared" si="2"/>
        <v>1.395998066289921</v>
      </c>
      <c r="X15" s="130">
        <f t="shared" si="3"/>
        <v>7.7815122309524337E-2</v>
      </c>
      <c r="Y15" s="131">
        <f t="shared" si="4"/>
        <v>0.10351787891515415</v>
      </c>
      <c r="Z15" s="132">
        <f t="shared" si="5"/>
        <v>0.10592951859775934</v>
      </c>
      <c r="AA15" s="130">
        <f t="shared" si="6"/>
        <v>9.7740009746588696E-2</v>
      </c>
      <c r="AB15" s="131">
        <f t="shared" si="7"/>
        <v>0.11558264495949956</v>
      </c>
      <c r="AC15" s="132">
        <f t="shared" si="8"/>
        <v>0.11575283874521017</v>
      </c>
      <c r="AD15" s="130">
        <f t="shared" si="9"/>
        <v>8.2588983624306403E-2</v>
      </c>
      <c r="AE15" s="131">
        <f t="shared" si="10"/>
        <v>0.10629488804393747</v>
      </c>
      <c r="AF15" s="133">
        <f t="shared" si="11"/>
        <v>0.10924737988874417</v>
      </c>
    </row>
    <row r="16" spans="1:65" x14ac:dyDescent="0.25">
      <c r="B16" s="103" t="s">
        <v>348</v>
      </c>
      <c r="C16" s="230">
        <v>5389870</v>
      </c>
      <c r="D16" s="135">
        <v>6080280</v>
      </c>
      <c r="E16" s="231">
        <v>6446110</v>
      </c>
      <c r="F16" s="325">
        <v>7915</v>
      </c>
      <c r="G16" s="135">
        <v>11832</v>
      </c>
      <c r="H16" s="231">
        <v>17690</v>
      </c>
      <c r="I16" s="325">
        <v>1737</v>
      </c>
      <c r="J16" s="135">
        <v>3301</v>
      </c>
      <c r="K16" s="231">
        <v>4690</v>
      </c>
      <c r="L16" s="325">
        <v>1425</v>
      </c>
      <c r="M16" s="135">
        <v>2995</v>
      </c>
      <c r="N16" s="231">
        <v>4401</v>
      </c>
      <c r="O16" s="137">
        <f t="shared" si="12"/>
        <v>1.4684955295767801</v>
      </c>
      <c r="P16" s="138">
        <f t="shared" si="0"/>
        <v>1.9459630148611577</v>
      </c>
      <c r="Q16" s="139">
        <f t="shared" si="0"/>
        <v>2.7442907427890617</v>
      </c>
      <c r="R16" s="140">
        <f t="shared" si="13"/>
        <v>0.32227122361021693</v>
      </c>
      <c r="S16" s="141">
        <f t="shared" si="1"/>
        <v>0.54290262948416845</v>
      </c>
      <c r="T16" s="142">
        <f t="shared" si="1"/>
        <v>0.7275705813273432</v>
      </c>
      <c r="U16" s="140">
        <f t="shared" si="14"/>
        <v>0.26438485529335587</v>
      </c>
      <c r="V16" s="141">
        <f t="shared" si="2"/>
        <v>0.49257599978948335</v>
      </c>
      <c r="W16" s="142">
        <f t="shared" si="2"/>
        <v>0.68273734081484805</v>
      </c>
      <c r="X16" s="143">
        <f t="shared" si="3"/>
        <v>4.4043670843813297E-2</v>
      </c>
      <c r="Y16" s="144">
        <f t="shared" si="4"/>
        <v>4.8247992725285752E-2</v>
      </c>
      <c r="Z16" s="145">
        <f t="shared" si="5"/>
        <v>5.0262678611511263E-2</v>
      </c>
      <c r="AA16" s="143">
        <f t="shared" si="6"/>
        <v>5.2905701754385963E-2</v>
      </c>
      <c r="AB16" s="144">
        <f t="shared" si="7"/>
        <v>5.2947309327131285E-2</v>
      </c>
      <c r="AC16" s="145">
        <f t="shared" si="8"/>
        <v>5.4958575998687559E-2</v>
      </c>
      <c r="AD16" s="143">
        <f t="shared" si="9"/>
        <v>4.8213560698335364E-2</v>
      </c>
      <c r="AE16" s="144">
        <f t="shared" si="10"/>
        <v>5.0612589776087874E-2</v>
      </c>
      <c r="AF16" s="146">
        <f t="shared" si="11"/>
        <v>5.3570776478034883E-2</v>
      </c>
    </row>
    <row r="17" spans="1:65" x14ac:dyDescent="0.25">
      <c r="B17" s="89" t="s">
        <v>349</v>
      </c>
      <c r="C17" s="220">
        <v>826800</v>
      </c>
      <c r="D17" s="122">
        <v>862434</v>
      </c>
      <c r="E17" s="221">
        <v>776405</v>
      </c>
      <c r="F17" s="321">
        <v>1261</v>
      </c>
      <c r="G17" s="122">
        <v>1654</v>
      </c>
      <c r="H17" s="221">
        <v>2461</v>
      </c>
      <c r="I17" s="321">
        <v>278</v>
      </c>
      <c r="J17" s="122">
        <v>455</v>
      </c>
      <c r="K17" s="221">
        <v>673</v>
      </c>
      <c r="L17" s="321">
        <v>230</v>
      </c>
      <c r="M17" s="122">
        <v>415</v>
      </c>
      <c r="N17" s="221">
        <v>641</v>
      </c>
      <c r="O17" s="124">
        <f t="shared" si="12"/>
        <v>1.5251572327044025</v>
      </c>
      <c r="P17" s="125">
        <f t="shared" si="0"/>
        <v>1.9178279149476944</v>
      </c>
      <c r="Q17" s="126">
        <f t="shared" si="0"/>
        <v>3.1697374437310426</v>
      </c>
      <c r="R17" s="127">
        <f t="shared" si="13"/>
        <v>0.33623609095307211</v>
      </c>
      <c r="S17" s="128">
        <f t="shared" si="1"/>
        <v>0.52757660296324127</v>
      </c>
      <c r="T17" s="129">
        <f t="shared" si="1"/>
        <v>0.86681564389719279</v>
      </c>
      <c r="U17" s="127">
        <f t="shared" si="14"/>
        <v>0.27818093855829706</v>
      </c>
      <c r="V17" s="128">
        <f t="shared" si="2"/>
        <v>0.48119624226317609</v>
      </c>
      <c r="W17" s="129">
        <f t="shared" si="2"/>
        <v>0.82560004121560271</v>
      </c>
      <c r="X17" s="130">
        <f t="shared" si="3"/>
        <v>7.0169385892670331E-3</v>
      </c>
      <c r="Y17" s="131">
        <f t="shared" si="4"/>
        <v>6.7446061500695256E-3</v>
      </c>
      <c r="Z17" s="132">
        <f t="shared" si="5"/>
        <v>6.9924506536421264E-3</v>
      </c>
      <c r="AA17" s="130">
        <f t="shared" si="6"/>
        <v>8.4673489278752432E-3</v>
      </c>
      <c r="AB17" s="131">
        <f t="shared" si="7"/>
        <v>7.2980992862298503E-3</v>
      </c>
      <c r="AC17" s="132">
        <f t="shared" si="8"/>
        <v>7.8863798821144412E-3</v>
      </c>
      <c r="AD17" s="130">
        <f t="shared" si="9"/>
        <v>7.7818378670997425E-3</v>
      </c>
      <c r="AE17" s="131">
        <f t="shared" si="10"/>
        <v>7.0130967469370512E-3</v>
      </c>
      <c r="AF17" s="133">
        <f t="shared" si="11"/>
        <v>7.8025148199091935E-3</v>
      </c>
    </row>
    <row r="18" spans="1:65" x14ac:dyDescent="0.25">
      <c r="B18" s="103" t="s">
        <v>328</v>
      </c>
      <c r="C18" s="230">
        <v>5899134</v>
      </c>
      <c r="D18" s="135">
        <v>5472010</v>
      </c>
      <c r="E18" s="231">
        <v>5820000</v>
      </c>
      <c r="F18" s="325">
        <v>45569</v>
      </c>
      <c r="G18" s="135">
        <v>61755</v>
      </c>
      <c r="H18" s="231">
        <v>86910</v>
      </c>
      <c r="I18" s="325">
        <v>7471</v>
      </c>
      <c r="J18" s="135">
        <v>14841</v>
      </c>
      <c r="K18" s="231">
        <v>20061</v>
      </c>
      <c r="L18" s="325">
        <v>7471</v>
      </c>
      <c r="M18" s="135">
        <v>14841</v>
      </c>
      <c r="N18" s="231">
        <v>20061</v>
      </c>
      <c r="O18" s="137">
        <f t="shared" si="12"/>
        <v>7.7246931498758968</v>
      </c>
      <c r="P18" s="138">
        <f t="shared" si="0"/>
        <v>11.285615340615241</v>
      </c>
      <c r="Q18" s="139">
        <f t="shared" si="0"/>
        <v>14.93298969072165</v>
      </c>
      <c r="R18" s="140">
        <f t="shared" si="13"/>
        <v>1.266457076581071</v>
      </c>
      <c r="S18" s="141">
        <f t="shared" si="1"/>
        <v>2.7121660961876897</v>
      </c>
      <c r="T18" s="142">
        <f t="shared" si="1"/>
        <v>3.4469072164948455</v>
      </c>
      <c r="U18" s="140">
        <f t="shared" si="14"/>
        <v>1.266457076581071</v>
      </c>
      <c r="V18" s="141">
        <f t="shared" si="2"/>
        <v>2.7121660961876897</v>
      </c>
      <c r="W18" s="142">
        <f t="shared" si="2"/>
        <v>3.4469072164948455</v>
      </c>
      <c r="X18" s="143">
        <f t="shared" si="3"/>
        <v>0.25357246199390121</v>
      </c>
      <c r="Y18" s="144">
        <f t="shared" si="4"/>
        <v>0.25182173687880505</v>
      </c>
      <c r="Z18" s="145">
        <f t="shared" si="5"/>
        <v>0.2469377839528798</v>
      </c>
      <c r="AA18" s="143">
        <f t="shared" si="6"/>
        <v>0.22755238791423002</v>
      </c>
      <c r="AB18" s="144">
        <f t="shared" si="7"/>
        <v>0.23804635496030155</v>
      </c>
      <c r="AC18" s="145">
        <f t="shared" si="8"/>
        <v>0.23507974266730727</v>
      </c>
      <c r="AD18" s="143">
        <f t="shared" si="9"/>
        <v>0.25277439437000948</v>
      </c>
      <c r="AE18" s="144">
        <f t="shared" si="10"/>
        <v>0.25079847908745245</v>
      </c>
      <c r="AF18" s="146">
        <f t="shared" si="11"/>
        <v>0.24419071732012221</v>
      </c>
    </row>
    <row r="19" spans="1:65" x14ac:dyDescent="0.25">
      <c r="B19" s="89" t="s">
        <v>25</v>
      </c>
      <c r="C19" s="220">
        <v>401441</v>
      </c>
      <c r="D19" s="122">
        <v>341777</v>
      </c>
      <c r="E19" s="221">
        <v>380643</v>
      </c>
      <c r="F19" s="321">
        <v>4081</v>
      </c>
      <c r="G19" s="122">
        <v>5716</v>
      </c>
      <c r="H19" s="221">
        <v>7942</v>
      </c>
      <c r="I19" s="321">
        <v>669</v>
      </c>
      <c r="J19" s="122">
        <v>1375</v>
      </c>
      <c r="K19" s="221">
        <v>1822</v>
      </c>
      <c r="L19" s="321">
        <v>669</v>
      </c>
      <c r="M19" s="122">
        <v>1375</v>
      </c>
      <c r="N19" s="221">
        <v>1822</v>
      </c>
      <c r="O19" s="124">
        <f t="shared" si="12"/>
        <v>10.165877426570779</v>
      </c>
      <c r="P19" s="125">
        <f t="shared" si="0"/>
        <v>16.724355354514785</v>
      </c>
      <c r="Q19" s="126">
        <f t="shared" si="0"/>
        <v>20.864694740215899</v>
      </c>
      <c r="R19" s="127">
        <f t="shared" si="13"/>
        <v>1.666496446551299</v>
      </c>
      <c r="S19" s="128">
        <f t="shared" si="1"/>
        <v>4.0230910798561634</v>
      </c>
      <c r="T19" s="129">
        <f t="shared" si="1"/>
        <v>4.7866373478561277</v>
      </c>
      <c r="U19" s="127">
        <f t="shared" si="14"/>
        <v>1.666496446551299</v>
      </c>
      <c r="V19" s="128">
        <f t="shared" si="2"/>
        <v>4.0230910798561634</v>
      </c>
      <c r="W19" s="129">
        <f t="shared" si="2"/>
        <v>4.7866373478561277</v>
      </c>
      <c r="X19" s="130">
        <f t="shared" si="3"/>
        <v>2.2709061366216306E-2</v>
      </c>
      <c r="Y19" s="131">
        <f t="shared" si="4"/>
        <v>2.3308445437604238E-2</v>
      </c>
      <c r="Z19" s="132">
        <f t="shared" si="5"/>
        <v>2.256564123983168E-2</v>
      </c>
      <c r="AA19" s="130">
        <f t="shared" si="6"/>
        <v>2.0376461988304093E-2</v>
      </c>
      <c r="AB19" s="131">
        <f t="shared" si="7"/>
        <v>2.2054695645200097E-2</v>
      </c>
      <c r="AC19" s="132">
        <f t="shared" si="8"/>
        <v>2.1350645089468812E-2</v>
      </c>
      <c r="AD19" s="130">
        <f t="shared" si="9"/>
        <v>2.2634997969955339E-2</v>
      </c>
      <c r="AE19" s="131">
        <f t="shared" si="10"/>
        <v>2.3236163920574569E-2</v>
      </c>
      <c r="AF19" s="133">
        <f t="shared" si="11"/>
        <v>2.2178131048166225E-2</v>
      </c>
    </row>
    <row r="20" spans="1:65" x14ac:dyDescent="0.25">
      <c r="B20" s="103" t="s">
        <v>350</v>
      </c>
      <c r="C20" s="230">
        <v>68282</v>
      </c>
      <c r="D20" s="135">
        <v>85359</v>
      </c>
      <c r="E20" s="231">
        <v>96059</v>
      </c>
      <c r="F20" s="325">
        <v>897</v>
      </c>
      <c r="G20" s="135">
        <v>1329</v>
      </c>
      <c r="H20" s="231">
        <v>2082</v>
      </c>
      <c r="I20" s="325">
        <v>141</v>
      </c>
      <c r="J20" s="135">
        <v>291</v>
      </c>
      <c r="K20" s="231">
        <v>433</v>
      </c>
      <c r="L20" s="325">
        <v>85</v>
      </c>
      <c r="M20" s="135">
        <v>241</v>
      </c>
      <c r="N20" s="231">
        <v>380</v>
      </c>
      <c r="O20" s="137">
        <f t="shared" si="12"/>
        <v>13.13669781201488</v>
      </c>
      <c r="P20" s="138">
        <f t="shared" si="0"/>
        <v>15.56953572558254</v>
      </c>
      <c r="Q20" s="139">
        <f t="shared" si="0"/>
        <v>21.674179410570588</v>
      </c>
      <c r="R20" s="140">
        <f t="shared" si="13"/>
        <v>2.0649658768050143</v>
      </c>
      <c r="S20" s="141">
        <f t="shared" si="1"/>
        <v>3.409130847362317</v>
      </c>
      <c r="T20" s="142">
        <f t="shared" si="1"/>
        <v>4.5076463423520963</v>
      </c>
      <c r="U20" s="140">
        <f t="shared" si="14"/>
        <v>1.2448375853079874</v>
      </c>
      <c r="V20" s="141">
        <f t="shared" si="2"/>
        <v>2.8233695333825373</v>
      </c>
      <c r="W20" s="142">
        <f t="shared" si="2"/>
        <v>3.9559021018332485</v>
      </c>
      <c r="X20" s="143">
        <f t="shared" si="3"/>
        <v>4.9914305428806734E-3</v>
      </c>
      <c r="Y20" s="144">
        <f t="shared" si="4"/>
        <v>5.4193358968817407E-3</v>
      </c>
      <c r="Z20" s="145">
        <f t="shared" si="5"/>
        <v>5.9155962051535586E-3</v>
      </c>
      <c r="AA20" s="143">
        <f t="shared" si="6"/>
        <v>4.2945906432748536E-3</v>
      </c>
      <c r="AB20" s="144">
        <f t="shared" si="7"/>
        <v>4.6675755874568932E-3</v>
      </c>
      <c r="AC20" s="145">
        <f t="shared" si="8"/>
        <v>5.0740007265312817E-3</v>
      </c>
      <c r="AD20" s="143">
        <f t="shared" si="9"/>
        <v>2.8758966030586006E-3</v>
      </c>
      <c r="AE20" s="144">
        <f t="shared" si="10"/>
        <v>4.072665821715251E-3</v>
      </c>
      <c r="AF20" s="146">
        <f t="shared" si="11"/>
        <v>4.6255158058744047E-3</v>
      </c>
    </row>
    <row r="21" spans="1:65" x14ac:dyDescent="0.25">
      <c r="B21" s="89" t="s">
        <v>351</v>
      </c>
      <c r="C21" s="220">
        <v>2801756</v>
      </c>
      <c r="D21" s="122">
        <v>3458710</v>
      </c>
      <c r="E21" s="221">
        <v>3596850</v>
      </c>
      <c r="F21" s="321">
        <v>19037</v>
      </c>
      <c r="G21" s="122">
        <v>27046</v>
      </c>
      <c r="H21" s="221">
        <v>37850</v>
      </c>
      <c r="I21" s="321">
        <v>3417</v>
      </c>
      <c r="J21" s="122">
        <v>6803</v>
      </c>
      <c r="K21" s="221">
        <v>9203</v>
      </c>
      <c r="L21" s="321">
        <v>3121</v>
      </c>
      <c r="M21" s="122">
        <v>6499</v>
      </c>
      <c r="N21" s="221">
        <v>8903</v>
      </c>
      <c r="O21" s="124">
        <f t="shared" si="12"/>
        <v>6.7946673443369088</v>
      </c>
      <c r="P21" s="125">
        <f t="shared" si="0"/>
        <v>7.8196784350234623</v>
      </c>
      <c r="Q21" s="126">
        <f t="shared" si="0"/>
        <v>10.523096598412501</v>
      </c>
      <c r="R21" s="127">
        <f t="shared" si="13"/>
        <v>1.219592284267438</v>
      </c>
      <c r="S21" s="128">
        <f t="shared" si="1"/>
        <v>1.9669183019102499</v>
      </c>
      <c r="T21" s="129">
        <f t="shared" si="1"/>
        <v>2.5586276881159904</v>
      </c>
      <c r="U21" s="127">
        <f t="shared" si="14"/>
        <v>1.1139442549601035</v>
      </c>
      <c r="V21" s="128">
        <f t="shared" si="2"/>
        <v>1.8790242604901828</v>
      </c>
      <c r="W21" s="129">
        <f t="shared" si="2"/>
        <v>2.4752213742580311</v>
      </c>
      <c r="X21" s="130">
        <f t="shared" si="3"/>
        <v>0.10593295790949762</v>
      </c>
      <c r="Y21" s="131">
        <f t="shared" si="4"/>
        <v>0.11028695159297484</v>
      </c>
      <c r="Z21" s="132">
        <f t="shared" si="5"/>
        <v>0.10754337961818548</v>
      </c>
      <c r="AA21" s="130">
        <f t="shared" si="6"/>
        <v>0.10407529239766082</v>
      </c>
      <c r="AB21" s="131">
        <f t="shared" si="7"/>
        <v>0.10911861416312454</v>
      </c>
      <c r="AC21" s="132">
        <f t="shared" si="8"/>
        <v>0.10784302237013253</v>
      </c>
      <c r="AD21" s="130">
        <f t="shared" si="9"/>
        <v>0.10559615644877521</v>
      </c>
      <c r="AE21" s="131">
        <f t="shared" si="10"/>
        <v>0.10982678495986481</v>
      </c>
      <c r="AF21" s="133">
        <f t="shared" si="11"/>
        <v>0.10837096636763113</v>
      </c>
    </row>
    <row r="22" spans="1:65" x14ac:dyDescent="0.25">
      <c r="B22" s="103" t="s">
        <v>12</v>
      </c>
      <c r="C22" s="230">
        <v>18646875</v>
      </c>
      <c r="D22" s="135">
        <v>19947202</v>
      </c>
      <c r="E22" s="231">
        <v>20727575</v>
      </c>
      <c r="F22" s="325">
        <v>22634</v>
      </c>
      <c r="G22" s="135">
        <v>28267</v>
      </c>
      <c r="H22" s="231">
        <v>38972</v>
      </c>
      <c r="I22" s="325">
        <v>5027</v>
      </c>
      <c r="J22" s="135">
        <v>7927</v>
      </c>
      <c r="K22" s="231">
        <v>10278</v>
      </c>
      <c r="L22" s="325">
        <v>3567</v>
      </c>
      <c r="M22" s="135">
        <v>6746</v>
      </c>
      <c r="N22" s="231">
        <v>9038</v>
      </c>
      <c r="O22" s="137">
        <f t="shared" si="12"/>
        <v>1.2138226914697503</v>
      </c>
      <c r="P22" s="138">
        <f t="shared" si="0"/>
        <v>1.4170909784740737</v>
      </c>
      <c r="Q22" s="139">
        <f t="shared" si="0"/>
        <v>1.8802006505826176</v>
      </c>
      <c r="R22" s="140">
        <f t="shared" si="13"/>
        <v>0.26958940841293783</v>
      </c>
      <c r="S22" s="141">
        <f t="shared" si="1"/>
        <v>0.3973990938679019</v>
      </c>
      <c r="T22" s="142">
        <f t="shared" si="1"/>
        <v>0.49586118974361448</v>
      </c>
      <c r="U22" s="140">
        <f t="shared" si="14"/>
        <v>0.19129210658622423</v>
      </c>
      <c r="V22" s="141">
        <f t="shared" si="2"/>
        <v>0.33819279515994272</v>
      </c>
      <c r="W22" s="142">
        <f t="shared" si="2"/>
        <v>0.43603750076890324</v>
      </c>
      <c r="X22" s="143">
        <f t="shared" si="3"/>
        <v>0.12594876132392549</v>
      </c>
      <c r="Y22" s="144">
        <f t="shared" si="4"/>
        <v>0.11526588999033573</v>
      </c>
      <c r="Z22" s="145">
        <f t="shared" si="5"/>
        <v>0.1107313233944498</v>
      </c>
      <c r="AA22" s="143">
        <f t="shared" si="6"/>
        <v>0.15311281676413255</v>
      </c>
      <c r="AB22" s="144">
        <f t="shared" si="7"/>
        <v>0.12714732536690992</v>
      </c>
      <c r="AC22" s="145">
        <f t="shared" si="8"/>
        <v>0.12044013733784877</v>
      </c>
      <c r="AD22" s="143">
        <f t="shared" si="9"/>
        <v>0.1206861550954121</v>
      </c>
      <c r="AE22" s="144">
        <f t="shared" si="10"/>
        <v>0.1140008449514153</v>
      </c>
      <c r="AF22" s="146">
        <f t="shared" si="11"/>
        <v>0.11001424171971809</v>
      </c>
    </row>
    <row r="23" spans="1:65" ht="6" customHeight="1" thickBot="1" x14ac:dyDescent="0.3">
      <c r="B23" s="121"/>
      <c r="C23" s="322"/>
      <c r="D23" s="323"/>
      <c r="E23" s="324"/>
      <c r="F23" s="239"/>
      <c r="G23" s="242"/>
      <c r="H23" s="241"/>
      <c r="I23" s="290"/>
      <c r="J23" s="242"/>
      <c r="K23" s="290"/>
      <c r="L23" s="239"/>
      <c r="M23" s="242"/>
      <c r="N23" s="243"/>
      <c r="O23" s="124"/>
      <c r="P23" s="125"/>
      <c r="Q23" s="55"/>
      <c r="R23" s="335"/>
      <c r="S23" s="125"/>
      <c r="T23" s="302"/>
      <c r="U23" s="335"/>
      <c r="V23" s="125"/>
      <c r="W23" s="302"/>
      <c r="X23" s="456"/>
      <c r="Y23" s="354"/>
      <c r="Z23" s="358"/>
      <c r="AA23" s="456"/>
      <c r="AB23" s="354"/>
      <c r="AC23" s="358"/>
      <c r="AD23" s="456"/>
      <c r="AE23" s="354"/>
      <c r="AF23" s="355"/>
    </row>
    <row r="24" spans="1:65" ht="24.95" customHeight="1" thickTop="1" thickBot="1" x14ac:dyDescent="0.3">
      <c r="A24" s="13"/>
      <c r="B24" s="61" t="s">
        <v>13</v>
      </c>
      <c r="C24" s="549">
        <f t="shared" ref="C24:N24" si="15">SUM(C11:C22)</f>
        <v>52344479</v>
      </c>
      <c r="D24" s="550">
        <f t="shared" si="15"/>
        <v>57540976</v>
      </c>
      <c r="E24" s="485">
        <f t="shared" si="15"/>
        <v>59360163</v>
      </c>
      <c r="F24" s="483">
        <f t="shared" si="15"/>
        <v>179708</v>
      </c>
      <c r="G24" s="484">
        <f t="shared" si="15"/>
        <v>245233</v>
      </c>
      <c r="H24" s="485">
        <f t="shared" si="15"/>
        <v>351951</v>
      </c>
      <c r="I24" s="483">
        <f t="shared" si="15"/>
        <v>32832</v>
      </c>
      <c r="J24" s="484">
        <f t="shared" si="15"/>
        <v>62345</v>
      </c>
      <c r="K24" s="485">
        <f t="shared" si="15"/>
        <v>85337</v>
      </c>
      <c r="L24" s="483">
        <f t="shared" si="15"/>
        <v>29556</v>
      </c>
      <c r="M24" s="484">
        <f t="shared" si="15"/>
        <v>59175</v>
      </c>
      <c r="N24" s="486">
        <f t="shared" si="15"/>
        <v>82153</v>
      </c>
      <c r="O24" s="551"/>
      <c r="P24" s="478"/>
      <c r="Q24" s="478"/>
      <c r="R24" s="478"/>
      <c r="S24" s="478"/>
      <c r="T24" s="478"/>
      <c r="U24" s="478"/>
      <c r="V24" s="478"/>
      <c r="W24" s="552"/>
      <c r="X24" s="479">
        <f t="shared" ref="X24:AF24" si="16">SUM(X11:X22)</f>
        <v>1</v>
      </c>
      <c r="Y24" s="480">
        <f t="shared" si="16"/>
        <v>0.99999999999999989</v>
      </c>
      <c r="Z24" s="481">
        <f t="shared" si="16"/>
        <v>1</v>
      </c>
      <c r="AA24" s="479">
        <f t="shared" si="16"/>
        <v>1</v>
      </c>
      <c r="AB24" s="480">
        <f t="shared" si="16"/>
        <v>1</v>
      </c>
      <c r="AC24" s="481">
        <f t="shared" si="16"/>
        <v>1.0000000000000002</v>
      </c>
      <c r="AD24" s="479">
        <f t="shared" si="16"/>
        <v>1</v>
      </c>
      <c r="AE24" s="480">
        <f t="shared" si="16"/>
        <v>0.99999999999999989</v>
      </c>
      <c r="AF24" s="482">
        <f t="shared" si="16"/>
        <v>1.0000000000000002</v>
      </c>
      <c r="AG24" s="13"/>
      <c r="AH24" s="13"/>
      <c r="AI24" s="13"/>
      <c r="AJ24" s="13"/>
      <c r="AK24" s="13"/>
      <c r="AL24" s="13"/>
      <c r="AM24" s="13"/>
    </row>
    <row r="25" spans="1:65" ht="16.5" customHeight="1" thickTop="1" x14ac:dyDescent="0.25">
      <c r="B25" s="35"/>
      <c r="C25" s="35"/>
      <c r="D25" s="35"/>
      <c r="E25" s="35"/>
      <c r="F25" s="159"/>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row>
    <row r="26" spans="1:65" x14ac:dyDescent="0.2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row>
    <row r="27" spans="1:65" x14ac:dyDescent="0.25">
      <c r="B27" s="66" t="s">
        <v>396</v>
      </c>
      <c r="C27" s="67"/>
      <c r="D27" s="67"/>
      <c r="E27" s="67"/>
      <c r="F27" s="67"/>
      <c r="G27" s="67"/>
      <c r="H27" s="67"/>
      <c r="I27" s="67"/>
      <c r="J27" s="35"/>
      <c r="K27" s="35"/>
      <c r="L27" s="35"/>
      <c r="M27" s="35"/>
      <c r="N27" s="35"/>
      <c r="O27" s="35"/>
      <c r="P27" s="35"/>
      <c r="Q27" s="35"/>
      <c r="R27" s="35"/>
      <c r="S27" s="35"/>
      <c r="T27" s="35"/>
      <c r="U27" s="35"/>
      <c r="V27" s="35"/>
      <c r="W27" s="35"/>
      <c r="X27" s="35"/>
      <c r="Y27" s="35"/>
      <c r="Z27" s="35"/>
      <c r="AA27" s="35"/>
      <c r="AB27" s="35"/>
      <c r="AC27" s="35"/>
      <c r="AD27" s="35"/>
      <c r="AE27" s="35"/>
      <c r="AF27" s="35"/>
    </row>
    <row r="28" spans="1:65" x14ac:dyDescent="0.25">
      <c r="A28" s="21"/>
      <c r="B28" s="67" t="s">
        <v>374</v>
      </c>
      <c r="C28" s="67"/>
      <c r="D28" s="67"/>
      <c r="E28" s="67"/>
      <c r="F28" s="68"/>
      <c r="G28" s="68"/>
      <c r="H28" s="68"/>
      <c r="I28" s="68"/>
      <c r="J28" s="36"/>
      <c r="K28" s="36"/>
      <c r="L28" s="36"/>
      <c r="M28" s="36"/>
      <c r="N28" s="36"/>
      <c r="O28" s="35"/>
      <c r="P28" s="35"/>
      <c r="Q28" s="35"/>
      <c r="R28" s="35"/>
      <c r="S28" s="35"/>
      <c r="T28" s="36"/>
      <c r="U28" s="36"/>
      <c r="V28" s="36"/>
      <c r="W28" s="36"/>
      <c r="X28" s="36"/>
      <c r="Y28" s="36"/>
      <c r="Z28" s="35"/>
      <c r="AA28" s="36"/>
      <c r="AB28" s="36"/>
      <c r="AC28" s="36"/>
      <c r="AD28" s="36"/>
      <c r="AE28" s="36"/>
      <c r="AF28" s="36"/>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x14ac:dyDescent="0.25">
      <c r="A29" s="21"/>
      <c r="B29" s="67"/>
      <c r="C29" s="67"/>
      <c r="D29" s="67"/>
      <c r="E29" s="67"/>
      <c r="F29" s="68"/>
      <c r="G29" s="68"/>
      <c r="H29" s="68"/>
      <c r="I29" s="68"/>
      <c r="J29" s="36"/>
      <c r="K29" s="36"/>
      <c r="L29" s="36"/>
      <c r="M29" s="36"/>
      <c r="N29" s="36"/>
      <c r="O29" s="35"/>
      <c r="P29" s="35"/>
      <c r="Q29" s="35"/>
      <c r="R29" s="35"/>
      <c r="S29" s="35"/>
      <c r="T29" s="36"/>
      <c r="U29" s="36"/>
      <c r="V29" s="36"/>
      <c r="W29" s="36"/>
      <c r="X29" s="36"/>
      <c r="Y29" s="36"/>
      <c r="Z29" s="35"/>
      <c r="AA29" s="36"/>
      <c r="AB29" s="36"/>
      <c r="AC29" s="36"/>
      <c r="AD29" s="36"/>
      <c r="AE29" s="36"/>
      <c r="AF29" s="36"/>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x14ac:dyDescent="0.25">
      <c r="A30"/>
      <c r="B30" s="79" t="s">
        <v>397</v>
      </c>
      <c r="C30" s="68"/>
      <c r="D30" s="68"/>
      <c r="E30" s="68"/>
      <c r="F30" s="68"/>
      <c r="G30" s="68"/>
      <c r="H30" s="68"/>
      <c r="I30" s="68"/>
      <c r="J30" s="36"/>
      <c r="K30" s="36"/>
      <c r="L30" s="36"/>
      <c r="M30" s="36"/>
      <c r="N30" s="36"/>
      <c r="O30" s="36"/>
      <c r="P30" s="36"/>
      <c r="Q30" s="36"/>
      <c r="R30" s="36"/>
      <c r="S30" s="36"/>
      <c r="T30" s="36"/>
      <c r="U30" s="36"/>
      <c r="V30" s="36"/>
      <c r="W30" s="36"/>
      <c r="X30" s="36"/>
      <c r="Y30" s="36"/>
      <c r="Z30" s="36"/>
      <c r="AA30" s="36"/>
      <c r="AB30" s="36"/>
      <c r="AC30" s="36"/>
      <c r="AD30" s="36"/>
      <c r="AE30" s="36"/>
      <c r="AF30" s="36"/>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x14ac:dyDescent="0.25">
      <c r="A31" s="21"/>
      <c r="B31" s="68" t="s">
        <v>352</v>
      </c>
      <c r="C31" s="68"/>
      <c r="D31" s="68"/>
      <c r="E31" s="68"/>
      <c r="F31" s="68"/>
      <c r="G31" s="68"/>
      <c r="H31" s="68"/>
      <c r="I31" s="68"/>
      <c r="J31" s="36"/>
      <c r="K31" s="36"/>
      <c r="L31" s="36"/>
      <c r="M31" s="36"/>
      <c r="N31" s="36"/>
      <c r="O31" s="36"/>
      <c r="P31" s="36"/>
      <c r="Q31" s="36"/>
      <c r="R31" s="36"/>
      <c r="S31" s="36"/>
      <c r="T31" s="36"/>
      <c r="U31" s="36"/>
      <c r="V31" s="36"/>
      <c r="W31" s="36"/>
      <c r="X31" s="36"/>
      <c r="Y31" s="36"/>
      <c r="Z31" s="36"/>
      <c r="AA31" s="36"/>
      <c r="AB31" s="36"/>
      <c r="AC31" s="36"/>
      <c r="AD31" s="36"/>
      <c r="AE31" s="36"/>
      <c r="AF31" s="36"/>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x14ac:dyDescent="0.25">
      <c r="B32" s="68" t="s">
        <v>382</v>
      </c>
      <c r="C32" s="67"/>
      <c r="D32" s="67"/>
      <c r="E32" s="67"/>
      <c r="F32" s="67"/>
      <c r="G32" s="67"/>
      <c r="H32" s="67"/>
      <c r="I32" s="67"/>
      <c r="J32" s="35"/>
      <c r="K32" s="35"/>
      <c r="L32" s="35"/>
      <c r="M32" s="35"/>
      <c r="N32" s="35"/>
      <c r="O32" s="35"/>
      <c r="P32" s="35"/>
      <c r="Q32" s="35"/>
      <c r="R32" s="35"/>
      <c r="S32" s="35"/>
      <c r="T32" s="35"/>
      <c r="U32" s="35"/>
      <c r="V32" s="35"/>
      <c r="W32" s="35"/>
      <c r="X32" s="35"/>
      <c r="Y32" s="35"/>
      <c r="Z32" s="35"/>
      <c r="AA32" s="35"/>
      <c r="AB32" s="35"/>
      <c r="AC32" s="35"/>
      <c r="AD32" s="35"/>
      <c r="AE32" s="35"/>
      <c r="AF32" s="35"/>
    </row>
    <row r="33" spans="2:32" x14ac:dyDescent="0.25">
      <c r="B33" s="68"/>
      <c r="C33" s="67"/>
      <c r="D33" s="67"/>
      <c r="E33" s="67"/>
      <c r="F33" s="67"/>
      <c r="G33" s="67"/>
      <c r="H33" s="67"/>
      <c r="I33" s="67"/>
      <c r="J33" s="35"/>
      <c r="K33" s="35"/>
      <c r="L33" s="35"/>
      <c r="M33" s="35"/>
      <c r="N33" s="35"/>
      <c r="O33" s="35"/>
      <c r="P33" s="35"/>
      <c r="Q33" s="35"/>
      <c r="R33" s="35"/>
      <c r="S33" s="35"/>
      <c r="T33" s="35"/>
      <c r="U33" s="35"/>
      <c r="V33" s="35"/>
      <c r="W33" s="35"/>
      <c r="X33" s="35"/>
      <c r="Y33" s="35"/>
      <c r="Z33" s="35"/>
      <c r="AA33" s="35"/>
      <c r="AB33" s="35"/>
      <c r="AC33" s="35"/>
      <c r="AD33" s="35"/>
      <c r="AE33" s="35"/>
      <c r="AF33" s="35"/>
    </row>
    <row r="34" spans="2:32" x14ac:dyDescent="0.25">
      <c r="B34" s="66" t="s">
        <v>398</v>
      </c>
      <c r="C34" s="67"/>
      <c r="D34" s="67"/>
      <c r="E34" s="67"/>
      <c r="F34" s="67"/>
      <c r="G34" s="67"/>
      <c r="H34" s="67"/>
      <c r="I34" s="67"/>
      <c r="J34" s="35"/>
      <c r="K34" s="35"/>
      <c r="L34" s="35"/>
      <c r="M34" s="35"/>
      <c r="N34" s="35"/>
      <c r="O34" s="35"/>
      <c r="P34" s="35"/>
      <c r="Q34" s="35"/>
      <c r="R34" s="35"/>
      <c r="S34" s="35"/>
      <c r="T34" s="35"/>
      <c r="U34" s="35"/>
      <c r="V34" s="35"/>
      <c r="W34" s="35"/>
      <c r="X34" s="35"/>
      <c r="Y34" s="35"/>
      <c r="Z34" s="35"/>
      <c r="AA34" s="35"/>
      <c r="AB34" s="35"/>
      <c r="AC34" s="35"/>
      <c r="AD34" s="35"/>
      <c r="AE34" s="35"/>
      <c r="AF34" s="35"/>
    </row>
    <row r="35" spans="2:32" x14ac:dyDescent="0.2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row>
    <row r="36" spans="2:32" x14ac:dyDescent="0.2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row>
    <row r="37" spans="2:32" x14ac:dyDescent="0.2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row>
    <row r="38" spans="2:32" x14ac:dyDescent="0.2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2:32" x14ac:dyDescent="0.2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2:32" x14ac:dyDescent="0.2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2:32" x14ac:dyDescent="0.2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2:32" x14ac:dyDescent="0.2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2:32" x14ac:dyDescent="0.2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2:32" x14ac:dyDescent="0.2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2:32" s="7" customFormat="1" x14ac:dyDescent="0.2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2:32" s="7" customFormat="1" x14ac:dyDescent="0.2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2:32" s="7" customFormat="1"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row r="48" spans="2:32" s="7" customFormat="1" x14ac:dyDescent="0.2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row>
    <row r="49" spans="2:32" s="7" customFormat="1" x14ac:dyDescent="0.2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row>
    <row r="50" spans="2:32" s="7" customFormat="1" x14ac:dyDescent="0.2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row>
  </sheetData>
  <mergeCells count="18">
    <mergeCell ref="U8:W8"/>
    <mergeCell ref="X8:Z8"/>
    <mergeCell ref="C6:E6"/>
    <mergeCell ref="F6:N6"/>
    <mergeCell ref="O6:W6"/>
    <mergeCell ref="X6:AF6"/>
    <mergeCell ref="B7:B8"/>
    <mergeCell ref="C7:E8"/>
    <mergeCell ref="F7:N7"/>
    <mergeCell ref="O7:W7"/>
    <mergeCell ref="X7:AF7"/>
    <mergeCell ref="F8:H8"/>
    <mergeCell ref="AA8:AC8"/>
    <mergeCell ref="AD8:AF8"/>
    <mergeCell ref="I8:K8"/>
    <mergeCell ref="L8:N8"/>
    <mergeCell ref="O8:Q8"/>
    <mergeCell ref="R8:T8"/>
  </mergeCells>
  <hyperlinks>
    <hyperlink ref="B1" location="Start!A1" display="Back to home page" xr:uid="{ADB20E5C-08DB-4A75-81F8-19E994C27156}"/>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3D51D-9048-4B3C-AB16-E24594C687B0}">
  <sheetPr>
    <tabColor rgb="FF92D050"/>
  </sheetPr>
  <dimension ref="A1:Q4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291</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185" t="s">
        <v>388</v>
      </c>
      <c r="E8" s="185" t="s">
        <v>394</v>
      </c>
      <c r="F8" s="185" t="s">
        <v>395</v>
      </c>
      <c r="G8" s="181" t="s">
        <v>388</v>
      </c>
      <c r="H8" s="181" t="s">
        <v>394</v>
      </c>
      <c r="I8" s="181" t="s">
        <v>404</v>
      </c>
      <c r="J8" s="185" t="s">
        <v>388</v>
      </c>
      <c r="K8" s="185" t="s">
        <v>394</v>
      </c>
      <c r="L8" s="185"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172">
        <v>74000</v>
      </c>
      <c r="D11" s="53">
        <v>8880</v>
      </c>
      <c r="E11" s="53">
        <v>2516</v>
      </c>
      <c r="F11" s="164">
        <v>2590</v>
      </c>
      <c r="G11" s="56">
        <f>IFERROR(D11*1000/C11,"-")</f>
        <v>120</v>
      </c>
      <c r="H11" s="56">
        <f>IFERROR(E11*1000/C11,"-")</f>
        <v>34</v>
      </c>
      <c r="I11" s="56">
        <f>IFERROR(F11*1000/C11,"-")</f>
        <v>35</v>
      </c>
      <c r="J11" s="57">
        <f t="shared" ref="J11:J30" si="0">D11/$D$33</f>
        <v>8.7753972646058984E-2</v>
      </c>
      <c r="K11" s="57">
        <f t="shared" ref="K11:K31" si="1">E11/$E$33</f>
        <v>0.12745048376475357</v>
      </c>
      <c r="L11" s="57">
        <f t="shared" ref="L11:L31" si="2">F11/$F$33</f>
        <v>6.5209728586535079E-2</v>
      </c>
    </row>
    <row r="12" spans="1:17" x14ac:dyDescent="0.25">
      <c r="B12" s="103" t="s">
        <v>27</v>
      </c>
      <c r="C12" s="174">
        <v>133000</v>
      </c>
      <c r="D12" s="71">
        <v>13300</v>
      </c>
      <c r="E12" s="71">
        <v>4522</v>
      </c>
      <c r="F12" s="166">
        <v>4389</v>
      </c>
      <c r="G12" s="74">
        <f t="shared" ref="G12:G31" si="3">IFERROR(D12*1000/C12,"-")</f>
        <v>100</v>
      </c>
      <c r="H12" s="74">
        <f t="shared" ref="H12:H31" si="4">IFERROR(E12*1000/C12,"-")</f>
        <v>34</v>
      </c>
      <c r="I12" s="74">
        <f t="shared" ref="I12:I31" si="5">IFERROR(F12*1000/C12,"-")</f>
        <v>33</v>
      </c>
      <c r="J12" s="75">
        <f t="shared" si="0"/>
        <v>0.1314333148865523</v>
      </c>
      <c r="K12" s="75">
        <f t="shared" si="1"/>
        <v>0.22906641000962463</v>
      </c>
      <c r="L12" s="75">
        <f t="shared" si="2"/>
        <v>0.11050405357772294</v>
      </c>
    </row>
    <row r="13" spans="1:17" x14ac:dyDescent="0.25">
      <c r="B13" s="89" t="s">
        <v>28</v>
      </c>
      <c r="C13" s="172">
        <v>77000</v>
      </c>
      <c r="D13" s="53">
        <v>7700</v>
      </c>
      <c r="E13" s="53">
        <v>2079</v>
      </c>
      <c r="F13" s="164">
        <v>2541</v>
      </c>
      <c r="G13" s="56">
        <f t="shared" si="3"/>
        <v>100</v>
      </c>
      <c r="H13" s="56">
        <f t="shared" si="4"/>
        <v>27</v>
      </c>
      <c r="I13" s="56">
        <f t="shared" si="5"/>
        <v>33</v>
      </c>
      <c r="J13" s="57">
        <f t="shared" si="0"/>
        <v>7.6092971776425017E-2</v>
      </c>
      <c r="K13" s="57">
        <f t="shared" si="1"/>
        <v>0.10531381388987386</v>
      </c>
      <c r="L13" s="57">
        <f t="shared" si="2"/>
        <v>6.3976031018681712E-2</v>
      </c>
    </row>
    <row r="14" spans="1:17" x14ac:dyDescent="0.25">
      <c r="B14" s="103" t="s">
        <v>29</v>
      </c>
      <c r="C14" s="174"/>
      <c r="D14" s="71">
        <v>0</v>
      </c>
      <c r="E14" s="71">
        <v>0</v>
      </c>
      <c r="F14" s="166">
        <v>0</v>
      </c>
      <c r="G14" s="74" t="str">
        <f t="shared" si="3"/>
        <v>-</v>
      </c>
      <c r="H14" s="74" t="str">
        <f t="shared" si="4"/>
        <v>-</v>
      </c>
      <c r="I14" s="74" t="str">
        <f t="shared" si="5"/>
        <v>-</v>
      </c>
      <c r="J14" s="75">
        <f t="shared" si="0"/>
        <v>0</v>
      </c>
      <c r="K14" s="75">
        <f t="shared" si="1"/>
        <v>0</v>
      </c>
      <c r="L14" s="75">
        <f t="shared" si="2"/>
        <v>0</v>
      </c>
    </row>
    <row r="15" spans="1:17" x14ac:dyDescent="0.25">
      <c r="B15" s="89" t="s">
        <v>30</v>
      </c>
      <c r="C15" s="172"/>
      <c r="D15" s="53">
        <v>0</v>
      </c>
      <c r="E15" s="53">
        <v>0</v>
      </c>
      <c r="F15" s="164">
        <v>0</v>
      </c>
      <c r="G15" s="56" t="str">
        <f t="shared" si="3"/>
        <v>-</v>
      </c>
      <c r="H15" s="56" t="str">
        <f t="shared" si="4"/>
        <v>-</v>
      </c>
      <c r="I15" s="56" t="str">
        <f t="shared" si="5"/>
        <v>-</v>
      </c>
      <c r="J15" s="57">
        <f t="shared" si="0"/>
        <v>0</v>
      </c>
      <c r="K15" s="57">
        <f t="shared" si="1"/>
        <v>0</v>
      </c>
      <c r="L15" s="57">
        <f t="shared" si="2"/>
        <v>0</v>
      </c>
    </row>
    <row r="16" spans="1:17" x14ac:dyDescent="0.25">
      <c r="B16" s="103" t="s">
        <v>31</v>
      </c>
      <c r="C16" s="174">
        <v>2000</v>
      </c>
      <c r="D16" s="71">
        <v>200</v>
      </c>
      <c r="E16" s="71">
        <v>46</v>
      </c>
      <c r="F16" s="166">
        <v>76</v>
      </c>
      <c r="G16" s="74">
        <f t="shared" si="3"/>
        <v>100</v>
      </c>
      <c r="H16" s="74">
        <f t="shared" si="4"/>
        <v>23</v>
      </c>
      <c r="I16" s="74">
        <f t="shared" si="5"/>
        <v>38</v>
      </c>
      <c r="J16" s="75">
        <f t="shared" si="0"/>
        <v>1.9764408253616886E-3</v>
      </c>
      <c r="K16" s="75">
        <f t="shared" si="1"/>
        <v>2.3301757763031254E-3</v>
      </c>
      <c r="L16" s="75">
        <f t="shared" si="2"/>
        <v>1.9134901052419559E-3</v>
      </c>
    </row>
    <row r="17" spans="2:12" x14ac:dyDescent="0.25">
      <c r="B17" s="89" t="s">
        <v>32</v>
      </c>
      <c r="C17" s="172"/>
      <c r="D17" s="53">
        <v>0</v>
      </c>
      <c r="E17" s="53">
        <v>0</v>
      </c>
      <c r="F17" s="164">
        <v>0</v>
      </c>
      <c r="G17" s="56" t="str">
        <f t="shared" si="3"/>
        <v>-</v>
      </c>
      <c r="H17" s="56" t="str">
        <f t="shared" si="4"/>
        <v>-</v>
      </c>
      <c r="I17" s="56" t="str">
        <f t="shared" si="5"/>
        <v>-</v>
      </c>
      <c r="J17" s="57">
        <f t="shared" si="0"/>
        <v>0</v>
      </c>
      <c r="K17" s="57">
        <f t="shared" si="1"/>
        <v>0</v>
      </c>
      <c r="L17" s="57">
        <f t="shared" si="2"/>
        <v>0</v>
      </c>
    </row>
    <row r="18" spans="2:12" x14ac:dyDescent="0.25">
      <c r="B18" s="103" t="s">
        <v>33</v>
      </c>
      <c r="C18" s="174"/>
      <c r="D18" s="71">
        <v>0</v>
      </c>
      <c r="E18" s="71">
        <v>0</v>
      </c>
      <c r="F18" s="166">
        <v>0</v>
      </c>
      <c r="G18" s="74" t="str">
        <f t="shared" si="3"/>
        <v>-</v>
      </c>
      <c r="H18" s="74" t="str">
        <f t="shared" si="4"/>
        <v>-</v>
      </c>
      <c r="I18" s="74" t="str">
        <f t="shared" si="5"/>
        <v>-</v>
      </c>
      <c r="J18" s="75">
        <f t="shared" si="0"/>
        <v>0</v>
      </c>
      <c r="K18" s="75">
        <f t="shared" si="1"/>
        <v>0</v>
      </c>
      <c r="L18" s="75">
        <f t="shared" si="2"/>
        <v>0</v>
      </c>
    </row>
    <row r="19" spans="2:12" x14ac:dyDescent="0.25">
      <c r="B19" s="89" t="s">
        <v>26</v>
      </c>
      <c r="C19" s="172">
        <v>12000</v>
      </c>
      <c r="D19" s="53">
        <v>1200</v>
      </c>
      <c r="E19" s="53">
        <v>876</v>
      </c>
      <c r="F19" s="164">
        <v>1536</v>
      </c>
      <c r="G19" s="56">
        <f t="shared" si="3"/>
        <v>100</v>
      </c>
      <c r="H19" s="56">
        <f t="shared" si="4"/>
        <v>73</v>
      </c>
      <c r="I19" s="56">
        <f t="shared" si="5"/>
        <v>128</v>
      </c>
      <c r="J19" s="57">
        <f t="shared" si="0"/>
        <v>1.1858644952170132E-2</v>
      </c>
      <c r="K19" s="57">
        <f t="shared" si="1"/>
        <v>4.4374651740033431E-2</v>
      </c>
      <c r="L19" s="57">
        <f t="shared" si="2"/>
        <v>3.8672642126995317E-2</v>
      </c>
    </row>
    <row r="20" spans="2:12" x14ac:dyDescent="0.25">
      <c r="B20" s="103" t="s">
        <v>34</v>
      </c>
      <c r="C20" s="174">
        <v>0</v>
      </c>
      <c r="D20" s="71">
        <v>0</v>
      </c>
      <c r="E20" s="71">
        <v>0</v>
      </c>
      <c r="F20" s="166">
        <v>0</v>
      </c>
      <c r="G20" s="74" t="str">
        <f t="shared" si="3"/>
        <v>-</v>
      </c>
      <c r="H20" s="74" t="str">
        <f t="shared" si="4"/>
        <v>-</v>
      </c>
      <c r="I20" s="74" t="str">
        <f t="shared" si="5"/>
        <v>-</v>
      </c>
      <c r="J20" s="75">
        <f t="shared" si="0"/>
        <v>0</v>
      </c>
      <c r="K20" s="75">
        <f t="shared" si="1"/>
        <v>0</v>
      </c>
      <c r="L20" s="75">
        <f t="shared" si="2"/>
        <v>0</v>
      </c>
    </row>
    <row r="21" spans="2:12" x14ac:dyDescent="0.25">
      <c r="B21" s="89" t="s">
        <v>9</v>
      </c>
      <c r="C21" s="172">
        <v>8000</v>
      </c>
      <c r="D21" s="53">
        <v>960</v>
      </c>
      <c r="E21" s="53">
        <v>560</v>
      </c>
      <c r="F21" s="164">
        <v>1160</v>
      </c>
      <c r="G21" s="56">
        <f t="shared" si="3"/>
        <v>120</v>
      </c>
      <c r="H21" s="56">
        <f t="shared" si="4"/>
        <v>70</v>
      </c>
      <c r="I21" s="56">
        <f t="shared" si="5"/>
        <v>145</v>
      </c>
      <c r="J21" s="57">
        <f t="shared" si="0"/>
        <v>9.486915961736106E-3</v>
      </c>
      <c r="K21" s="57">
        <f t="shared" si="1"/>
        <v>2.8367357276733701E-2</v>
      </c>
      <c r="L21" s="57">
        <f t="shared" si="2"/>
        <v>2.9205901606324587E-2</v>
      </c>
    </row>
    <row r="22" spans="2:12" x14ac:dyDescent="0.25">
      <c r="B22" s="103" t="s">
        <v>35</v>
      </c>
      <c r="C22" s="174">
        <v>13000</v>
      </c>
      <c r="D22" s="71">
        <v>0</v>
      </c>
      <c r="E22" s="71">
        <v>0</v>
      </c>
      <c r="F22" s="166">
        <v>0</v>
      </c>
      <c r="G22" s="74">
        <f t="shared" si="3"/>
        <v>0</v>
      </c>
      <c r="H22" s="74">
        <f t="shared" si="4"/>
        <v>0</v>
      </c>
      <c r="I22" s="74">
        <f t="shared" si="5"/>
        <v>0</v>
      </c>
      <c r="J22" s="75">
        <f t="shared" si="0"/>
        <v>0</v>
      </c>
      <c r="K22" s="75">
        <f t="shared" si="1"/>
        <v>0</v>
      </c>
      <c r="L22" s="75">
        <f t="shared" si="2"/>
        <v>0</v>
      </c>
    </row>
    <row r="23" spans="2:12" x14ac:dyDescent="0.25">
      <c r="B23" s="89" t="s">
        <v>36</v>
      </c>
      <c r="C23" s="172">
        <v>0</v>
      </c>
      <c r="D23" s="53">
        <v>0</v>
      </c>
      <c r="E23" s="53">
        <v>0</v>
      </c>
      <c r="F23" s="164">
        <v>0</v>
      </c>
      <c r="G23" s="56" t="str">
        <f t="shared" si="3"/>
        <v>-</v>
      </c>
      <c r="H23" s="56" t="str">
        <f t="shared" si="4"/>
        <v>-</v>
      </c>
      <c r="I23" s="56" t="str">
        <f t="shared" si="5"/>
        <v>-</v>
      </c>
      <c r="J23" s="57">
        <f t="shared" si="0"/>
        <v>0</v>
      </c>
      <c r="K23" s="57">
        <f t="shared" si="1"/>
        <v>0</v>
      </c>
      <c r="L23" s="57">
        <f t="shared" si="2"/>
        <v>0</v>
      </c>
    </row>
    <row r="24" spans="2:12" x14ac:dyDescent="0.25">
      <c r="B24" s="103" t="s">
        <v>37</v>
      </c>
      <c r="C24" s="174">
        <v>10000</v>
      </c>
      <c r="D24" s="71">
        <v>1000</v>
      </c>
      <c r="E24" s="71">
        <v>0</v>
      </c>
      <c r="F24" s="166">
        <v>0</v>
      </c>
      <c r="G24" s="74">
        <f t="shared" si="3"/>
        <v>100</v>
      </c>
      <c r="H24" s="74">
        <f t="shared" si="4"/>
        <v>0</v>
      </c>
      <c r="I24" s="74">
        <f t="shared" si="5"/>
        <v>0</v>
      </c>
      <c r="J24" s="75">
        <f t="shared" si="0"/>
        <v>9.8822041268084426E-3</v>
      </c>
      <c r="K24" s="75">
        <f t="shared" si="1"/>
        <v>0</v>
      </c>
      <c r="L24" s="75">
        <f t="shared" si="2"/>
        <v>0</v>
      </c>
    </row>
    <row r="25" spans="2:12" x14ac:dyDescent="0.25">
      <c r="B25" s="89" t="s">
        <v>38</v>
      </c>
      <c r="C25" s="172">
        <v>0</v>
      </c>
      <c r="D25" s="53">
        <v>0</v>
      </c>
      <c r="E25" s="53">
        <v>0</v>
      </c>
      <c r="F25" s="164">
        <v>0</v>
      </c>
      <c r="G25" s="56" t="str">
        <f t="shared" si="3"/>
        <v>-</v>
      </c>
      <c r="H25" s="56" t="str">
        <f t="shared" si="4"/>
        <v>-</v>
      </c>
      <c r="I25" s="56" t="str">
        <f t="shared" si="5"/>
        <v>-</v>
      </c>
      <c r="J25" s="57">
        <f t="shared" si="0"/>
        <v>0</v>
      </c>
      <c r="K25" s="57">
        <f t="shared" si="1"/>
        <v>0</v>
      </c>
      <c r="L25" s="57">
        <f t="shared" si="2"/>
        <v>0</v>
      </c>
    </row>
    <row r="26" spans="2:12" x14ac:dyDescent="0.25">
      <c r="B26" s="103" t="s">
        <v>39</v>
      </c>
      <c r="C26" s="174">
        <v>0</v>
      </c>
      <c r="D26" s="71">
        <v>0</v>
      </c>
      <c r="E26" s="71">
        <v>0</v>
      </c>
      <c r="F26" s="166">
        <v>0</v>
      </c>
      <c r="G26" s="74" t="str">
        <f t="shared" si="3"/>
        <v>-</v>
      </c>
      <c r="H26" s="74" t="str">
        <f t="shared" si="4"/>
        <v>-</v>
      </c>
      <c r="I26" s="74" t="str">
        <f t="shared" si="5"/>
        <v>-</v>
      </c>
      <c r="J26" s="75">
        <f t="shared" si="0"/>
        <v>0</v>
      </c>
      <c r="K26" s="75">
        <f t="shared" si="1"/>
        <v>0</v>
      </c>
      <c r="L26" s="75">
        <f t="shared" si="2"/>
        <v>0</v>
      </c>
    </row>
    <row r="27" spans="2:12" x14ac:dyDescent="0.25">
      <c r="B27" s="89" t="s">
        <v>40</v>
      </c>
      <c r="C27" s="172">
        <v>0</v>
      </c>
      <c r="D27" s="53">
        <v>0</v>
      </c>
      <c r="E27" s="53">
        <v>0</v>
      </c>
      <c r="F27" s="164">
        <v>0</v>
      </c>
      <c r="G27" s="56" t="str">
        <f t="shared" si="3"/>
        <v>-</v>
      </c>
      <c r="H27" s="56" t="str">
        <f t="shared" si="4"/>
        <v>-</v>
      </c>
      <c r="I27" s="56" t="str">
        <f t="shared" si="5"/>
        <v>-</v>
      </c>
      <c r="J27" s="57">
        <f t="shared" si="0"/>
        <v>0</v>
      </c>
      <c r="K27" s="57">
        <f t="shared" si="1"/>
        <v>0</v>
      </c>
      <c r="L27" s="57">
        <f t="shared" si="2"/>
        <v>0</v>
      </c>
    </row>
    <row r="28" spans="2:12" x14ac:dyDescent="0.25">
      <c r="B28" s="103" t="s">
        <v>41</v>
      </c>
      <c r="C28" s="174">
        <v>0</v>
      </c>
      <c r="D28" s="71">
        <v>0</v>
      </c>
      <c r="E28" s="71">
        <v>0</v>
      </c>
      <c r="F28" s="166">
        <v>0</v>
      </c>
      <c r="G28" s="74" t="str">
        <f t="shared" si="3"/>
        <v>-</v>
      </c>
      <c r="H28" s="74" t="str">
        <f t="shared" si="4"/>
        <v>-</v>
      </c>
      <c r="I28" s="74" t="str">
        <f t="shared" si="5"/>
        <v>-</v>
      </c>
      <c r="J28" s="75">
        <f t="shared" si="0"/>
        <v>0</v>
      </c>
      <c r="K28" s="75">
        <f t="shared" si="1"/>
        <v>0</v>
      </c>
      <c r="L28" s="75">
        <f t="shared" si="2"/>
        <v>0</v>
      </c>
    </row>
    <row r="29" spans="2:12" x14ac:dyDescent="0.25">
      <c r="B29" s="89" t="s">
        <v>42</v>
      </c>
      <c r="C29" s="172">
        <v>0</v>
      </c>
      <c r="D29" s="53">
        <v>0</v>
      </c>
      <c r="E29" s="53">
        <v>0</v>
      </c>
      <c r="F29" s="164">
        <v>0</v>
      </c>
      <c r="G29" s="56" t="str">
        <f t="shared" si="3"/>
        <v>-</v>
      </c>
      <c r="H29" s="56" t="str">
        <f t="shared" si="4"/>
        <v>-</v>
      </c>
      <c r="I29" s="56" t="str">
        <f t="shared" si="5"/>
        <v>-</v>
      </c>
      <c r="J29" s="57">
        <f t="shared" si="0"/>
        <v>0</v>
      </c>
      <c r="K29" s="57">
        <f t="shared" si="1"/>
        <v>0</v>
      </c>
      <c r="L29" s="57">
        <f t="shared" si="2"/>
        <v>0</v>
      </c>
    </row>
    <row r="30" spans="2:12" x14ac:dyDescent="0.25">
      <c r="B30" s="103" t="s">
        <v>10</v>
      </c>
      <c r="C30" s="174">
        <v>643000</v>
      </c>
      <c r="D30" s="71">
        <v>66912</v>
      </c>
      <c r="E30" s="71">
        <v>9142</v>
      </c>
      <c r="F30" s="166">
        <v>27426</v>
      </c>
      <c r="G30" s="74">
        <f t="shared" si="3"/>
        <v>104.06220839813375</v>
      </c>
      <c r="H30" s="74">
        <f t="shared" si="4"/>
        <v>14.217729393468119</v>
      </c>
      <c r="I30" s="74">
        <f t="shared" si="5"/>
        <v>42.653188180404356</v>
      </c>
      <c r="J30" s="75">
        <f t="shared" si="0"/>
        <v>0.66123804253300655</v>
      </c>
      <c r="K30" s="75">
        <f t="shared" si="1"/>
        <v>0.46309710754267769</v>
      </c>
      <c r="L30" s="75">
        <f t="shared" si="2"/>
        <v>0.69051815297849839</v>
      </c>
    </row>
    <row r="31" spans="2:12" x14ac:dyDescent="0.25">
      <c r="B31" s="89" t="s">
        <v>43</v>
      </c>
      <c r="C31" s="53">
        <v>8000</v>
      </c>
      <c r="D31" s="53">
        <v>1040</v>
      </c>
      <c r="E31" s="53">
        <v>0</v>
      </c>
      <c r="F31" s="164">
        <v>0</v>
      </c>
      <c r="G31" s="56">
        <f t="shared" si="3"/>
        <v>130</v>
      </c>
      <c r="H31" s="56">
        <f t="shared" si="4"/>
        <v>0</v>
      </c>
      <c r="I31" s="56">
        <f t="shared" si="5"/>
        <v>0</v>
      </c>
      <c r="J31" s="57">
        <f>D31/$D$33</f>
        <v>1.0277492291880781E-2</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980000</v>
      </c>
      <c r="D33" s="63">
        <f>SUM(D11:D31)</f>
        <v>101192</v>
      </c>
      <c r="E33" s="62">
        <f t="shared" ref="E33:F33" si="7">SUM(E11:E31)</f>
        <v>19741</v>
      </c>
      <c r="F33" s="102">
        <f t="shared" si="7"/>
        <v>39718</v>
      </c>
      <c r="G33" s="94"/>
      <c r="H33" s="94"/>
      <c r="I33" s="94"/>
      <c r="J33" s="95">
        <f t="shared" ref="J33:L33" si="8">SUM(J11:J31)</f>
        <v>1</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179</v>
      </c>
      <c r="C40" s="68"/>
      <c r="D40" s="68"/>
      <c r="E40" s="68"/>
      <c r="F40" s="68"/>
      <c r="G40" s="88"/>
      <c r="H40" s="88"/>
      <c r="I40"/>
      <c r="J40"/>
      <c r="K40"/>
      <c r="L40"/>
      <c r="M40"/>
      <c r="N40"/>
      <c r="O40"/>
      <c r="P40"/>
      <c r="Q40"/>
    </row>
    <row r="41" spans="1:17" x14ac:dyDescent="0.25">
      <c r="B41" s="67" t="s">
        <v>382</v>
      </c>
      <c r="C41" s="67"/>
      <c r="D41" s="67"/>
      <c r="E41" s="67"/>
      <c r="F41" s="67"/>
      <c r="G41" s="87"/>
      <c r="H41" s="87"/>
    </row>
    <row r="42" spans="1:17" x14ac:dyDescent="0.25">
      <c r="B42" s="69"/>
      <c r="C42" s="67"/>
      <c r="D42" s="67"/>
      <c r="E42" s="67"/>
      <c r="F42" s="67"/>
      <c r="G42" s="87"/>
      <c r="H42" s="87"/>
    </row>
    <row r="43" spans="1:17" x14ac:dyDescent="0.25">
      <c r="B43" s="66" t="s">
        <v>398</v>
      </c>
    </row>
  </sheetData>
  <mergeCells count="8">
    <mergeCell ref="C6:C7"/>
    <mergeCell ref="D6:F6"/>
    <mergeCell ref="G6:I6"/>
    <mergeCell ref="J6:L6"/>
    <mergeCell ref="B7:B8"/>
    <mergeCell ref="D7:F7"/>
    <mergeCell ref="G7:I7"/>
    <mergeCell ref="J7:L7"/>
  </mergeCells>
  <hyperlinks>
    <hyperlink ref="B1" location="Start!A1" display="Back to home page" xr:uid="{79C6A89A-D75A-4DC5-A808-93D24A0B0DBB}"/>
  </hyperlinks>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A518-248E-4632-BC50-C7BB57995213}">
  <sheetPr>
    <tabColor rgb="FF92D050"/>
  </sheetPr>
  <dimension ref="A1:AY42"/>
  <sheetViews>
    <sheetView showGridLines="0" zoomScale="80" zoomScaleNormal="80" workbookViewId="0">
      <pane xSplit="2" ySplit="9" topLeftCell="C15"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customWidth="1"/>
    <col min="2" max="2" width="45.7109375" style="7" customWidth="1"/>
    <col min="3" max="22" width="12.7109375" style="7" customWidth="1"/>
    <col min="23" max="51" width="8.7109375" style="7"/>
  </cols>
  <sheetData>
    <row r="1" spans="1:51" x14ac:dyDescent="0.25">
      <c r="A1" s="21"/>
      <c r="B1" s="546" t="s">
        <v>432</v>
      </c>
      <c r="E1"/>
      <c r="F1"/>
      <c r="G1"/>
      <c r="H1"/>
      <c r="I1"/>
      <c r="J1"/>
      <c r="R1"/>
      <c r="S1"/>
      <c r="T1"/>
      <c r="U1"/>
      <c r="V1"/>
      <c r="W1"/>
      <c r="Y1"/>
      <c r="Z1"/>
      <c r="AA1"/>
      <c r="AB1"/>
      <c r="AC1"/>
      <c r="AD1"/>
      <c r="AE1"/>
      <c r="AF1"/>
      <c r="AG1"/>
      <c r="AH1"/>
      <c r="AI1"/>
      <c r="AJ1"/>
      <c r="AK1"/>
      <c r="AL1"/>
      <c r="AM1"/>
      <c r="AN1"/>
      <c r="AO1"/>
      <c r="AP1"/>
      <c r="AQ1"/>
      <c r="AR1"/>
      <c r="AS1"/>
      <c r="AT1"/>
      <c r="AU1"/>
      <c r="AV1"/>
      <c r="AW1"/>
      <c r="AX1"/>
      <c r="AY1"/>
    </row>
    <row r="2" spans="1:51" x14ac:dyDescent="0.25">
      <c r="A2" s="21"/>
      <c r="E2"/>
      <c r="F2"/>
      <c r="G2"/>
      <c r="H2"/>
      <c r="I2"/>
      <c r="J2"/>
      <c r="R2"/>
      <c r="S2"/>
      <c r="T2"/>
      <c r="U2"/>
      <c r="V2"/>
      <c r="W2"/>
      <c r="Y2"/>
      <c r="Z2"/>
      <c r="AA2"/>
      <c r="AB2"/>
      <c r="AC2"/>
      <c r="AD2"/>
      <c r="AE2"/>
      <c r="AF2"/>
      <c r="AG2"/>
      <c r="AH2"/>
      <c r="AI2"/>
      <c r="AJ2"/>
      <c r="AK2"/>
      <c r="AL2"/>
      <c r="AM2"/>
      <c r="AN2"/>
      <c r="AO2"/>
      <c r="AP2"/>
      <c r="AQ2"/>
      <c r="AR2"/>
      <c r="AS2"/>
      <c r="AT2"/>
      <c r="AU2"/>
      <c r="AV2"/>
      <c r="AW2"/>
      <c r="AX2"/>
      <c r="AY2"/>
    </row>
    <row r="3" spans="1:51" x14ac:dyDescent="0.25">
      <c r="A3" s="21"/>
      <c r="E3"/>
      <c r="F3"/>
      <c r="G3"/>
      <c r="H3"/>
      <c r="I3"/>
      <c r="J3"/>
      <c r="R3"/>
      <c r="S3"/>
      <c r="T3"/>
      <c r="U3"/>
      <c r="V3"/>
      <c r="W3"/>
      <c r="Y3"/>
      <c r="Z3"/>
      <c r="AA3"/>
      <c r="AB3"/>
      <c r="AC3"/>
      <c r="AD3"/>
      <c r="AE3"/>
      <c r="AF3"/>
      <c r="AG3"/>
      <c r="AH3"/>
      <c r="AI3"/>
      <c r="AJ3"/>
      <c r="AK3"/>
      <c r="AL3"/>
      <c r="AM3"/>
      <c r="AN3"/>
      <c r="AO3"/>
      <c r="AP3"/>
      <c r="AQ3"/>
      <c r="AR3"/>
      <c r="AS3"/>
      <c r="AT3"/>
      <c r="AU3"/>
      <c r="AV3"/>
      <c r="AW3"/>
      <c r="AX3"/>
      <c r="AY3"/>
    </row>
    <row r="4" spans="1:51" x14ac:dyDescent="0.25">
      <c r="A4" s="21"/>
      <c r="E4"/>
      <c r="F4"/>
      <c r="G4"/>
      <c r="H4"/>
      <c r="I4"/>
      <c r="J4"/>
      <c r="R4"/>
      <c r="S4"/>
      <c r="T4"/>
      <c r="U4"/>
      <c r="V4"/>
      <c r="W4"/>
      <c r="Y4"/>
      <c r="Z4"/>
      <c r="AA4"/>
      <c r="AB4"/>
      <c r="AC4"/>
      <c r="AD4"/>
      <c r="AE4"/>
      <c r="AF4"/>
      <c r="AG4"/>
      <c r="AH4"/>
      <c r="AI4"/>
      <c r="AJ4"/>
      <c r="AK4"/>
      <c r="AL4"/>
      <c r="AM4"/>
      <c r="AN4"/>
      <c r="AO4"/>
      <c r="AP4"/>
      <c r="AQ4"/>
      <c r="AR4"/>
      <c r="AS4"/>
      <c r="AT4"/>
      <c r="AU4"/>
      <c r="AV4"/>
      <c r="AW4"/>
      <c r="AX4"/>
      <c r="AY4"/>
    </row>
    <row r="5" spans="1:51" ht="15.75" thickBot="1" x14ac:dyDescent="0.3">
      <c r="J5"/>
      <c r="T5" s="18"/>
      <c r="U5" s="19"/>
      <c r="V5" s="19"/>
      <c r="W5" s="20"/>
      <c r="AA5"/>
      <c r="AB5"/>
      <c r="AC5"/>
      <c r="AD5"/>
      <c r="AE5"/>
      <c r="AF5"/>
      <c r="AG5"/>
      <c r="AH5"/>
      <c r="AI5"/>
      <c r="AJ5"/>
      <c r="AK5"/>
      <c r="AL5"/>
      <c r="AM5"/>
      <c r="AN5"/>
      <c r="AO5"/>
      <c r="AP5"/>
      <c r="AQ5"/>
      <c r="AR5"/>
      <c r="AS5"/>
      <c r="AT5"/>
      <c r="AU5"/>
      <c r="AV5"/>
      <c r="AW5"/>
      <c r="AX5"/>
      <c r="AY5"/>
    </row>
    <row r="6" spans="1:51" ht="30" customHeight="1" thickTop="1" x14ac:dyDescent="0.3">
      <c r="B6" s="38" t="s">
        <v>387</v>
      </c>
      <c r="C6" s="592" t="s">
        <v>390</v>
      </c>
      <c r="D6" s="592"/>
      <c r="E6" s="592" t="s">
        <v>389</v>
      </c>
      <c r="F6" s="592"/>
      <c r="G6" s="592"/>
      <c r="H6" s="592"/>
      <c r="I6" s="592"/>
      <c r="J6" s="592"/>
      <c r="K6" s="589" t="s">
        <v>392</v>
      </c>
      <c r="L6" s="589"/>
      <c r="M6" s="589"/>
      <c r="N6" s="589"/>
      <c r="O6" s="589"/>
      <c r="P6" s="589"/>
      <c r="Q6" s="589" t="s">
        <v>414</v>
      </c>
      <c r="R6" s="589"/>
      <c r="S6" s="589"/>
      <c r="T6" s="589"/>
      <c r="U6" s="589"/>
      <c r="V6" s="589"/>
      <c r="W6" s="35"/>
    </row>
    <row r="7" spans="1:51" ht="25.15" customHeight="1" thickBot="1" x14ac:dyDescent="0.3">
      <c r="B7" s="583" t="s">
        <v>108</v>
      </c>
      <c r="C7" s="593" t="s">
        <v>405</v>
      </c>
      <c r="D7" s="593"/>
      <c r="E7" s="591" t="s">
        <v>14</v>
      </c>
      <c r="F7" s="591"/>
      <c r="G7" s="591"/>
      <c r="H7" s="591"/>
      <c r="I7" s="591"/>
      <c r="J7" s="591"/>
      <c r="K7" s="593" t="s">
        <v>415</v>
      </c>
      <c r="L7" s="593"/>
      <c r="M7" s="593"/>
      <c r="N7" s="593"/>
      <c r="O7" s="593"/>
      <c r="P7" s="593"/>
      <c r="Q7" s="591" t="s">
        <v>0</v>
      </c>
      <c r="R7" s="591"/>
      <c r="S7" s="591"/>
      <c r="T7" s="591"/>
      <c r="U7" s="591"/>
      <c r="V7" s="591"/>
      <c r="W7" s="35"/>
    </row>
    <row r="8" spans="1:51" ht="34.15" customHeight="1" thickTop="1" thickBot="1" x14ac:dyDescent="0.3">
      <c r="B8" s="584"/>
      <c r="C8" s="624"/>
      <c r="D8" s="624"/>
      <c r="E8" s="618" t="s">
        <v>388</v>
      </c>
      <c r="F8" s="618"/>
      <c r="G8" s="618" t="s">
        <v>394</v>
      </c>
      <c r="H8" s="618"/>
      <c r="I8" s="618" t="s">
        <v>395</v>
      </c>
      <c r="J8" s="618"/>
      <c r="K8" s="620" t="s">
        <v>388</v>
      </c>
      <c r="L8" s="620"/>
      <c r="M8" s="620" t="s">
        <v>394</v>
      </c>
      <c r="N8" s="620"/>
      <c r="O8" s="620" t="s">
        <v>395</v>
      </c>
      <c r="P8" s="620"/>
      <c r="Q8" s="618" t="s">
        <v>388</v>
      </c>
      <c r="R8" s="618"/>
      <c r="S8" s="618" t="s">
        <v>394</v>
      </c>
      <c r="T8" s="618"/>
      <c r="U8" s="618" t="s">
        <v>395</v>
      </c>
      <c r="V8" s="618"/>
      <c r="W8" s="35"/>
    </row>
    <row r="9" spans="1:51" ht="34.15" customHeight="1" thickTop="1" thickBot="1" x14ac:dyDescent="0.3">
      <c r="B9" s="328" t="s">
        <v>393</v>
      </c>
      <c r="C9" s="50" t="s">
        <v>1</v>
      </c>
      <c r="D9" s="110" t="s">
        <v>2</v>
      </c>
      <c r="E9" s="50" t="s">
        <v>1</v>
      </c>
      <c r="F9" s="110" t="s">
        <v>2</v>
      </c>
      <c r="G9" s="51" t="s">
        <v>1</v>
      </c>
      <c r="H9" s="110" t="s">
        <v>2</v>
      </c>
      <c r="I9" s="51" t="s">
        <v>1</v>
      </c>
      <c r="J9" s="110" t="s">
        <v>2</v>
      </c>
      <c r="K9" s="51" t="s">
        <v>1</v>
      </c>
      <c r="L9" s="109" t="s">
        <v>2</v>
      </c>
      <c r="M9" s="108" t="s">
        <v>1</v>
      </c>
      <c r="N9" s="110" t="s">
        <v>2</v>
      </c>
      <c r="O9" s="51" t="s">
        <v>1</v>
      </c>
      <c r="P9" s="109" t="s">
        <v>2</v>
      </c>
      <c r="Q9" s="108" t="s">
        <v>1</v>
      </c>
      <c r="R9" s="110" t="s">
        <v>2</v>
      </c>
      <c r="S9" s="51" t="s">
        <v>1</v>
      </c>
      <c r="T9" s="110" t="s">
        <v>2</v>
      </c>
      <c r="U9" s="51" t="s">
        <v>1</v>
      </c>
      <c r="V9" s="110" t="s">
        <v>2</v>
      </c>
      <c r="W9" s="35"/>
    </row>
    <row r="10" spans="1:51" ht="6" customHeight="1" thickTop="1" x14ac:dyDescent="0.25">
      <c r="B10" s="326"/>
      <c r="C10" s="330"/>
      <c r="D10" s="331"/>
      <c r="E10" s="46"/>
      <c r="F10" s="332"/>
      <c r="G10" s="46"/>
      <c r="H10" s="332"/>
      <c r="I10" s="46"/>
      <c r="J10" s="334"/>
      <c r="K10" s="329"/>
      <c r="L10" s="340"/>
      <c r="M10" s="394"/>
      <c r="N10" s="332"/>
      <c r="O10" s="46"/>
      <c r="P10" s="340"/>
      <c r="Q10" s="394"/>
      <c r="R10" s="332"/>
      <c r="S10" s="46"/>
      <c r="T10" s="332"/>
      <c r="U10" s="46"/>
      <c r="V10" s="332"/>
      <c r="W10" s="35"/>
    </row>
    <row r="11" spans="1:51" x14ac:dyDescent="0.25">
      <c r="B11" s="59" t="s">
        <v>3</v>
      </c>
      <c r="C11" s="220">
        <v>8797200</v>
      </c>
      <c r="D11" s="221">
        <v>8678000</v>
      </c>
      <c r="E11" s="176">
        <v>1337475</v>
      </c>
      <c r="F11" s="221">
        <v>1338600</v>
      </c>
      <c r="G11" s="176">
        <v>643200</v>
      </c>
      <c r="H11" s="221">
        <v>605000</v>
      </c>
      <c r="I11" s="176">
        <v>4000</v>
      </c>
      <c r="J11" s="237">
        <v>5000</v>
      </c>
      <c r="K11" s="335">
        <f t="shared" ref="K11:L26" si="0">IFERROR(E11*1000/C11,"-")</f>
        <v>152.03416996317009</v>
      </c>
      <c r="L11" s="302">
        <f t="shared" si="0"/>
        <v>154.25213182761004</v>
      </c>
      <c r="M11" s="335">
        <f t="shared" ref="M11:N26" si="1">IFERROR(G11*1000/C11,"-")</f>
        <v>73.11417269131087</v>
      </c>
      <c r="N11" s="284">
        <f t="shared" si="1"/>
        <v>69.716524544826001</v>
      </c>
      <c r="O11" s="55">
        <f t="shared" ref="O11:P26" si="2">IFERROR(I11*1000/C11,"-")</f>
        <v>0.4546901286773064</v>
      </c>
      <c r="P11" s="302">
        <f t="shared" si="2"/>
        <v>0.57616962433740493</v>
      </c>
      <c r="Q11" s="395">
        <f t="shared" ref="Q11:Q26" si="3">E11/$E$28</f>
        <v>0.38843738954739737</v>
      </c>
      <c r="R11" s="301">
        <f t="shared" ref="R11:R26" si="4">F11/$F$28</f>
        <v>0.39940503985546705</v>
      </c>
      <c r="S11" s="289">
        <f t="shared" ref="S11:S26" si="5">G11/$G$28</f>
        <v>0.51771016279859694</v>
      </c>
      <c r="T11" s="301">
        <f t="shared" ref="T11:T26" si="6">H11/$H$28</f>
        <v>0.52536286943647237</v>
      </c>
      <c r="U11" s="289">
        <f t="shared" ref="U11:U26" si="7">I11/$I$28</f>
        <v>7.7212624264067178E-2</v>
      </c>
      <c r="V11" s="301">
        <f t="shared" ref="V11:V26" si="8">J11/$J$28</f>
        <v>9.1908385721113192E-2</v>
      </c>
      <c r="W11" s="35"/>
    </row>
    <row r="12" spans="1:51" x14ac:dyDescent="0.25">
      <c r="B12" s="70" t="s">
        <v>16</v>
      </c>
      <c r="C12" s="230">
        <v>2900600</v>
      </c>
      <c r="D12" s="231">
        <v>2810000</v>
      </c>
      <c r="E12" s="177">
        <v>335191</v>
      </c>
      <c r="F12" s="231">
        <v>338750</v>
      </c>
      <c r="G12" s="177">
        <v>100288</v>
      </c>
      <c r="H12" s="231">
        <v>98150</v>
      </c>
      <c r="I12" s="177">
        <v>1350</v>
      </c>
      <c r="J12" s="244">
        <v>1400</v>
      </c>
      <c r="K12" s="153">
        <f t="shared" si="0"/>
        <v>115.55919464938289</v>
      </c>
      <c r="L12" s="154">
        <f t="shared" si="0"/>
        <v>120.55160142348754</v>
      </c>
      <c r="M12" s="153">
        <f t="shared" si="1"/>
        <v>34.574915534716958</v>
      </c>
      <c r="N12" s="285">
        <f t="shared" si="1"/>
        <v>34.928825622775804</v>
      </c>
      <c r="O12" s="73">
        <f t="shared" si="2"/>
        <v>0.46542094739019513</v>
      </c>
      <c r="P12" s="154">
        <f t="shared" si="2"/>
        <v>0.49822064056939502</v>
      </c>
      <c r="Q12" s="555">
        <f t="shared" si="3"/>
        <v>9.7348150088623464E-2</v>
      </c>
      <c r="R12" s="307">
        <f t="shared" si="4"/>
        <v>0.10107459827509298</v>
      </c>
      <c r="S12" s="308">
        <f t="shared" si="5"/>
        <v>8.0721574637353369E-2</v>
      </c>
      <c r="T12" s="307">
        <f t="shared" si="6"/>
        <v>8.5230356421801254E-2</v>
      </c>
      <c r="U12" s="308">
        <f t="shared" si="7"/>
        <v>2.6059260689122673E-2</v>
      </c>
      <c r="V12" s="307">
        <f t="shared" si="8"/>
        <v>2.5734348001911694E-2</v>
      </c>
      <c r="W12" s="35"/>
    </row>
    <row r="13" spans="1:51" x14ac:dyDescent="0.25">
      <c r="B13" s="59" t="s">
        <v>78</v>
      </c>
      <c r="C13" s="220">
        <v>820000</v>
      </c>
      <c r="D13" s="221">
        <v>893100</v>
      </c>
      <c r="E13" s="176">
        <v>184100</v>
      </c>
      <c r="F13" s="221">
        <v>198480</v>
      </c>
      <c r="G13" s="176">
        <v>48500</v>
      </c>
      <c r="H13" s="221">
        <v>50000</v>
      </c>
      <c r="I13" s="176">
        <v>2100</v>
      </c>
      <c r="J13" s="237">
        <v>2260</v>
      </c>
      <c r="K13" s="335">
        <f t="shared" si="0"/>
        <v>224.51219512195121</v>
      </c>
      <c r="L13" s="302">
        <f t="shared" si="0"/>
        <v>222.23715149479341</v>
      </c>
      <c r="M13" s="335">
        <f t="shared" si="1"/>
        <v>59.146341463414636</v>
      </c>
      <c r="N13" s="284">
        <f t="shared" si="1"/>
        <v>55.98477214197738</v>
      </c>
      <c r="O13" s="55">
        <f t="shared" si="2"/>
        <v>2.5609756097560976</v>
      </c>
      <c r="P13" s="302">
        <f t="shared" si="2"/>
        <v>2.5305117008173776</v>
      </c>
      <c r="Q13" s="395">
        <f t="shared" si="3"/>
        <v>5.346740942124216E-2</v>
      </c>
      <c r="R13" s="301">
        <f t="shared" si="4"/>
        <v>5.9221509271263337E-2</v>
      </c>
      <c r="S13" s="289">
        <f t="shared" si="5"/>
        <v>3.9037535596598179E-2</v>
      </c>
      <c r="T13" s="301">
        <f t="shared" si="6"/>
        <v>4.3418418961691928E-2</v>
      </c>
      <c r="U13" s="289">
        <f t="shared" si="7"/>
        <v>4.053662773863527E-2</v>
      </c>
      <c r="V13" s="301">
        <f t="shared" si="8"/>
        <v>4.1542590345943167E-2</v>
      </c>
      <c r="W13" s="35"/>
    </row>
    <row r="14" spans="1:51" x14ac:dyDescent="0.25">
      <c r="B14" s="70" t="s">
        <v>79</v>
      </c>
      <c r="C14" s="230">
        <v>431400</v>
      </c>
      <c r="D14" s="231">
        <v>480900</v>
      </c>
      <c r="E14" s="177">
        <v>75986</v>
      </c>
      <c r="F14" s="231">
        <v>86600</v>
      </c>
      <c r="G14" s="177">
        <v>14375</v>
      </c>
      <c r="H14" s="231">
        <v>16000</v>
      </c>
      <c r="I14" s="177">
        <v>528</v>
      </c>
      <c r="J14" s="244">
        <v>530</v>
      </c>
      <c r="K14" s="153">
        <f t="shared" si="0"/>
        <v>176.13815484469171</v>
      </c>
      <c r="L14" s="154">
        <f t="shared" si="0"/>
        <v>180.07901850696609</v>
      </c>
      <c r="M14" s="153">
        <f t="shared" si="1"/>
        <v>33.321743161798793</v>
      </c>
      <c r="N14" s="285">
        <f t="shared" si="1"/>
        <v>33.270950301517985</v>
      </c>
      <c r="O14" s="73">
        <f t="shared" si="2"/>
        <v>1.2239221140472878</v>
      </c>
      <c r="P14" s="154">
        <f t="shared" si="2"/>
        <v>1.1021002287377832</v>
      </c>
      <c r="Q14" s="555">
        <f t="shared" si="3"/>
        <v>2.2068302945586673E-2</v>
      </c>
      <c r="R14" s="307">
        <f t="shared" si="4"/>
        <v>2.5839292134680596E-2</v>
      </c>
      <c r="S14" s="308">
        <f t="shared" si="5"/>
        <v>1.1570403591775235E-2</v>
      </c>
      <c r="T14" s="307">
        <f t="shared" si="6"/>
        <v>1.3893894067741417E-2</v>
      </c>
      <c r="U14" s="308">
        <f t="shared" si="7"/>
        <v>1.0192066402856867E-2</v>
      </c>
      <c r="V14" s="307">
        <f t="shared" si="8"/>
        <v>9.7422888864379994E-3</v>
      </c>
      <c r="W14" s="35"/>
    </row>
    <row r="15" spans="1:51" x14ac:dyDescent="0.25">
      <c r="B15" s="59" t="s">
        <v>5</v>
      </c>
      <c r="C15" s="220">
        <v>795000</v>
      </c>
      <c r="D15" s="221">
        <v>802000</v>
      </c>
      <c r="E15" s="176">
        <v>95315</v>
      </c>
      <c r="F15" s="221">
        <v>96150</v>
      </c>
      <c r="G15" s="176">
        <v>21600</v>
      </c>
      <c r="H15" s="221">
        <v>21000</v>
      </c>
      <c r="I15" s="176">
        <v>400</v>
      </c>
      <c r="J15" s="237">
        <v>500</v>
      </c>
      <c r="K15" s="335">
        <f t="shared" si="0"/>
        <v>119.89308176100629</v>
      </c>
      <c r="L15" s="302">
        <f t="shared" si="0"/>
        <v>119.88778054862843</v>
      </c>
      <c r="M15" s="335">
        <f t="shared" si="1"/>
        <v>27.169811320754718</v>
      </c>
      <c r="N15" s="284">
        <f t="shared" si="1"/>
        <v>26.184538653366584</v>
      </c>
      <c r="O15" s="55">
        <f t="shared" si="2"/>
        <v>0.50314465408805031</v>
      </c>
      <c r="P15" s="302">
        <f t="shared" si="2"/>
        <v>0.62344139650872821</v>
      </c>
      <c r="Q15" s="395">
        <f t="shared" si="3"/>
        <v>2.7681945295957067E-2</v>
      </c>
      <c r="R15" s="301">
        <f t="shared" si="4"/>
        <v>2.8688775274244103E-2</v>
      </c>
      <c r="S15" s="289">
        <f t="shared" si="5"/>
        <v>1.7385789049206613E-2</v>
      </c>
      <c r="T15" s="301">
        <f t="shared" si="6"/>
        <v>1.823573596391061E-2</v>
      </c>
      <c r="U15" s="289">
        <f t="shared" si="7"/>
        <v>7.7212624264067177E-3</v>
      </c>
      <c r="V15" s="301">
        <f t="shared" si="8"/>
        <v>9.1908385721113199E-3</v>
      </c>
      <c r="W15" s="35"/>
    </row>
    <row r="16" spans="1:51" x14ac:dyDescent="0.25">
      <c r="B16" s="70" t="s">
        <v>18</v>
      </c>
      <c r="C16" s="230">
        <v>226700</v>
      </c>
      <c r="D16" s="231">
        <v>223482</v>
      </c>
      <c r="E16" s="177">
        <v>15800</v>
      </c>
      <c r="F16" s="231">
        <v>15570</v>
      </c>
      <c r="G16" s="177">
        <v>6045</v>
      </c>
      <c r="H16" s="231">
        <v>6050</v>
      </c>
      <c r="I16" s="177">
        <v>305</v>
      </c>
      <c r="J16" s="244">
        <v>250</v>
      </c>
      <c r="K16" s="153">
        <f t="shared" si="0"/>
        <v>69.695632995147776</v>
      </c>
      <c r="L16" s="154">
        <f t="shared" si="0"/>
        <v>69.670040540177737</v>
      </c>
      <c r="M16" s="153">
        <f t="shared" si="1"/>
        <v>26.66519629466255</v>
      </c>
      <c r="N16" s="285">
        <f t="shared" si="1"/>
        <v>27.071531487994559</v>
      </c>
      <c r="O16" s="73">
        <f t="shared" si="2"/>
        <v>1.3453903837670931</v>
      </c>
      <c r="P16" s="154">
        <f t="shared" si="2"/>
        <v>1.1186583259501883</v>
      </c>
      <c r="Q16" s="555">
        <f t="shared" si="3"/>
        <v>4.5887293256687998E-3</v>
      </c>
      <c r="R16" s="307">
        <f t="shared" si="4"/>
        <v>4.645701830681026E-3</v>
      </c>
      <c r="S16" s="308">
        <f t="shared" si="5"/>
        <v>4.865606240854351E-3</v>
      </c>
      <c r="T16" s="307">
        <f t="shared" si="6"/>
        <v>5.2536286943647235E-3</v>
      </c>
      <c r="U16" s="308">
        <f t="shared" si="7"/>
        <v>5.8874626001351217E-3</v>
      </c>
      <c r="V16" s="307">
        <f t="shared" si="8"/>
        <v>4.59541928605566E-3</v>
      </c>
      <c r="W16" s="35"/>
    </row>
    <row r="17" spans="1:51" x14ac:dyDescent="0.25">
      <c r="B17" s="59" t="s">
        <v>25</v>
      </c>
      <c r="C17" s="220">
        <v>2700300</v>
      </c>
      <c r="D17" s="221">
        <v>2373000</v>
      </c>
      <c r="E17" s="176">
        <v>545448</v>
      </c>
      <c r="F17" s="221">
        <v>470590</v>
      </c>
      <c r="G17" s="176">
        <v>93819</v>
      </c>
      <c r="H17" s="221">
        <v>72300</v>
      </c>
      <c r="I17" s="176">
        <v>1650</v>
      </c>
      <c r="J17" s="237">
        <v>1450</v>
      </c>
      <c r="K17" s="335">
        <f t="shared" si="0"/>
        <v>201.99533385179424</v>
      </c>
      <c r="L17" s="302">
        <f t="shared" si="0"/>
        <v>198.3101559207754</v>
      </c>
      <c r="M17" s="335">
        <f t="shared" si="1"/>
        <v>34.743917342517499</v>
      </c>
      <c r="N17" s="284">
        <f t="shared" si="1"/>
        <v>30.467762326169407</v>
      </c>
      <c r="O17" s="55">
        <f t="shared" si="2"/>
        <v>0.61104321742028667</v>
      </c>
      <c r="P17" s="302">
        <f t="shared" si="2"/>
        <v>0.61104087652760219</v>
      </c>
      <c r="Q17" s="395">
        <f t="shared" si="3"/>
        <v>0.15841222995110099</v>
      </c>
      <c r="R17" s="301">
        <f t="shared" si="4"/>
        <v>0.14041238436096237</v>
      </c>
      <c r="S17" s="289">
        <f t="shared" si="5"/>
        <v>7.5514691796644218E-2</v>
      </c>
      <c r="T17" s="301">
        <f t="shared" si="6"/>
        <v>6.2783033818606532E-2</v>
      </c>
      <c r="U17" s="289">
        <f t="shared" si="7"/>
        <v>3.1850207508927711E-2</v>
      </c>
      <c r="V17" s="301">
        <f t="shared" si="8"/>
        <v>2.6653431859122827E-2</v>
      </c>
      <c r="W17" s="35"/>
    </row>
    <row r="18" spans="1:51" x14ac:dyDescent="0.25">
      <c r="B18" s="70" t="s">
        <v>6</v>
      </c>
      <c r="C18" s="230">
        <v>300</v>
      </c>
      <c r="D18" s="231">
        <v>300</v>
      </c>
      <c r="E18" s="177">
        <v>15</v>
      </c>
      <c r="F18" s="231">
        <v>15</v>
      </c>
      <c r="G18" s="177">
        <v>17</v>
      </c>
      <c r="H18" s="231">
        <v>15</v>
      </c>
      <c r="I18" s="177">
        <v>2</v>
      </c>
      <c r="J18" s="244">
        <v>2</v>
      </c>
      <c r="K18" s="153">
        <f t="shared" si="0"/>
        <v>50</v>
      </c>
      <c r="L18" s="154">
        <f t="shared" si="0"/>
        <v>50</v>
      </c>
      <c r="M18" s="153">
        <f t="shared" si="1"/>
        <v>56.666666666666664</v>
      </c>
      <c r="N18" s="285">
        <f t="shared" si="1"/>
        <v>50</v>
      </c>
      <c r="O18" s="73">
        <f t="shared" si="2"/>
        <v>6.666666666666667</v>
      </c>
      <c r="P18" s="154">
        <f t="shared" si="2"/>
        <v>6.666666666666667</v>
      </c>
      <c r="Q18" s="555">
        <f t="shared" si="3"/>
        <v>4.3563886003184806E-6</v>
      </c>
      <c r="R18" s="307">
        <f t="shared" si="4"/>
        <v>4.4756279679007961E-6</v>
      </c>
      <c r="S18" s="308">
        <f t="shared" si="5"/>
        <v>1.3683259899838537E-5</v>
      </c>
      <c r="T18" s="307">
        <f t="shared" si="6"/>
        <v>1.3025525688507579E-5</v>
      </c>
      <c r="U18" s="308">
        <f t="shared" si="7"/>
        <v>3.8606312132033588E-5</v>
      </c>
      <c r="V18" s="307">
        <f t="shared" si="8"/>
        <v>3.6763354288445275E-5</v>
      </c>
      <c r="W18" s="35"/>
    </row>
    <row r="19" spans="1:51" x14ac:dyDescent="0.25">
      <c r="B19" s="59" t="s">
        <v>50</v>
      </c>
      <c r="C19" s="220">
        <v>290400</v>
      </c>
      <c r="D19" s="221">
        <v>316518</v>
      </c>
      <c r="E19" s="176">
        <v>20630</v>
      </c>
      <c r="F19" s="221">
        <v>22480</v>
      </c>
      <c r="G19" s="176">
        <v>12900</v>
      </c>
      <c r="H19" s="221">
        <v>11000</v>
      </c>
      <c r="I19" s="176">
        <v>300</v>
      </c>
      <c r="J19" s="237">
        <v>350</v>
      </c>
      <c r="K19" s="335">
        <f t="shared" si="0"/>
        <v>71.039944903581272</v>
      </c>
      <c r="L19" s="302">
        <f t="shared" si="0"/>
        <v>71.022817027783574</v>
      </c>
      <c r="M19" s="335">
        <f t="shared" si="1"/>
        <v>44.421487603305785</v>
      </c>
      <c r="N19" s="284">
        <f t="shared" si="1"/>
        <v>34.753157798292669</v>
      </c>
      <c r="O19" s="55">
        <f t="shared" si="2"/>
        <v>1.0330578512396693</v>
      </c>
      <c r="P19" s="302">
        <f t="shared" si="2"/>
        <v>1.1057822935820396</v>
      </c>
      <c r="Q19" s="395">
        <f t="shared" si="3"/>
        <v>5.9914864549713513E-3</v>
      </c>
      <c r="R19" s="301">
        <f t="shared" si="4"/>
        <v>6.7074744478939933E-3</v>
      </c>
      <c r="S19" s="289">
        <f t="shared" si="5"/>
        <v>1.0383179571053948E-2</v>
      </c>
      <c r="T19" s="301">
        <f t="shared" si="6"/>
        <v>9.5520521715722236E-3</v>
      </c>
      <c r="U19" s="289">
        <f t="shared" si="7"/>
        <v>5.790946819805038E-3</v>
      </c>
      <c r="V19" s="301">
        <f t="shared" si="8"/>
        <v>6.4335870004779234E-3</v>
      </c>
      <c r="W19" s="35"/>
    </row>
    <row r="20" spans="1:51" x14ac:dyDescent="0.25">
      <c r="B20" s="70" t="s">
        <v>53</v>
      </c>
      <c r="C20" s="230">
        <v>5300</v>
      </c>
      <c r="D20" s="231">
        <v>5000</v>
      </c>
      <c r="E20" s="177">
        <v>938</v>
      </c>
      <c r="F20" s="231">
        <v>900</v>
      </c>
      <c r="G20" s="177">
        <v>500</v>
      </c>
      <c r="H20" s="231">
        <v>570</v>
      </c>
      <c r="I20" s="177">
        <v>90</v>
      </c>
      <c r="J20" s="244">
        <v>100</v>
      </c>
      <c r="K20" s="153">
        <f t="shared" si="0"/>
        <v>176.98113207547169</v>
      </c>
      <c r="L20" s="154">
        <f t="shared" si="0"/>
        <v>180</v>
      </c>
      <c r="M20" s="153">
        <f t="shared" si="1"/>
        <v>94.339622641509436</v>
      </c>
      <c r="N20" s="285">
        <f t="shared" si="1"/>
        <v>114</v>
      </c>
      <c r="O20" s="73">
        <f t="shared" si="2"/>
        <v>16.981132075471699</v>
      </c>
      <c r="P20" s="154">
        <f t="shared" si="2"/>
        <v>20</v>
      </c>
      <c r="Q20" s="555">
        <f t="shared" si="3"/>
        <v>2.7241950047324903E-4</v>
      </c>
      <c r="R20" s="307">
        <f t="shared" si="4"/>
        <v>2.6853767807404776E-4</v>
      </c>
      <c r="S20" s="308">
        <f t="shared" si="5"/>
        <v>4.0244882058348638E-4</v>
      </c>
      <c r="T20" s="307">
        <f t="shared" si="6"/>
        <v>4.9496997616328795E-4</v>
      </c>
      <c r="U20" s="308">
        <f t="shared" si="7"/>
        <v>1.7372840459415114E-3</v>
      </c>
      <c r="V20" s="307">
        <f t="shared" si="8"/>
        <v>1.8381677144222639E-3</v>
      </c>
      <c r="W20" s="35"/>
    </row>
    <row r="21" spans="1:51" x14ac:dyDescent="0.25">
      <c r="B21" s="59" t="s">
        <v>54</v>
      </c>
      <c r="C21" s="220">
        <v>1341800</v>
      </c>
      <c r="D21" s="221">
        <v>1102000</v>
      </c>
      <c r="E21" s="176">
        <v>330907</v>
      </c>
      <c r="F21" s="221">
        <v>262730</v>
      </c>
      <c r="G21" s="176">
        <v>86821</v>
      </c>
      <c r="H21" s="221">
        <v>78000</v>
      </c>
      <c r="I21" s="176">
        <v>11300</v>
      </c>
      <c r="J21" s="237">
        <v>11000</v>
      </c>
      <c r="K21" s="335">
        <f t="shared" si="0"/>
        <v>246.61424951557609</v>
      </c>
      <c r="L21" s="302">
        <f t="shared" si="0"/>
        <v>238.41197822141561</v>
      </c>
      <c r="M21" s="335">
        <f t="shared" si="1"/>
        <v>64.704874049783868</v>
      </c>
      <c r="N21" s="284">
        <f t="shared" si="1"/>
        <v>70.780399274047184</v>
      </c>
      <c r="O21" s="55">
        <f t="shared" si="2"/>
        <v>8.4215233268743486</v>
      </c>
      <c r="P21" s="302">
        <f t="shared" si="2"/>
        <v>9.9818511796733205</v>
      </c>
      <c r="Q21" s="395">
        <f t="shared" si="3"/>
        <v>9.6103965504372502E-2</v>
      </c>
      <c r="R21" s="301">
        <f t="shared" si="4"/>
        <v>7.839211573377175E-2</v>
      </c>
      <c r="S21" s="289">
        <f t="shared" si="5"/>
        <v>6.9882018103757743E-2</v>
      </c>
      <c r="T21" s="301">
        <f t="shared" si="6"/>
        <v>6.7732733580239415E-2</v>
      </c>
      <c r="U21" s="289">
        <f t="shared" si="7"/>
        <v>0.21812566354598978</v>
      </c>
      <c r="V21" s="301">
        <f t="shared" si="8"/>
        <v>0.20219844858644903</v>
      </c>
      <c r="W21" s="35"/>
    </row>
    <row r="22" spans="1:51" x14ac:dyDescent="0.25">
      <c r="B22" s="500" t="s">
        <v>26</v>
      </c>
      <c r="C22" s="230">
        <v>193400</v>
      </c>
      <c r="D22" s="231">
        <v>195537</v>
      </c>
      <c r="E22" s="177">
        <v>48334</v>
      </c>
      <c r="F22" s="231">
        <v>49820</v>
      </c>
      <c r="G22" s="177">
        <v>25440</v>
      </c>
      <c r="H22" s="231">
        <v>25900</v>
      </c>
      <c r="I22" s="177">
        <v>11235</v>
      </c>
      <c r="J22" s="244">
        <v>11500</v>
      </c>
      <c r="K22" s="153">
        <f t="shared" si="0"/>
        <v>249.91726990692865</v>
      </c>
      <c r="L22" s="154">
        <f t="shared" si="0"/>
        <v>254.78553930969585</v>
      </c>
      <c r="M22" s="153">
        <f t="shared" si="1"/>
        <v>131.54084798345397</v>
      </c>
      <c r="N22" s="285">
        <f t="shared" si="1"/>
        <v>132.45575006264798</v>
      </c>
      <c r="O22" s="73">
        <f t="shared" si="2"/>
        <v>58.092037228541884</v>
      </c>
      <c r="P22" s="154">
        <f t="shared" si="2"/>
        <v>58.812398676465321</v>
      </c>
      <c r="Q22" s="555">
        <f t="shared" si="3"/>
        <v>1.4037445773852898E-2</v>
      </c>
      <c r="R22" s="307">
        <f t="shared" si="4"/>
        <v>1.4865052357387845E-2</v>
      </c>
      <c r="S22" s="308">
        <f t="shared" si="5"/>
        <v>2.0476595991287788E-2</v>
      </c>
      <c r="T22" s="307">
        <f t="shared" si="6"/>
        <v>2.2490741022156421E-2</v>
      </c>
      <c r="U22" s="308">
        <f t="shared" si="7"/>
        <v>0.21687095840169868</v>
      </c>
      <c r="V22" s="307">
        <f t="shared" si="8"/>
        <v>0.21138928715856034</v>
      </c>
      <c r="W22" s="35"/>
    </row>
    <row r="23" spans="1:51" x14ac:dyDescent="0.25">
      <c r="B23" s="327" t="s">
        <v>45</v>
      </c>
      <c r="C23" s="220">
        <v>1487700</v>
      </c>
      <c r="D23" s="221">
        <v>1446628</v>
      </c>
      <c r="E23" s="176">
        <v>167580</v>
      </c>
      <c r="F23" s="221">
        <v>160505</v>
      </c>
      <c r="G23" s="176">
        <v>94550</v>
      </c>
      <c r="H23" s="221">
        <v>82200</v>
      </c>
      <c r="I23" s="176">
        <v>13480</v>
      </c>
      <c r="J23" s="237">
        <v>14000</v>
      </c>
      <c r="K23" s="335">
        <f t="shared" si="0"/>
        <v>112.64367816091954</v>
      </c>
      <c r="L23" s="302">
        <f t="shared" si="0"/>
        <v>110.95112219589279</v>
      </c>
      <c r="M23" s="335">
        <f t="shared" si="1"/>
        <v>63.554480069906568</v>
      </c>
      <c r="N23" s="284">
        <f t="shared" si="1"/>
        <v>56.821795236923386</v>
      </c>
      <c r="O23" s="55">
        <f t="shared" si="2"/>
        <v>9.0609665927270289</v>
      </c>
      <c r="P23" s="302">
        <f t="shared" si="2"/>
        <v>9.6776780208871944</v>
      </c>
      <c r="Q23" s="395">
        <f t="shared" si="3"/>
        <v>4.8669573442758067E-2</v>
      </c>
      <c r="R23" s="301">
        <f t="shared" si="4"/>
        <v>4.7890711132527818E-2</v>
      </c>
      <c r="S23" s="289">
        <f t="shared" si="5"/>
        <v>7.6103071972337274E-2</v>
      </c>
      <c r="T23" s="301">
        <f t="shared" si="6"/>
        <v>7.1379880773021528E-2</v>
      </c>
      <c r="U23" s="289">
        <f t="shared" si="7"/>
        <v>0.26020654376990637</v>
      </c>
      <c r="V23" s="301">
        <f t="shared" si="8"/>
        <v>0.25734348001911694</v>
      </c>
      <c r="W23" s="35"/>
    </row>
    <row r="24" spans="1:51" x14ac:dyDescent="0.25">
      <c r="B24" s="500" t="s">
        <v>9</v>
      </c>
      <c r="C24" s="230">
        <v>704100</v>
      </c>
      <c r="D24" s="231">
        <v>677694</v>
      </c>
      <c r="E24" s="177">
        <v>90200</v>
      </c>
      <c r="F24" s="231">
        <v>87328</v>
      </c>
      <c r="G24" s="177">
        <v>40016</v>
      </c>
      <c r="H24" s="231">
        <v>38500</v>
      </c>
      <c r="I24" s="177">
        <v>3660</v>
      </c>
      <c r="J24" s="244">
        <v>4500</v>
      </c>
      <c r="K24" s="153">
        <f t="shared" si="0"/>
        <v>128.10680301093595</v>
      </c>
      <c r="L24" s="154">
        <f t="shared" si="0"/>
        <v>128.8605181689671</v>
      </c>
      <c r="M24" s="153">
        <f t="shared" si="1"/>
        <v>56.832836244851585</v>
      </c>
      <c r="N24" s="285">
        <f t="shared" si="1"/>
        <v>56.810300814231795</v>
      </c>
      <c r="O24" s="73">
        <f t="shared" si="2"/>
        <v>5.1981252662974011</v>
      </c>
      <c r="P24" s="154">
        <f t="shared" si="2"/>
        <v>6.6401650302348845</v>
      </c>
      <c r="Q24" s="555">
        <f t="shared" si="3"/>
        <v>2.6196416783248466E-2</v>
      </c>
      <c r="R24" s="307">
        <f t="shared" si="4"/>
        <v>2.6056509278722717E-2</v>
      </c>
      <c r="S24" s="308">
        <f t="shared" si="5"/>
        <v>3.2208784008937584E-2</v>
      </c>
      <c r="T24" s="307">
        <f t="shared" si="6"/>
        <v>3.3432182600502784E-2</v>
      </c>
      <c r="U24" s="308">
        <f t="shared" si="7"/>
        <v>7.0649551201621461E-2</v>
      </c>
      <c r="V24" s="307">
        <f t="shared" si="8"/>
        <v>8.2717547149001869E-2</v>
      </c>
      <c r="W24" s="35"/>
    </row>
    <row r="25" spans="1:51" x14ac:dyDescent="0.25">
      <c r="B25" s="327" t="s">
        <v>21</v>
      </c>
      <c r="C25" s="220">
        <v>1219000</v>
      </c>
      <c r="D25" s="221">
        <v>1329000</v>
      </c>
      <c r="E25" s="176">
        <v>70000</v>
      </c>
      <c r="F25" s="221">
        <v>84767</v>
      </c>
      <c r="G25" s="176">
        <v>42243</v>
      </c>
      <c r="H25" s="221">
        <v>28100</v>
      </c>
      <c r="I25" s="176">
        <v>705</v>
      </c>
      <c r="J25" s="237">
        <v>700</v>
      </c>
      <c r="K25" s="335">
        <f t="shared" si="0"/>
        <v>57.424118129614435</v>
      </c>
      <c r="L25" s="302">
        <f t="shared" si="0"/>
        <v>63.782543265613242</v>
      </c>
      <c r="M25" s="335">
        <f t="shared" si="1"/>
        <v>34.653814602132897</v>
      </c>
      <c r="N25" s="284">
        <f t="shared" si="1"/>
        <v>21.143717080511664</v>
      </c>
      <c r="O25" s="55">
        <f t="shared" si="2"/>
        <v>0.57834290401968824</v>
      </c>
      <c r="P25" s="302">
        <f t="shared" si="2"/>
        <v>0.52671181339352902</v>
      </c>
      <c r="Q25" s="395">
        <f t="shared" si="3"/>
        <v>2.0329813468152911E-2</v>
      </c>
      <c r="R25" s="301">
        <f t="shared" si="4"/>
        <v>2.5292370397003119E-2</v>
      </c>
      <c r="S25" s="289">
        <f t="shared" si="5"/>
        <v>3.4001291055816431E-2</v>
      </c>
      <c r="T25" s="301">
        <f t="shared" si="6"/>
        <v>2.4401151456470864E-2</v>
      </c>
      <c r="U25" s="289">
        <f t="shared" si="7"/>
        <v>1.360872502654184E-2</v>
      </c>
      <c r="V25" s="301">
        <f t="shared" si="8"/>
        <v>1.2867174000955847E-2</v>
      </c>
      <c r="W25" s="35"/>
    </row>
    <row r="26" spans="1:51" x14ac:dyDescent="0.25">
      <c r="B26" s="500" t="s">
        <v>12</v>
      </c>
      <c r="C26" s="230">
        <v>1537000</v>
      </c>
      <c r="D26" s="231">
        <v>1584000</v>
      </c>
      <c r="E26" s="177">
        <v>125300</v>
      </c>
      <c r="F26" s="231">
        <v>138200</v>
      </c>
      <c r="G26" s="177">
        <v>12080</v>
      </c>
      <c r="H26" s="231">
        <v>18800</v>
      </c>
      <c r="I26" s="177">
        <v>700</v>
      </c>
      <c r="J26" s="244">
        <v>860</v>
      </c>
      <c r="K26" s="153">
        <f t="shared" si="0"/>
        <v>81.522446324007802</v>
      </c>
      <c r="L26" s="154">
        <f t="shared" si="0"/>
        <v>87.247474747474755</v>
      </c>
      <c r="M26" s="153">
        <f t="shared" si="1"/>
        <v>7.8594664931685099</v>
      </c>
      <c r="N26" s="285">
        <f t="shared" si="1"/>
        <v>11.868686868686869</v>
      </c>
      <c r="O26" s="73">
        <f t="shared" si="2"/>
        <v>0.45543266102797658</v>
      </c>
      <c r="P26" s="154">
        <f t="shared" si="2"/>
        <v>0.54292929292929293</v>
      </c>
      <c r="Q26" s="555">
        <f t="shared" si="3"/>
        <v>3.6390366107993712E-2</v>
      </c>
      <c r="R26" s="307">
        <f t="shared" si="4"/>
        <v>4.1235452344259335E-2</v>
      </c>
      <c r="S26" s="308">
        <f t="shared" si="5"/>
        <v>9.7231635052970316E-3</v>
      </c>
      <c r="T26" s="307">
        <f t="shared" si="6"/>
        <v>1.6325325529596164E-2</v>
      </c>
      <c r="U26" s="308">
        <f t="shared" si="7"/>
        <v>1.3512209246211755E-2</v>
      </c>
      <c r="V26" s="307">
        <f t="shared" si="8"/>
        <v>1.580824234403147E-2</v>
      </c>
      <c r="W26" s="35"/>
    </row>
    <row r="27" spans="1:51" ht="6" customHeight="1" thickBot="1" x14ac:dyDescent="0.3">
      <c r="B27" s="327"/>
      <c r="C27" s="220"/>
      <c r="D27" s="221"/>
      <c r="E27" s="176"/>
      <c r="F27" s="221"/>
      <c r="G27" s="176"/>
      <c r="H27" s="221"/>
      <c r="I27" s="176"/>
      <c r="J27" s="241"/>
      <c r="K27" s="124"/>
      <c r="L27" s="302"/>
      <c r="M27" s="554"/>
      <c r="N27" s="284"/>
      <c r="O27" s="55"/>
      <c r="P27" s="302"/>
      <c r="Q27" s="556"/>
      <c r="R27" s="301"/>
      <c r="S27" s="289"/>
      <c r="T27" s="301"/>
      <c r="U27" s="289"/>
      <c r="V27" s="301"/>
      <c r="W27" s="35"/>
    </row>
    <row r="28" spans="1:51" ht="24.95" customHeight="1" thickTop="1" thickBot="1" x14ac:dyDescent="0.3">
      <c r="B28" s="61" t="s">
        <v>13</v>
      </c>
      <c r="C28" s="457">
        <f>SUM(C11:C26)</f>
        <v>23450200</v>
      </c>
      <c r="D28" s="460">
        <f>SUM(D11:D26)</f>
        <v>22917159</v>
      </c>
      <c r="E28" s="458">
        <f>SUM(E11:E26)</f>
        <v>3443219</v>
      </c>
      <c r="F28" s="460">
        <f>SUM(F11:F26)</f>
        <v>3351485</v>
      </c>
      <c r="G28" s="458">
        <f t="shared" ref="G28:J28" si="9">SUM(G11:G26)</f>
        <v>1242394</v>
      </c>
      <c r="H28" s="460">
        <f>SUM(H11:H26)</f>
        <v>1151585</v>
      </c>
      <c r="I28" s="458">
        <f t="shared" si="9"/>
        <v>51805</v>
      </c>
      <c r="J28" s="460">
        <f t="shared" si="9"/>
        <v>54402</v>
      </c>
      <c r="K28" s="498"/>
      <c r="L28" s="498"/>
      <c r="M28" s="498"/>
      <c r="N28" s="498"/>
      <c r="O28" s="498"/>
      <c r="P28" s="498"/>
      <c r="Q28" s="464">
        <f>SUM(Q11:Q26)</f>
        <v>0.99999999999999989</v>
      </c>
      <c r="R28" s="466">
        <f t="shared" ref="R28:V28" si="10">SUM(R11:R26)</f>
        <v>1</v>
      </c>
      <c r="S28" s="465">
        <f t="shared" si="10"/>
        <v>0.99999999999999978</v>
      </c>
      <c r="T28" s="466">
        <f t="shared" si="10"/>
        <v>0.99999999999999989</v>
      </c>
      <c r="U28" s="465">
        <f t="shared" si="10"/>
        <v>1</v>
      </c>
      <c r="V28" s="466">
        <f t="shared" si="10"/>
        <v>0.99999999999999989</v>
      </c>
      <c r="W28" s="35"/>
    </row>
    <row r="29" spans="1:51" ht="15.75" thickTop="1" x14ac:dyDescent="0.25">
      <c r="C29" s="35"/>
      <c r="D29" s="35"/>
      <c r="E29" s="35"/>
      <c r="F29" s="35"/>
      <c r="G29" s="35"/>
      <c r="H29" s="35"/>
      <c r="I29" s="35"/>
      <c r="J29" s="35"/>
      <c r="K29" s="35"/>
      <c r="L29" s="35"/>
      <c r="M29" s="35"/>
      <c r="N29" s="35"/>
      <c r="O29" s="35"/>
      <c r="P29" s="35"/>
      <c r="Q29" s="35"/>
      <c r="R29" s="35"/>
      <c r="S29" s="35"/>
      <c r="T29" s="35"/>
      <c r="U29" s="35"/>
      <c r="V29" s="35"/>
      <c r="W29" s="35"/>
    </row>
    <row r="31" spans="1:51" x14ac:dyDescent="0.25">
      <c r="B31" s="66" t="s">
        <v>396</v>
      </c>
      <c r="C31" s="67"/>
      <c r="D31" s="67"/>
      <c r="E31" s="67"/>
      <c r="F31" s="67"/>
      <c r="G31" s="67"/>
      <c r="H31" s="67"/>
      <c r="I31" s="67"/>
      <c r="J31" s="67"/>
      <c r="K31" s="67"/>
      <c r="L31" s="67"/>
      <c r="M31" s="67"/>
    </row>
    <row r="32" spans="1:51" x14ac:dyDescent="0.25">
      <c r="A32" s="21"/>
      <c r="B32" s="67" t="s">
        <v>109</v>
      </c>
      <c r="C32" s="67"/>
      <c r="D32" s="67"/>
      <c r="E32" s="68"/>
      <c r="F32" s="68"/>
      <c r="G32" s="68"/>
      <c r="H32" s="68"/>
      <c r="I32" s="68"/>
      <c r="J32" s="68"/>
      <c r="K32" s="67"/>
      <c r="L32" s="67"/>
      <c r="M32" s="67"/>
      <c r="R32"/>
      <c r="S32"/>
      <c r="T32"/>
      <c r="U32"/>
      <c r="V32"/>
      <c r="W32"/>
      <c r="Y32"/>
      <c r="Z32"/>
      <c r="AA32"/>
      <c r="AB32"/>
      <c r="AC32"/>
      <c r="AD32"/>
      <c r="AE32"/>
      <c r="AF32"/>
      <c r="AG32"/>
      <c r="AH32"/>
      <c r="AI32"/>
      <c r="AJ32"/>
      <c r="AK32"/>
      <c r="AL32"/>
      <c r="AM32"/>
      <c r="AN32"/>
      <c r="AO32"/>
      <c r="AP32"/>
      <c r="AQ32"/>
      <c r="AR32"/>
      <c r="AS32"/>
      <c r="AT32"/>
      <c r="AU32"/>
      <c r="AV32"/>
      <c r="AW32"/>
      <c r="AX32"/>
      <c r="AY32"/>
    </row>
    <row r="33" spans="1:51" x14ac:dyDescent="0.25">
      <c r="A33" s="21"/>
      <c r="B33" s="67"/>
      <c r="C33" s="67"/>
      <c r="D33" s="67"/>
      <c r="E33" s="68"/>
      <c r="F33" s="68"/>
      <c r="G33" s="68"/>
      <c r="H33" s="68"/>
      <c r="I33" s="68"/>
      <c r="J33" s="68"/>
      <c r="K33" s="67"/>
      <c r="L33" s="67"/>
      <c r="M33" s="67"/>
      <c r="R33"/>
      <c r="S33"/>
      <c r="T33"/>
      <c r="U33"/>
      <c r="V33"/>
      <c r="W33"/>
      <c r="Y33"/>
      <c r="Z33"/>
      <c r="AA33"/>
      <c r="AB33"/>
      <c r="AC33"/>
      <c r="AD33"/>
      <c r="AE33"/>
      <c r="AF33"/>
      <c r="AG33"/>
      <c r="AH33"/>
      <c r="AI33"/>
      <c r="AJ33"/>
      <c r="AK33"/>
      <c r="AL33"/>
      <c r="AM33"/>
      <c r="AN33"/>
      <c r="AO33"/>
      <c r="AP33"/>
      <c r="AQ33"/>
      <c r="AR33"/>
      <c r="AS33"/>
      <c r="AT33"/>
      <c r="AU33"/>
      <c r="AV33"/>
      <c r="AW33"/>
      <c r="AX33"/>
      <c r="AY33"/>
    </row>
    <row r="34" spans="1:51" x14ac:dyDescent="0.25">
      <c r="B34" s="79" t="s">
        <v>397</v>
      </c>
      <c r="C34" s="67"/>
      <c r="D34" s="68"/>
      <c r="E34" s="68"/>
      <c r="F34" s="68"/>
      <c r="G34" s="68"/>
      <c r="H34" s="68"/>
      <c r="I34" s="68"/>
      <c r="J34" s="68"/>
      <c r="K34" s="68"/>
      <c r="L34" s="68"/>
      <c r="M34" s="68"/>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1:51" x14ac:dyDescent="0.25">
      <c r="A35" s="21"/>
      <c r="B35" s="68" t="s">
        <v>177</v>
      </c>
      <c r="C35" s="67"/>
      <c r="D35" s="68"/>
      <c r="E35" s="68"/>
      <c r="F35" s="68"/>
      <c r="G35" s="68"/>
      <c r="H35" s="68"/>
      <c r="I35" s="68"/>
      <c r="J35" s="68"/>
      <c r="K35" s="68"/>
      <c r="L35" s="68"/>
      <c r="M35" s="68"/>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row>
    <row r="36" spans="1:51" ht="14.45" customHeight="1" x14ac:dyDescent="0.25">
      <c r="A36" s="7"/>
      <c r="B36" s="69" t="s">
        <v>382</v>
      </c>
      <c r="C36" s="67"/>
      <c r="D36" s="333"/>
      <c r="E36" s="67"/>
      <c r="F36" s="67"/>
      <c r="G36" s="67"/>
      <c r="H36" s="67"/>
      <c r="I36" s="67"/>
      <c r="J36" s="68"/>
      <c r="K36" s="67"/>
      <c r="L36" s="67"/>
      <c r="M36" s="67"/>
      <c r="T36" s="8"/>
      <c r="U36" s="8"/>
      <c r="V36" s="8"/>
      <c r="AA36"/>
      <c r="AB36"/>
      <c r="AC36"/>
      <c r="AD36"/>
      <c r="AE36"/>
      <c r="AF36"/>
      <c r="AG36"/>
      <c r="AH36"/>
      <c r="AI36"/>
      <c r="AJ36"/>
      <c r="AK36"/>
      <c r="AL36"/>
      <c r="AM36"/>
      <c r="AN36"/>
      <c r="AO36"/>
      <c r="AP36"/>
      <c r="AQ36"/>
      <c r="AR36"/>
      <c r="AS36"/>
      <c r="AT36"/>
      <c r="AU36"/>
      <c r="AV36"/>
      <c r="AW36"/>
      <c r="AX36"/>
      <c r="AY36"/>
    </row>
    <row r="37" spans="1:51" x14ac:dyDescent="0.25">
      <c r="B37" s="67"/>
      <c r="C37" s="67"/>
      <c r="D37" s="67"/>
      <c r="E37" s="67"/>
      <c r="F37" s="67"/>
      <c r="G37" s="67"/>
      <c r="H37" s="67"/>
      <c r="I37" s="67"/>
      <c r="J37" s="67"/>
      <c r="K37" s="67"/>
      <c r="L37" s="67"/>
      <c r="M37" s="67"/>
    </row>
    <row r="38" spans="1:51" x14ac:dyDescent="0.25">
      <c r="B38" s="66" t="s">
        <v>398</v>
      </c>
      <c r="C38" s="67"/>
      <c r="D38" s="67"/>
      <c r="E38" s="67"/>
      <c r="F38" s="67"/>
      <c r="G38" s="67"/>
      <c r="H38" s="67"/>
      <c r="I38" s="67"/>
      <c r="J38" s="67"/>
      <c r="K38" s="67"/>
      <c r="L38" s="67"/>
      <c r="M38" s="67"/>
    </row>
    <row r="39" spans="1:51" x14ac:dyDescent="0.25">
      <c r="B39" s="67"/>
      <c r="C39" s="67"/>
      <c r="D39" s="67"/>
      <c r="E39" s="67"/>
      <c r="F39" s="67"/>
      <c r="G39" s="67"/>
      <c r="H39" s="67"/>
      <c r="I39" s="67"/>
      <c r="J39" s="67"/>
      <c r="K39" s="67"/>
      <c r="L39" s="67"/>
      <c r="M39" s="67"/>
    </row>
    <row r="40" spans="1:51" x14ac:dyDescent="0.25">
      <c r="B40" s="67"/>
      <c r="C40" s="67"/>
      <c r="D40" s="67"/>
      <c r="E40" s="67"/>
      <c r="F40" s="67"/>
      <c r="G40" s="67"/>
      <c r="H40" s="67"/>
      <c r="I40" s="67"/>
      <c r="J40" s="67"/>
      <c r="K40" s="67"/>
      <c r="L40" s="67"/>
      <c r="M40" s="67"/>
    </row>
    <row r="41" spans="1:51" x14ac:dyDescent="0.25">
      <c r="B41" s="67"/>
      <c r="C41" s="67"/>
      <c r="D41" s="67"/>
      <c r="E41" s="67"/>
      <c r="F41" s="67"/>
      <c r="G41" s="67"/>
      <c r="H41" s="67"/>
      <c r="I41" s="67"/>
      <c r="J41" s="67"/>
      <c r="K41" s="67"/>
      <c r="L41" s="67"/>
      <c r="M41" s="67"/>
    </row>
    <row r="42" spans="1:51" x14ac:dyDescent="0.25">
      <c r="B42" s="67"/>
      <c r="C42" s="67"/>
      <c r="D42" s="67"/>
      <c r="E42" s="67"/>
      <c r="F42" s="67"/>
      <c r="G42" s="67"/>
      <c r="H42" s="67"/>
      <c r="I42" s="67"/>
      <c r="J42" s="67"/>
      <c r="K42" s="67"/>
      <c r="L42" s="67"/>
      <c r="M42" s="67"/>
    </row>
  </sheetData>
  <mergeCells count="19">
    <mergeCell ref="K6:P6"/>
    <mergeCell ref="K7:P7"/>
    <mergeCell ref="C6:D6"/>
    <mergeCell ref="B7:B8"/>
    <mergeCell ref="O8:P8"/>
    <mergeCell ref="C8:D8"/>
    <mergeCell ref="E8:F8"/>
    <mergeCell ref="G8:H8"/>
    <mergeCell ref="I8:J8"/>
    <mergeCell ref="K8:L8"/>
    <mergeCell ref="M8:N8"/>
    <mergeCell ref="C7:D7"/>
    <mergeCell ref="E6:J6"/>
    <mergeCell ref="E7:J7"/>
    <mergeCell ref="Q6:V6"/>
    <mergeCell ref="Q7:V7"/>
    <mergeCell ref="Q8:R8"/>
    <mergeCell ref="S8:T8"/>
    <mergeCell ref="U8:V8"/>
  </mergeCells>
  <hyperlinks>
    <hyperlink ref="B1" location="Start!A1" display="Back to home page" xr:uid="{B5376E52-5D83-4683-A471-F8000C296E87}"/>
  </hyperlinks>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81C93-60E1-4DEA-8064-2416BBAD17FD}">
  <sheetPr>
    <tabColor rgb="FF92D050"/>
  </sheetPr>
  <dimension ref="A1:Q3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E30" sqref="E30"/>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183</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96"/>
      <c r="C10" s="97"/>
      <c r="D10" s="98"/>
      <c r="E10" s="98"/>
      <c r="F10" s="98"/>
      <c r="G10" s="98"/>
      <c r="H10" s="98"/>
      <c r="I10" s="98"/>
      <c r="J10" s="98"/>
      <c r="K10" s="98"/>
      <c r="L10" s="98"/>
    </row>
    <row r="11" spans="1:17" x14ac:dyDescent="0.25">
      <c r="B11" s="89" t="s">
        <v>3</v>
      </c>
      <c r="C11" s="53">
        <v>485000</v>
      </c>
      <c r="D11" s="53">
        <v>9700</v>
      </c>
      <c r="E11" s="53">
        <v>24250</v>
      </c>
      <c r="F11" s="53">
        <v>4850</v>
      </c>
      <c r="G11" s="56">
        <f>IFERROR(D11*1000/C11,"-")</f>
        <v>20</v>
      </c>
      <c r="H11" s="56">
        <f>IFERROR(E11*1000/C11,"-")</f>
        <v>50</v>
      </c>
      <c r="I11" s="56">
        <f>IFERROR(F11*1000/C11,"-")</f>
        <v>10</v>
      </c>
      <c r="J11" s="57">
        <f t="shared" ref="J11:J25" si="0">D11/$D$27</f>
        <v>0.10713008621149878</v>
      </c>
      <c r="K11" s="57">
        <f t="shared" ref="K11:K25" si="1">E11/$E$27</f>
        <v>9.9627781122791775E-2</v>
      </c>
      <c r="L11" s="57">
        <f t="shared" ref="L11:L25" si="2">F11/$F$27</f>
        <v>3.0076559795337302E-2</v>
      </c>
    </row>
    <row r="12" spans="1:17" x14ac:dyDescent="0.25">
      <c r="B12" s="103" t="s">
        <v>16</v>
      </c>
      <c r="C12" s="71">
        <v>185000</v>
      </c>
      <c r="D12" s="71">
        <v>7400</v>
      </c>
      <c r="E12" s="71">
        <v>9250</v>
      </c>
      <c r="F12" s="71">
        <v>1850</v>
      </c>
      <c r="G12" s="74">
        <f t="shared" ref="G12:G25" si="3">IFERROR(D12*1000/C12,"-")</f>
        <v>40</v>
      </c>
      <c r="H12" s="74">
        <f t="shared" ref="H12:H25" si="4">IFERROR(E12*1000/C12,"-")</f>
        <v>50</v>
      </c>
      <c r="I12" s="74">
        <f t="shared" ref="I12:I25" si="5">IFERROR(F12*1000/C12,"-")</f>
        <v>10</v>
      </c>
      <c r="J12" s="75">
        <f t="shared" si="0"/>
        <v>8.1728107006710404E-2</v>
      </c>
      <c r="K12" s="75">
        <f t="shared" si="1"/>
        <v>3.8002349500446349E-2</v>
      </c>
      <c r="L12" s="75">
        <f t="shared" si="2"/>
        <v>1.1472502189974023E-2</v>
      </c>
    </row>
    <row r="13" spans="1:17" x14ac:dyDescent="0.25">
      <c r="B13" s="89" t="s">
        <v>48</v>
      </c>
      <c r="C13" s="53">
        <v>925948</v>
      </c>
      <c r="D13" s="53">
        <v>32408.18</v>
      </c>
      <c r="E13" s="53">
        <v>37037.919999999998</v>
      </c>
      <c r="F13" s="53">
        <v>13889.22</v>
      </c>
      <c r="G13" s="56">
        <f t="shared" si="3"/>
        <v>35</v>
      </c>
      <c r="H13" s="56">
        <f t="shared" si="4"/>
        <v>40</v>
      </c>
      <c r="I13" s="56">
        <f t="shared" si="5"/>
        <v>15</v>
      </c>
      <c r="J13" s="57">
        <f t="shared" si="0"/>
        <v>0.35792691931523407</v>
      </c>
      <c r="K13" s="57">
        <f t="shared" si="1"/>
        <v>0.15216518709292667</v>
      </c>
      <c r="L13" s="57">
        <f t="shared" si="2"/>
        <v>8.613194965785459E-2</v>
      </c>
    </row>
    <row r="14" spans="1:17" x14ac:dyDescent="0.25">
      <c r="B14" s="103" t="s">
        <v>61</v>
      </c>
      <c r="C14" s="71">
        <v>120530</v>
      </c>
      <c r="D14" s="71">
        <v>3013.25</v>
      </c>
      <c r="E14" s="71">
        <v>3615.9</v>
      </c>
      <c r="F14" s="71">
        <v>0</v>
      </c>
      <c r="G14" s="74">
        <f t="shared" si="3"/>
        <v>25</v>
      </c>
      <c r="H14" s="74">
        <f t="shared" si="4"/>
        <v>30</v>
      </c>
      <c r="I14" s="74">
        <f t="shared" si="5"/>
        <v>0</v>
      </c>
      <c r="J14" s="75">
        <f t="shared" si="0"/>
        <v>3.3279353842968935E-2</v>
      </c>
      <c r="K14" s="75">
        <f t="shared" si="1"/>
        <v>1.4855426546882589E-2</v>
      </c>
      <c r="L14" s="75">
        <f t="shared" si="2"/>
        <v>0</v>
      </c>
    </row>
    <row r="15" spans="1:17" x14ac:dyDescent="0.25">
      <c r="B15" s="89" t="s">
        <v>5</v>
      </c>
      <c r="C15" s="53">
        <v>135000</v>
      </c>
      <c r="D15" s="53">
        <v>2700</v>
      </c>
      <c r="E15" s="53">
        <v>4050</v>
      </c>
      <c r="F15" s="53">
        <v>0</v>
      </c>
      <c r="G15" s="56">
        <f t="shared" si="3"/>
        <v>20</v>
      </c>
      <c r="H15" s="56">
        <f t="shared" si="4"/>
        <v>30</v>
      </c>
      <c r="I15" s="56">
        <f t="shared" si="5"/>
        <v>0</v>
      </c>
      <c r="J15" s="57">
        <f t="shared" si="0"/>
        <v>2.9819714718664608E-2</v>
      </c>
      <c r="K15" s="57">
        <f t="shared" si="1"/>
        <v>1.6638866538033266E-2</v>
      </c>
      <c r="L15" s="57">
        <f t="shared" si="2"/>
        <v>0</v>
      </c>
    </row>
    <row r="16" spans="1:17" x14ac:dyDescent="0.25">
      <c r="B16" s="103" t="s">
        <v>6</v>
      </c>
      <c r="C16" s="71">
        <v>3544245</v>
      </c>
      <c r="D16" s="71">
        <v>7088.49</v>
      </c>
      <c r="E16" s="71">
        <v>141769.79999999999</v>
      </c>
      <c r="F16" s="71">
        <v>106327.35</v>
      </c>
      <c r="G16" s="74">
        <f t="shared" si="3"/>
        <v>2</v>
      </c>
      <c r="H16" s="74">
        <f t="shared" si="4"/>
        <v>40</v>
      </c>
      <c r="I16" s="74">
        <f t="shared" si="5"/>
        <v>30</v>
      </c>
      <c r="J16" s="75">
        <f t="shared" si="0"/>
        <v>7.8287685031891444E-2</v>
      </c>
      <c r="K16" s="75">
        <f t="shared" si="1"/>
        <v>0.58244167440090577</v>
      </c>
      <c r="L16" s="75">
        <f t="shared" si="2"/>
        <v>0.65937338147520785</v>
      </c>
    </row>
    <row r="17" spans="1:17" x14ac:dyDescent="0.25">
      <c r="B17" s="89" t="s">
        <v>56</v>
      </c>
      <c r="C17" s="53">
        <v>42000</v>
      </c>
      <c r="D17" s="53">
        <v>840</v>
      </c>
      <c r="E17" s="53">
        <v>1260</v>
      </c>
      <c r="F17" s="53">
        <v>1260</v>
      </c>
      <c r="G17" s="56">
        <f t="shared" si="3"/>
        <v>20</v>
      </c>
      <c r="H17" s="56">
        <f t="shared" si="4"/>
        <v>30</v>
      </c>
      <c r="I17" s="56">
        <f t="shared" si="5"/>
        <v>30</v>
      </c>
      <c r="J17" s="57">
        <f t="shared" si="0"/>
        <v>9.2772445791401009E-3</v>
      </c>
      <c r="K17" s="57">
        <f t="shared" si="1"/>
        <v>5.1765362562770159E-3</v>
      </c>
      <c r="L17" s="57">
        <f t="shared" si="2"/>
        <v>7.813704194252577E-3</v>
      </c>
    </row>
    <row r="18" spans="1:17" x14ac:dyDescent="0.25">
      <c r="B18" s="103" t="s">
        <v>19</v>
      </c>
      <c r="C18" s="71">
        <v>155986.15458828164</v>
      </c>
      <c r="D18" s="71">
        <v>779.93077294140824</v>
      </c>
      <c r="E18" s="71">
        <v>3119.7230917656329</v>
      </c>
      <c r="F18" s="71">
        <v>4679.5846376484496</v>
      </c>
      <c r="G18" s="74">
        <f t="shared" si="3"/>
        <v>5</v>
      </c>
      <c r="H18" s="74">
        <f t="shared" si="4"/>
        <v>20</v>
      </c>
      <c r="I18" s="74">
        <f t="shared" si="5"/>
        <v>30</v>
      </c>
      <c r="J18" s="75">
        <f t="shared" si="0"/>
        <v>8.6138196849705091E-3</v>
      </c>
      <c r="K18" s="75">
        <f t="shared" si="1"/>
        <v>1.2816952138150338E-2</v>
      </c>
      <c r="L18" s="75">
        <f t="shared" si="2"/>
        <v>2.9019754055994936E-2</v>
      </c>
    </row>
    <row r="19" spans="1:17" x14ac:dyDescent="0.25">
      <c r="B19" s="89" t="s">
        <v>25</v>
      </c>
      <c r="C19" s="53">
        <v>12000</v>
      </c>
      <c r="D19" s="53">
        <v>300</v>
      </c>
      <c r="E19" s="53">
        <v>360</v>
      </c>
      <c r="F19" s="53">
        <v>360</v>
      </c>
      <c r="G19" s="56">
        <f t="shared" si="3"/>
        <v>25</v>
      </c>
      <c r="H19" s="56">
        <f t="shared" si="4"/>
        <v>30</v>
      </c>
      <c r="I19" s="56">
        <f t="shared" si="5"/>
        <v>30</v>
      </c>
      <c r="J19" s="57">
        <f t="shared" si="0"/>
        <v>3.313301635407179E-3</v>
      </c>
      <c r="K19" s="57">
        <f t="shared" si="1"/>
        <v>1.4790103589362902E-3</v>
      </c>
      <c r="L19" s="57">
        <f t="shared" si="2"/>
        <v>2.2324869126435936E-3</v>
      </c>
    </row>
    <row r="20" spans="1:17" x14ac:dyDescent="0.25">
      <c r="B20" s="103" t="s">
        <v>55</v>
      </c>
      <c r="C20" s="71">
        <v>163000</v>
      </c>
      <c r="D20" s="71">
        <v>8150</v>
      </c>
      <c r="E20" s="71">
        <v>3260</v>
      </c>
      <c r="F20" s="71">
        <v>4890</v>
      </c>
      <c r="G20" s="74">
        <f t="shared" si="3"/>
        <v>50</v>
      </c>
      <c r="H20" s="74">
        <f t="shared" si="4"/>
        <v>20</v>
      </c>
      <c r="I20" s="74">
        <f t="shared" si="5"/>
        <v>30</v>
      </c>
      <c r="J20" s="75">
        <f t="shared" si="0"/>
        <v>9.0011361095228351E-2</v>
      </c>
      <c r="K20" s="75">
        <f t="shared" si="1"/>
        <v>1.3393260472589739E-2</v>
      </c>
      <c r="L20" s="75">
        <f t="shared" si="2"/>
        <v>3.0324613896742146E-2</v>
      </c>
    </row>
    <row r="21" spans="1:17" x14ac:dyDescent="0.25">
      <c r="B21" s="89" t="s">
        <v>8</v>
      </c>
      <c r="C21" s="53">
        <v>12450</v>
      </c>
      <c r="D21" s="53">
        <v>311.25</v>
      </c>
      <c r="E21" s="53">
        <v>249</v>
      </c>
      <c r="F21" s="53">
        <v>373.5</v>
      </c>
      <c r="G21" s="56">
        <f t="shared" si="3"/>
        <v>25</v>
      </c>
      <c r="H21" s="56">
        <f t="shared" si="4"/>
        <v>20</v>
      </c>
      <c r="I21" s="56">
        <f t="shared" si="5"/>
        <v>30</v>
      </c>
      <c r="J21" s="57">
        <f t="shared" si="0"/>
        <v>3.4375504467349478E-3</v>
      </c>
      <c r="K21" s="57">
        <f t="shared" si="1"/>
        <v>1.0229821649309341E-3</v>
      </c>
      <c r="L21" s="57">
        <f t="shared" si="2"/>
        <v>2.3162051718677284E-3</v>
      </c>
    </row>
    <row r="22" spans="1:17" x14ac:dyDescent="0.25">
      <c r="B22" s="103" t="s">
        <v>20</v>
      </c>
      <c r="C22" s="71">
        <v>68465</v>
      </c>
      <c r="D22" s="71">
        <v>1711.625</v>
      </c>
      <c r="E22" s="71">
        <v>1369.3</v>
      </c>
      <c r="F22" s="71">
        <v>2053.9499999999998</v>
      </c>
      <c r="G22" s="74">
        <f t="shared" si="3"/>
        <v>25</v>
      </c>
      <c r="H22" s="74">
        <f t="shared" si="4"/>
        <v>20</v>
      </c>
      <c r="I22" s="74">
        <f t="shared" si="5"/>
        <v>29.999999999999996</v>
      </c>
      <c r="J22" s="75">
        <f t="shared" si="0"/>
        <v>1.8903766372346042E-2</v>
      </c>
      <c r="K22" s="75">
        <f t="shared" si="1"/>
        <v>5.6255802346985061E-3</v>
      </c>
      <c r="L22" s="75">
        <f t="shared" si="2"/>
        <v>1.2737268039511968E-2</v>
      </c>
    </row>
    <row r="23" spans="1:17" x14ac:dyDescent="0.25">
      <c r="B23" s="89" t="s">
        <v>9</v>
      </c>
      <c r="C23" s="53">
        <v>18000</v>
      </c>
      <c r="D23" s="53">
        <v>450</v>
      </c>
      <c r="E23" s="53">
        <v>360</v>
      </c>
      <c r="F23" s="53">
        <v>540</v>
      </c>
      <c r="G23" s="56">
        <f t="shared" si="3"/>
        <v>25</v>
      </c>
      <c r="H23" s="56">
        <f t="shared" si="4"/>
        <v>20</v>
      </c>
      <c r="I23" s="56">
        <f t="shared" si="5"/>
        <v>30</v>
      </c>
      <c r="J23" s="57">
        <f t="shared" si="0"/>
        <v>4.9699524531107682E-3</v>
      </c>
      <c r="K23" s="57">
        <f t="shared" si="1"/>
        <v>1.4790103589362902E-3</v>
      </c>
      <c r="L23" s="57">
        <f t="shared" si="2"/>
        <v>3.3487303689653906E-3</v>
      </c>
    </row>
    <row r="24" spans="1:17" x14ac:dyDescent="0.25">
      <c r="B24" s="103" t="s">
        <v>76</v>
      </c>
      <c r="C24" s="71">
        <v>349062</v>
      </c>
      <c r="D24" s="71">
        <v>7600</v>
      </c>
      <c r="E24" s="71">
        <v>6981.24</v>
      </c>
      <c r="F24" s="71">
        <v>10471.86</v>
      </c>
      <c r="G24" s="74">
        <f t="shared" si="3"/>
        <v>21.772636379783535</v>
      </c>
      <c r="H24" s="74">
        <f t="shared" si="4"/>
        <v>20</v>
      </c>
      <c r="I24" s="74">
        <f t="shared" si="5"/>
        <v>30</v>
      </c>
      <c r="J24" s="75">
        <f t="shared" si="0"/>
        <v>8.3936974763648531E-2</v>
      </c>
      <c r="K24" s="75">
        <f t="shared" si="1"/>
        <v>2.8681461883945519E-2</v>
      </c>
      <c r="L24" s="75">
        <f t="shared" si="2"/>
        <v>6.493969555843318E-2</v>
      </c>
    </row>
    <row r="25" spans="1:17" x14ac:dyDescent="0.25">
      <c r="B25" s="89" t="s">
        <v>77</v>
      </c>
      <c r="C25" s="53">
        <v>323656</v>
      </c>
      <c r="D25" s="53">
        <v>8091.4</v>
      </c>
      <c r="E25" s="53">
        <v>6473.12</v>
      </c>
      <c r="F25" s="53">
        <v>9709.68</v>
      </c>
      <c r="G25" s="56">
        <f t="shared" si="3"/>
        <v>25</v>
      </c>
      <c r="H25" s="56">
        <f t="shared" si="4"/>
        <v>20</v>
      </c>
      <c r="I25" s="56">
        <f t="shared" si="5"/>
        <v>30</v>
      </c>
      <c r="J25" s="57">
        <f t="shared" si="0"/>
        <v>8.9364162842445485E-2</v>
      </c>
      <c r="K25" s="57">
        <f t="shared" si="1"/>
        <v>2.6593920929549108E-2</v>
      </c>
      <c r="L25" s="57">
        <f t="shared" si="2"/>
        <v>6.0213148683214583E-2</v>
      </c>
    </row>
    <row r="26" spans="1:17" s="7" customFormat="1" ht="6" customHeight="1" thickBot="1" x14ac:dyDescent="0.3">
      <c r="B26" s="89"/>
      <c r="C26" s="99"/>
      <c r="D26" s="99"/>
      <c r="E26" s="93"/>
      <c r="F26" s="92"/>
      <c r="G26" s="100"/>
      <c r="H26" s="84"/>
      <c r="I26" s="101"/>
      <c r="J26" s="85"/>
      <c r="K26" s="85"/>
      <c r="L26" s="85"/>
    </row>
    <row r="27" spans="1:17" s="12" customFormat="1" ht="24.95" customHeight="1" thickTop="1" thickBot="1" x14ac:dyDescent="0.3">
      <c r="A27" s="13"/>
      <c r="B27" s="90" t="s">
        <v>13</v>
      </c>
      <c r="C27" s="63">
        <f>SUM(C11:C25)</f>
        <v>6540342.1545882821</v>
      </c>
      <c r="D27" s="63">
        <f>SUM(D11:D25)</f>
        <v>90544.125772941392</v>
      </c>
      <c r="E27" s="62">
        <f>SUM(E11:E25)</f>
        <v>243406.0030917656</v>
      </c>
      <c r="F27" s="102">
        <f>SUM(F11:F25)</f>
        <v>161255.14463764848</v>
      </c>
      <c r="G27" s="94"/>
      <c r="H27" s="94"/>
      <c r="I27" s="94"/>
      <c r="J27" s="95">
        <f>SUM(J11:J25)</f>
        <v>1.0000000000000004</v>
      </c>
      <c r="K27" s="64">
        <f>SUM(K11:K25)</f>
        <v>1</v>
      </c>
      <c r="L27" s="65">
        <f>SUM(L11:L25)</f>
        <v>0.99999999999999967</v>
      </c>
      <c r="M27" s="13"/>
      <c r="N27" s="13"/>
      <c r="O27" s="13"/>
      <c r="P27" s="13"/>
      <c r="Q27" s="13"/>
    </row>
    <row r="28" spans="1:17" ht="15.75" thickTop="1" x14ac:dyDescent="0.25">
      <c r="B28" s="15"/>
    </row>
    <row r="29" spans="1:17" x14ac:dyDescent="0.25">
      <c r="B29" s="15"/>
    </row>
    <row r="30" spans="1:17" x14ac:dyDescent="0.25">
      <c r="B30" s="66" t="s">
        <v>396</v>
      </c>
      <c r="C30" s="67"/>
      <c r="D30" s="67"/>
      <c r="E30" s="67"/>
      <c r="F30" s="67"/>
    </row>
    <row r="31" spans="1:17" x14ac:dyDescent="0.25">
      <c r="A31" s="21"/>
      <c r="B31" s="67" t="s">
        <v>184</v>
      </c>
      <c r="C31" s="68"/>
      <c r="D31" s="68"/>
      <c r="E31" s="68"/>
      <c r="F31" s="68"/>
      <c r="G31" s="87"/>
      <c r="H31" s="88"/>
      <c r="I31"/>
      <c r="J31"/>
      <c r="K31"/>
      <c r="L31"/>
      <c r="M31"/>
      <c r="N31"/>
      <c r="O31"/>
      <c r="P31"/>
      <c r="Q31"/>
    </row>
    <row r="32" spans="1:17" ht="14.45" customHeight="1" x14ac:dyDescent="0.25">
      <c r="A32" s="21"/>
      <c r="B32" s="67"/>
      <c r="C32" s="68"/>
      <c r="D32" s="68"/>
      <c r="E32" s="68"/>
      <c r="F32" s="68"/>
      <c r="G32" s="87"/>
      <c r="H32" s="88"/>
      <c r="I32"/>
      <c r="J32"/>
      <c r="K32"/>
      <c r="L32"/>
      <c r="M32"/>
      <c r="N32"/>
      <c r="O32"/>
      <c r="P32"/>
      <c r="Q32"/>
    </row>
    <row r="33" spans="1:17" x14ac:dyDescent="0.25">
      <c r="A33"/>
      <c r="B33" s="79" t="s">
        <v>397</v>
      </c>
      <c r="C33" s="68"/>
      <c r="D33" s="68"/>
      <c r="E33" s="68"/>
      <c r="F33" s="68"/>
      <c r="G33" s="88"/>
      <c r="H33" s="88"/>
      <c r="I33"/>
      <c r="J33"/>
      <c r="K33"/>
      <c r="L33"/>
      <c r="M33"/>
      <c r="N33"/>
      <c r="O33"/>
      <c r="P33"/>
      <c r="Q33"/>
    </row>
    <row r="34" spans="1:17" x14ac:dyDescent="0.25">
      <c r="A34"/>
      <c r="B34" s="68" t="s">
        <v>176</v>
      </c>
      <c r="C34" s="68"/>
      <c r="D34" s="68"/>
      <c r="E34" s="68"/>
      <c r="F34" s="68"/>
      <c r="G34" s="88"/>
      <c r="H34" s="88"/>
      <c r="I34"/>
      <c r="J34"/>
      <c r="K34"/>
      <c r="L34"/>
      <c r="M34"/>
      <c r="N34"/>
      <c r="O34"/>
      <c r="P34"/>
      <c r="Q34"/>
    </row>
    <row r="35" spans="1:17" x14ac:dyDescent="0.25">
      <c r="A35"/>
      <c r="B35" s="68" t="s">
        <v>74</v>
      </c>
      <c r="C35" s="68"/>
      <c r="D35" s="68"/>
      <c r="E35" s="68"/>
      <c r="F35" s="68"/>
      <c r="G35" s="88"/>
      <c r="H35" s="88"/>
      <c r="I35"/>
      <c r="J35"/>
      <c r="K35"/>
      <c r="L35"/>
      <c r="M35"/>
      <c r="N35"/>
      <c r="O35"/>
      <c r="P35"/>
      <c r="Q35"/>
    </row>
    <row r="36" spans="1:17" x14ac:dyDescent="0.25">
      <c r="A36" s="21"/>
      <c r="B36" s="69" t="s">
        <v>75</v>
      </c>
      <c r="C36" s="68"/>
      <c r="D36" s="68"/>
      <c r="E36" s="68"/>
      <c r="F36" s="68"/>
      <c r="G36" s="88"/>
      <c r="H36" s="88"/>
      <c r="I36"/>
      <c r="J36"/>
      <c r="K36"/>
      <c r="L36"/>
      <c r="M36"/>
      <c r="N36"/>
      <c r="O36"/>
      <c r="P36"/>
      <c r="Q36"/>
    </row>
    <row r="37" spans="1:17" x14ac:dyDescent="0.25">
      <c r="B37" s="67" t="s">
        <v>382</v>
      </c>
      <c r="C37" s="67"/>
      <c r="D37" s="67"/>
      <c r="E37" s="67"/>
      <c r="F37" s="67"/>
      <c r="G37" s="87"/>
      <c r="H37" s="87"/>
    </row>
    <row r="38" spans="1:17" x14ac:dyDescent="0.25">
      <c r="B38" s="87"/>
      <c r="C38" s="87"/>
      <c r="D38" s="87"/>
      <c r="E38" s="87"/>
      <c r="F38" s="87"/>
      <c r="G38" s="87"/>
      <c r="H38" s="87"/>
    </row>
    <row r="39" spans="1:17" x14ac:dyDescent="0.25">
      <c r="B39" s="66" t="s">
        <v>398</v>
      </c>
    </row>
  </sheetData>
  <mergeCells count="8">
    <mergeCell ref="C6:C7"/>
    <mergeCell ref="D6:F6"/>
    <mergeCell ref="G6:I6"/>
    <mergeCell ref="J6:L6"/>
    <mergeCell ref="B7:B8"/>
    <mergeCell ref="D7:F7"/>
    <mergeCell ref="G7:I7"/>
    <mergeCell ref="J7:L7"/>
  </mergeCells>
  <hyperlinks>
    <hyperlink ref="B1" location="Start!A1" display="Back to home page" xr:uid="{63AD85C1-CAA8-4C98-86F2-BF6C510292D6}"/>
  </hyperlinks>
  <pageMargins left="0.7" right="0.7" top="0.75" bottom="0.75" header="0.3" footer="0.3"/>
  <pageSetup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1CB87-37FF-49FD-AE27-5909A444BFF4}">
  <sheetPr>
    <tabColor rgb="FF92D050"/>
  </sheetPr>
  <dimension ref="A1:AY37"/>
  <sheetViews>
    <sheetView showGridLines="0" zoomScale="80" zoomScaleNormal="80" workbookViewId="0">
      <pane xSplit="2" ySplit="9" topLeftCell="C10" activePane="bottomRight" state="frozen"/>
      <selection pane="topRight" activeCell="C1" sqref="C1"/>
      <selection pane="bottomLeft" activeCell="A10" sqref="A10"/>
      <selection pane="bottomRight"/>
    </sheetView>
  </sheetViews>
  <sheetFormatPr defaultColWidth="8.7109375" defaultRowHeight="15" x14ac:dyDescent="0.25"/>
  <cols>
    <col min="1" max="1" width="2.7109375" customWidth="1"/>
    <col min="2" max="2" width="45.7109375" style="7" customWidth="1"/>
    <col min="3" max="22" width="12.7109375" style="7" customWidth="1"/>
    <col min="23" max="51" width="8.7109375" style="7"/>
  </cols>
  <sheetData>
    <row r="1" spans="1:51" x14ac:dyDescent="0.25">
      <c r="A1" s="21"/>
      <c r="B1" s="546" t="s">
        <v>432</v>
      </c>
      <c r="E1"/>
      <c r="F1"/>
      <c r="G1"/>
      <c r="H1"/>
      <c r="I1"/>
      <c r="J1"/>
      <c r="R1"/>
      <c r="S1"/>
      <c r="T1"/>
      <c r="U1"/>
      <c r="V1"/>
      <c r="W1"/>
      <c r="Y1"/>
      <c r="Z1"/>
      <c r="AA1"/>
      <c r="AB1"/>
      <c r="AC1"/>
      <c r="AD1"/>
      <c r="AE1"/>
      <c r="AF1"/>
      <c r="AG1"/>
      <c r="AH1"/>
      <c r="AI1"/>
      <c r="AJ1"/>
      <c r="AK1"/>
      <c r="AL1"/>
      <c r="AM1"/>
      <c r="AN1"/>
      <c r="AO1"/>
      <c r="AP1"/>
      <c r="AQ1"/>
      <c r="AR1"/>
      <c r="AS1"/>
      <c r="AT1"/>
      <c r="AU1"/>
      <c r="AV1"/>
      <c r="AW1"/>
      <c r="AX1"/>
      <c r="AY1"/>
    </row>
    <row r="2" spans="1:51" x14ac:dyDescent="0.25">
      <c r="A2" s="21"/>
      <c r="E2"/>
      <c r="F2"/>
      <c r="G2"/>
      <c r="H2"/>
      <c r="I2"/>
      <c r="J2"/>
      <c r="R2"/>
      <c r="S2"/>
      <c r="T2"/>
      <c r="U2"/>
      <c r="V2"/>
      <c r="W2"/>
      <c r="Y2"/>
      <c r="Z2"/>
      <c r="AA2"/>
      <c r="AB2"/>
      <c r="AC2"/>
      <c r="AD2"/>
      <c r="AE2"/>
      <c r="AF2"/>
      <c r="AG2"/>
      <c r="AH2"/>
      <c r="AI2"/>
      <c r="AJ2"/>
      <c r="AK2"/>
      <c r="AL2"/>
      <c r="AM2"/>
      <c r="AN2"/>
      <c r="AO2"/>
      <c r="AP2"/>
      <c r="AQ2"/>
      <c r="AR2"/>
      <c r="AS2"/>
      <c r="AT2"/>
      <c r="AU2"/>
      <c r="AV2"/>
      <c r="AW2"/>
      <c r="AX2"/>
      <c r="AY2"/>
    </row>
    <row r="3" spans="1:51" x14ac:dyDescent="0.25">
      <c r="A3" s="21"/>
      <c r="E3"/>
      <c r="F3"/>
      <c r="G3"/>
      <c r="H3"/>
      <c r="I3"/>
      <c r="J3"/>
      <c r="R3"/>
      <c r="S3"/>
      <c r="T3"/>
      <c r="U3"/>
      <c r="V3"/>
      <c r="W3"/>
      <c r="Y3"/>
      <c r="Z3"/>
      <c r="AA3"/>
      <c r="AB3"/>
      <c r="AC3"/>
      <c r="AD3"/>
      <c r="AE3"/>
      <c r="AF3"/>
      <c r="AG3"/>
      <c r="AH3"/>
      <c r="AI3"/>
      <c r="AJ3"/>
      <c r="AK3"/>
      <c r="AL3"/>
      <c r="AM3"/>
      <c r="AN3"/>
      <c r="AO3"/>
      <c r="AP3"/>
      <c r="AQ3"/>
      <c r="AR3"/>
      <c r="AS3"/>
      <c r="AT3"/>
      <c r="AU3"/>
      <c r="AV3"/>
      <c r="AW3"/>
      <c r="AX3"/>
      <c r="AY3"/>
    </row>
    <row r="4" spans="1:51" x14ac:dyDescent="0.25">
      <c r="A4" s="21"/>
      <c r="E4"/>
      <c r="F4"/>
      <c r="G4"/>
      <c r="H4"/>
      <c r="I4"/>
      <c r="J4"/>
      <c r="R4"/>
      <c r="S4"/>
      <c r="T4"/>
      <c r="U4"/>
      <c r="V4"/>
      <c r="W4"/>
      <c r="Y4"/>
      <c r="Z4"/>
      <c r="AA4"/>
      <c r="AB4"/>
      <c r="AC4"/>
      <c r="AD4"/>
      <c r="AE4"/>
      <c r="AF4"/>
      <c r="AG4"/>
      <c r="AH4"/>
      <c r="AI4"/>
      <c r="AJ4"/>
      <c r="AK4"/>
      <c r="AL4"/>
      <c r="AM4"/>
      <c r="AN4"/>
      <c r="AO4"/>
      <c r="AP4"/>
      <c r="AQ4"/>
      <c r="AR4"/>
      <c r="AS4"/>
      <c r="AT4"/>
      <c r="AU4"/>
      <c r="AV4"/>
      <c r="AW4"/>
      <c r="AX4"/>
      <c r="AY4"/>
    </row>
    <row r="5" spans="1:51" ht="15.75" thickBot="1" x14ac:dyDescent="0.3">
      <c r="J5"/>
      <c r="T5" s="18"/>
      <c r="U5" s="19"/>
      <c r="V5" s="19"/>
      <c r="W5" s="20"/>
      <c r="AA5"/>
      <c r="AB5"/>
      <c r="AC5"/>
      <c r="AD5"/>
      <c r="AE5"/>
      <c r="AF5"/>
      <c r="AG5"/>
      <c r="AH5"/>
      <c r="AI5"/>
      <c r="AJ5"/>
      <c r="AK5"/>
      <c r="AL5"/>
      <c r="AM5"/>
      <c r="AN5"/>
      <c r="AO5"/>
      <c r="AP5"/>
      <c r="AQ5"/>
      <c r="AR5"/>
      <c r="AS5"/>
      <c r="AT5"/>
      <c r="AU5"/>
      <c r="AV5"/>
      <c r="AW5"/>
      <c r="AX5"/>
      <c r="AY5"/>
    </row>
    <row r="6" spans="1:51" ht="30" customHeight="1" thickTop="1" x14ac:dyDescent="0.3">
      <c r="B6" s="38" t="s">
        <v>387</v>
      </c>
      <c r="C6" s="592" t="s">
        <v>390</v>
      </c>
      <c r="D6" s="592"/>
      <c r="E6" s="592" t="s">
        <v>389</v>
      </c>
      <c r="F6" s="592"/>
      <c r="G6" s="592"/>
      <c r="H6" s="592"/>
      <c r="I6" s="592"/>
      <c r="J6" s="592"/>
      <c r="K6" s="589" t="s">
        <v>392</v>
      </c>
      <c r="L6" s="589"/>
      <c r="M6" s="589"/>
      <c r="N6" s="589"/>
      <c r="O6" s="589"/>
      <c r="P6" s="577"/>
      <c r="Q6" s="589" t="s">
        <v>414</v>
      </c>
      <c r="R6" s="589"/>
      <c r="S6" s="589"/>
      <c r="T6" s="589"/>
      <c r="U6" s="589"/>
      <c r="V6" s="589"/>
      <c r="W6" s="35"/>
    </row>
    <row r="7" spans="1:51" ht="25.15" customHeight="1" thickBot="1" x14ac:dyDescent="0.3">
      <c r="B7" s="596" t="s">
        <v>223</v>
      </c>
      <c r="C7" s="593" t="s">
        <v>405</v>
      </c>
      <c r="D7" s="593"/>
      <c r="E7" s="591" t="s">
        <v>14</v>
      </c>
      <c r="F7" s="591"/>
      <c r="G7" s="591"/>
      <c r="H7" s="591"/>
      <c r="I7" s="591"/>
      <c r="J7" s="591"/>
      <c r="K7" s="593" t="s">
        <v>415</v>
      </c>
      <c r="L7" s="593"/>
      <c r="M7" s="593"/>
      <c r="N7" s="593"/>
      <c r="O7" s="593"/>
      <c r="P7" s="626"/>
      <c r="Q7" s="591" t="s">
        <v>0</v>
      </c>
      <c r="R7" s="591"/>
      <c r="S7" s="591"/>
      <c r="T7" s="591"/>
      <c r="U7" s="591"/>
      <c r="V7" s="591"/>
      <c r="W7" s="35"/>
    </row>
    <row r="8" spans="1:51" ht="34.15" customHeight="1" thickTop="1" thickBot="1" x14ac:dyDescent="0.3">
      <c r="B8" s="596"/>
      <c r="C8" s="624"/>
      <c r="D8" s="624"/>
      <c r="E8" s="618" t="s">
        <v>388</v>
      </c>
      <c r="F8" s="618"/>
      <c r="G8" s="618" t="s">
        <v>394</v>
      </c>
      <c r="H8" s="618"/>
      <c r="I8" s="618" t="s">
        <v>395</v>
      </c>
      <c r="J8" s="618"/>
      <c r="K8" s="620" t="s">
        <v>388</v>
      </c>
      <c r="L8" s="625"/>
      <c r="M8" s="620" t="s">
        <v>394</v>
      </c>
      <c r="N8" s="620"/>
      <c r="O8" s="620" t="s">
        <v>395</v>
      </c>
      <c r="P8" s="625"/>
      <c r="Q8" s="618" t="s">
        <v>388</v>
      </c>
      <c r="R8" s="618"/>
      <c r="S8" s="618" t="s">
        <v>394</v>
      </c>
      <c r="T8" s="618"/>
      <c r="U8" s="618" t="s">
        <v>395</v>
      </c>
      <c r="V8" s="618"/>
      <c r="W8" s="35"/>
    </row>
    <row r="9" spans="1:51" ht="34.15" customHeight="1" thickTop="1" thickBot="1" x14ac:dyDescent="0.3">
      <c r="B9" s="328" t="s">
        <v>393</v>
      </c>
      <c r="C9" s="50">
        <v>2017</v>
      </c>
      <c r="D9" s="110">
        <v>2018</v>
      </c>
      <c r="E9" s="50">
        <v>2017</v>
      </c>
      <c r="F9" s="110">
        <v>2018</v>
      </c>
      <c r="G9" s="51">
        <v>2017</v>
      </c>
      <c r="H9" s="110">
        <v>2018</v>
      </c>
      <c r="I9" s="51">
        <v>2017</v>
      </c>
      <c r="J9" s="110">
        <v>2018</v>
      </c>
      <c r="K9" s="51">
        <v>2017</v>
      </c>
      <c r="L9" s="109">
        <v>2018</v>
      </c>
      <c r="M9" s="50">
        <v>2017</v>
      </c>
      <c r="N9" s="110">
        <v>2018</v>
      </c>
      <c r="O9" s="51">
        <v>2017</v>
      </c>
      <c r="P9" s="109">
        <v>2018</v>
      </c>
      <c r="Q9" s="50">
        <v>2017</v>
      </c>
      <c r="R9" s="110">
        <v>2018</v>
      </c>
      <c r="S9" s="51">
        <v>2017</v>
      </c>
      <c r="T9" s="110">
        <v>2018</v>
      </c>
      <c r="U9" s="51">
        <v>2017</v>
      </c>
      <c r="V9" s="110">
        <v>2018</v>
      </c>
      <c r="W9" s="35"/>
    </row>
    <row r="10" spans="1:51" ht="6" customHeight="1" thickTop="1" x14ac:dyDescent="0.25">
      <c r="B10" s="326"/>
      <c r="C10" s="330"/>
      <c r="D10" s="331"/>
      <c r="E10" s="46"/>
      <c r="F10" s="332"/>
      <c r="G10" s="46"/>
      <c r="H10" s="332"/>
      <c r="I10" s="46"/>
      <c r="J10" s="334"/>
      <c r="K10" s="329"/>
      <c r="L10" s="340"/>
      <c r="M10" s="45"/>
      <c r="N10" s="332"/>
      <c r="O10" s="46"/>
      <c r="P10" s="340"/>
      <c r="Q10" s="45"/>
      <c r="R10" s="332"/>
      <c r="S10" s="46"/>
      <c r="T10" s="332"/>
      <c r="U10" s="46"/>
      <c r="V10" s="332"/>
      <c r="W10" s="35"/>
    </row>
    <row r="11" spans="1:51" x14ac:dyDescent="0.25">
      <c r="B11" s="336" t="s">
        <v>16</v>
      </c>
      <c r="C11" s="337">
        <v>400100</v>
      </c>
      <c r="D11" s="300">
        <v>414100</v>
      </c>
      <c r="E11" s="338">
        <v>70356.624546748353</v>
      </c>
      <c r="F11" s="339">
        <v>56395.296680193664</v>
      </c>
      <c r="G11" s="338">
        <v>31237.46608254284</v>
      </c>
      <c r="H11" s="339">
        <v>28749.003881203134</v>
      </c>
      <c r="I11" s="338">
        <v>11556.257216883678</v>
      </c>
      <c r="J11" s="339">
        <v>12033.066195494415</v>
      </c>
      <c r="K11" s="335">
        <f t="shared" ref="K11:L21" si="0">IFERROR(E11*1000/C11,"-")</f>
        <v>175.84759946700413</v>
      </c>
      <c r="L11" s="302">
        <f t="shared" si="0"/>
        <v>136.18762781983497</v>
      </c>
      <c r="M11" s="124">
        <f t="shared" ref="M11:N21" si="1">IFERROR(G11*1000/C11,"-")</f>
        <v>78.074146669689682</v>
      </c>
      <c r="N11" s="284">
        <f t="shared" si="1"/>
        <v>69.425268971753525</v>
      </c>
      <c r="O11" s="55">
        <f t="shared" ref="O11:P21" si="2">IFERROR(I11*1000/C11,"-")</f>
        <v>28.883422186662528</v>
      </c>
      <c r="P11" s="302">
        <f t="shared" si="2"/>
        <v>29.058358356663646</v>
      </c>
      <c r="Q11" s="303">
        <f t="shared" ref="Q11:Q21" si="3">E11/$E$23</f>
        <v>0.21601665504067655</v>
      </c>
      <c r="R11" s="301">
        <f t="shared" ref="R11:R21" si="4">F11/$F$23</f>
        <v>0.21673826548883035</v>
      </c>
      <c r="S11" s="289">
        <f t="shared" ref="S11:S21" si="5">G11/$G$23</f>
        <v>0.24385219424311352</v>
      </c>
      <c r="T11" s="301">
        <f t="shared" ref="T11:T21" si="6">H11/$H$23</f>
        <v>0.24446431871771371</v>
      </c>
      <c r="U11" s="289">
        <f t="shared" ref="U11:U21" si="7">I11/$I$23</f>
        <v>0.12713154253997447</v>
      </c>
      <c r="V11" s="301">
        <f t="shared" ref="V11:V21" si="8">J11/$J$23</f>
        <v>0.12746892156244083</v>
      </c>
      <c r="W11" s="35"/>
    </row>
    <row r="12" spans="1:51" x14ac:dyDescent="0.25">
      <c r="B12" s="229" t="s">
        <v>51</v>
      </c>
      <c r="C12" s="230">
        <v>265800</v>
      </c>
      <c r="D12" s="231">
        <v>276595</v>
      </c>
      <c r="E12" s="387">
        <v>46740.291938329705</v>
      </c>
      <c r="F12" s="386">
        <v>37668.816916827258</v>
      </c>
      <c r="G12" s="387">
        <v>16601.686547842812</v>
      </c>
      <c r="H12" s="386">
        <v>15362.145816993732</v>
      </c>
      <c r="I12" s="387">
        <v>9212.6563406578807</v>
      </c>
      <c r="J12" s="386">
        <v>9644.8759555936576</v>
      </c>
      <c r="K12" s="153">
        <f t="shared" si="0"/>
        <v>175.84759946700416</v>
      </c>
      <c r="L12" s="154">
        <f t="shared" si="0"/>
        <v>136.187627819835</v>
      </c>
      <c r="M12" s="137">
        <f t="shared" si="1"/>
        <v>62.459317335751734</v>
      </c>
      <c r="N12" s="285">
        <f t="shared" si="1"/>
        <v>55.540215177402814</v>
      </c>
      <c r="O12" s="73">
        <f t="shared" si="2"/>
        <v>34.660106623995034</v>
      </c>
      <c r="P12" s="154">
        <f t="shared" si="2"/>
        <v>34.870030027996371</v>
      </c>
      <c r="Q12" s="306">
        <f t="shared" si="3"/>
        <v>0.14350719047691035</v>
      </c>
      <c r="R12" s="307">
        <f t="shared" si="4"/>
        <v>0.1447687045227796</v>
      </c>
      <c r="S12" s="308">
        <f t="shared" si="5"/>
        <v>0.1295994266029884</v>
      </c>
      <c r="T12" s="307">
        <f t="shared" si="6"/>
        <v>0.13063049164110316</v>
      </c>
      <c r="U12" s="308">
        <f t="shared" si="7"/>
        <v>0.10134935468270498</v>
      </c>
      <c r="V12" s="307">
        <f t="shared" si="8"/>
        <v>0.10217029613976332</v>
      </c>
      <c r="W12" s="35"/>
    </row>
    <row r="13" spans="1:51" x14ac:dyDescent="0.25">
      <c r="B13" s="336" t="s">
        <v>5</v>
      </c>
      <c r="C13" s="337">
        <v>850780</v>
      </c>
      <c r="D13" s="300">
        <v>888415</v>
      </c>
      <c r="E13" s="338">
        <v>29921.524134907559</v>
      </c>
      <c r="F13" s="339">
        <v>24198.22627391174</v>
      </c>
      <c r="G13" s="338">
        <v>8856.5230004851437</v>
      </c>
      <c r="H13" s="339">
        <v>8223.7933778053884</v>
      </c>
      <c r="I13" s="338">
        <v>7372.031378390624</v>
      </c>
      <c r="J13" s="339">
        <v>7744.7644318305993</v>
      </c>
      <c r="K13" s="335">
        <f t="shared" si="0"/>
        <v>35.169519893400832</v>
      </c>
      <c r="L13" s="302">
        <f t="shared" si="0"/>
        <v>27.237525563966997</v>
      </c>
      <c r="M13" s="124">
        <f t="shared" si="1"/>
        <v>10.409886222625291</v>
      </c>
      <c r="N13" s="284">
        <f t="shared" si="1"/>
        <v>9.2567025295671375</v>
      </c>
      <c r="O13" s="55">
        <f t="shared" si="2"/>
        <v>8.6650266559987585</v>
      </c>
      <c r="P13" s="302">
        <f t="shared" si="2"/>
        <v>8.7175075069990928</v>
      </c>
      <c r="Q13" s="303">
        <f t="shared" si="3"/>
        <v>9.1868357798303837E-2</v>
      </c>
      <c r="R13" s="301">
        <f t="shared" si="4"/>
        <v>9.2998563696816819E-2</v>
      </c>
      <c r="S13" s="289">
        <f t="shared" si="5"/>
        <v>6.9137572212998794E-2</v>
      </c>
      <c r="T13" s="301">
        <f t="shared" si="6"/>
        <v>6.9930215797664855E-2</v>
      </c>
      <c r="U13" s="289">
        <f t="shared" si="7"/>
        <v>8.1100455207817654E-2</v>
      </c>
      <c r="V13" s="301">
        <f t="shared" si="8"/>
        <v>8.2041996099900413E-2</v>
      </c>
      <c r="W13" s="35"/>
    </row>
    <row r="14" spans="1:51" x14ac:dyDescent="0.25">
      <c r="B14" s="229" t="s">
        <v>86</v>
      </c>
      <c r="C14" s="230">
        <v>72560</v>
      </c>
      <c r="D14" s="231">
        <v>73567</v>
      </c>
      <c r="E14" s="387">
        <v>12759.501817325821</v>
      </c>
      <c r="F14" s="386">
        <v>10018.9152158218</v>
      </c>
      <c r="G14" s="387">
        <v>3776.7067215684551</v>
      </c>
      <c r="H14" s="386">
        <v>3404.9391749633282</v>
      </c>
      <c r="I14" s="387">
        <v>3143.6716707963496</v>
      </c>
      <c r="J14" s="386">
        <v>3206.6043738370113</v>
      </c>
      <c r="K14" s="153">
        <f t="shared" si="0"/>
        <v>175.84759946700416</v>
      </c>
      <c r="L14" s="154">
        <f t="shared" si="0"/>
        <v>136.187627819835</v>
      </c>
      <c r="M14" s="137">
        <f t="shared" si="1"/>
        <v>52.049431113126445</v>
      </c>
      <c r="N14" s="285">
        <f t="shared" si="1"/>
        <v>46.283512647835686</v>
      </c>
      <c r="O14" s="73">
        <f t="shared" si="2"/>
        <v>43.325133279993793</v>
      </c>
      <c r="P14" s="154">
        <f t="shared" si="2"/>
        <v>43.587537534995462</v>
      </c>
      <c r="Q14" s="306">
        <f t="shared" si="3"/>
        <v>3.9175627317549346E-2</v>
      </c>
      <c r="R14" s="307">
        <f t="shared" si="4"/>
        <v>3.850467031445734E-2</v>
      </c>
      <c r="S14" s="308">
        <f t="shared" si="5"/>
        <v>2.9482488068450084E-2</v>
      </c>
      <c r="T14" s="307">
        <f t="shared" si="6"/>
        <v>2.8953564412953468E-2</v>
      </c>
      <c r="U14" s="308">
        <f t="shared" si="7"/>
        <v>3.4583846763436198E-2</v>
      </c>
      <c r="V14" s="307">
        <f t="shared" si="8"/>
        <v>3.3968266672002236E-2</v>
      </c>
      <c r="W14" s="35"/>
    </row>
    <row r="15" spans="1:51" x14ac:dyDescent="0.25">
      <c r="B15" s="336" t="s">
        <v>25</v>
      </c>
      <c r="C15" s="337">
        <v>9000</v>
      </c>
      <c r="D15" s="300">
        <v>10000</v>
      </c>
      <c r="E15" s="338">
        <v>1266.1027161624299</v>
      </c>
      <c r="F15" s="339">
        <v>1089.5010225586798</v>
      </c>
      <c r="G15" s="338">
        <v>468.44488001813806</v>
      </c>
      <c r="H15" s="339">
        <v>462.83512647835681</v>
      </c>
      <c r="I15" s="338">
        <v>259.95079967996276</v>
      </c>
      <c r="J15" s="339">
        <v>290.58358356663643</v>
      </c>
      <c r="K15" s="335">
        <f t="shared" si="0"/>
        <v>140.67807957360333</v>
      </c>
      <c r="L15" s="302">
        <f t="shared" si="0"/>
        <v>108.95010225586798</v>
      </c>
      <c r="M15" s="124">
        <f t="shared" si="1"/>
        <v>52.049431113126452</v>
      </c>
      <c r="N15" s="284">
        <f t="shared" si="1"/>
        <v>46.283512647835686</v>
      </c>
      <c r="O15" s="55">
        <f t="shared" si="2"/>
        <v>28.883422186662528</v>
      </c>
      <c r="P15" s="302">
        <f t="shared" si="2"/>
        <v>29.058358356663643</v>
      </c>
      <c r="Q15" s="303">
        <f t="shared" si="3"/>
        <v>3.8873279587424928E-3</v>
      </c>
      <c r="R15" s="301">
        <f t="shared" si="4"/>
        <v>4.1871676501102212E-3</v>
      </c>
      <c r="S15" s="289">
        <f t="shared" si="5"/>
        <v>3.6568686964725847E-3</v>
      </c>
      <c r="T15" s="301">
        <f t="shared" si="6"/>
        <v>3.9356728442037142E-3</v>
      </c>
      <c r="U15" s="289">
        <f t="shared" si="7"/>
        <v>2.8597447709566865E-3</v>
      </c>
      <c r="V15" s="301">
        <f t="shared" si="8"/>
        <v>3.0782159276126742E-3</v>
      </c>
      <c r="W15" s="35"/>
    </row>
    <row r="16" spans="1:51" x14ac:dyDescent="0.25">
      <c r="B16" s="229" t="s">
        <v>55</v>
      </c>
      <c r="C16" s="230">
        <v>90356</v>
      </c>
      <c r="D16" s="231">
        <v>90356</v>
      </c>
      <c r="E16" s="387">
        <v>15888.885697440626</v>
      </c>
      <c r="F16" s="386">
        <v>12305.369299289008</v>
      </c>
      <c r="G16" s="387">
        <v>0</v>
      </c>
      <c r="H16" s="386">
        <v>0</v>
      </c>
      <c r="I16" s="387">
        <v>0</v>
      </c>
      <c r="J16" s="386">
        <v>0</v>
      </c>
      <c r="K16" s="153">
        <f t="shared" si="0"/>
        <v>175.84759946700413</v>
      </c>
      <c r="L16" s="154">
        <f t="shared" si="0"/>
        <v>136.18762781983497</v>
      </c>
      <c r="M16" s="137">
        <f t="shared" si="1"/>
        <v>0</v>
      </c>
      <c r="N16" s="285">
        <f t="shared" si="1"/>
        <v>0</v>
      </c>
      <c r="O16" s="73">
        <f t="shared" si="2"/>
        <v>0</v>
      </c>
      <c r="P16" s="154">
        <f t="shared" si="2"/>
        <v>0</v>
      </c>
      <c r="Q16" s="306">
        <f t="shared" si="3"/>
        <v>4.8783806255574533E-2</v>
      </c>
      <c r="R16" s="307">
        <f t="shared" si="4"/>
        <v>4.7291965024169894E-2</v>
      </c>
      <c r="S16" s="308">
        <f t="shared" si="5"/>
        <v>0</v>
      </c>
      <c r="T16" s="307">
        <f t="shared" si="6"/>
        <v>0</v>
      </c>
      <c r="U16" s="308">
        <f t="shared" si="7"/>
        <v>0</v>
      </c>
      <c r="V16" s="307">
        <f t="shared" si="8"/>
        <v>0</v>
      </c>
      <c r="W16" s="35"/>
    </row>
    <row r="17" spans="1:51" x14ac:dyDescent="0.25">
      <c r="B17" s="336" t="s">
        <v>57</v>
      </c>
      <c r="C17" s="337">
        <v>226000</v>
      </c>
      <c r="D17" s="300">
        <v>225500</v>
      </c>
      <c r="E17" s="338">
        <v>15896.622991817174</v>
      </c>
      <c r="F17" s="339">
        <v>12284.124029349116</v>
      </c>
      <c r="G17" s="338">
        <v>9410.5371452532618</v>
      </c>
      <c r="H17" s="339">
        <v>8349.5456816695569</v>
      </c>
      <c r="I17" s="338">
        <v>6527.6534141857319</v>
      </c>
      <c r="J17" s="339">
        <v>6552.6598094276524</v>
      </c>
      <c r="K17" s="335">
        <f t="shared" si="0"/>
        <v>70.339039786801663</v>
      </c>
      <c r="L17" s="302">
        <f t="shared" si="0"/>
        <v>54.475051127933988</v>
      </c>
      <c r="M17" s="124">
        <f t="shared" si="1"/>
        <v>41.639544890501156</v>
      </c>
      <c r="N17" s="284">
        <f t="shared" si="1"/>
        <v>37.026810118268543</v>
      </c>
      <c r="O17" s="55">
        <f t="shared" si="2"/>
        <v>28.883422186662528</v>
      </c>
      <c r="P17" s="302">
        <f t="shared" si="2"/>
        <v>29.058358356663646</v>
      </c>
      <c r="Q17" s="303">
        <f t="shared" si="3"/>
        <v>4.8807562148655739E-2</v>
      </c>
      <c r="R17" s="301">
        <f t="shared" si="4"/>
        <v>4.7210315254992752E-2</v>
      </c>
      <c r="S17" s="289">
        <f t="shared" si="5"/>
        <v>7.3462428924693693E-2</v>
      </c>
      <c r="T17" s="301">
        <f t="shared" si="6"/>
        <v>7.0999538109435004E-2</v>
      </c>
      <c r="U17" s="289">
        <f t="shared" si="7"/>
        <v>7.1811368692912353E-2</v>
      </c>
      <c r="V17" s="301">
        <f t="shared" si="8"/>
        <v>6.9413769167665812E-2</v>
      </c>
      <c r="W17" s="35"/>
    </row>
    <row r="18" spans="1:51" x14ac:dyDescent="0.25">
      <c r="B18" s="229" t="s">
        <v>88</v>
      </c>
      <c r="C18" s="230">
        <v>120000</v>
      </c>
      <c r="D18" s="231">
        <v>120000</v>
      </c>
      <c r="E18" s="387">
        <v>12661.027161624299</v>
      </c>
      <c r="F18" s="386">
        <v>9805.5092030281176</v>
      </c>
      <c r="G18" s="387">
        <v>6245.9317335751739</v>
      </c>
      <c r="H18" s="386">
        <v>5554.0215177402824</v>
      </c>
      <c r="I18" s="387">
        <v>3466.0106623995034</v>
      </c>
      <c r="J18" s="386">
        <v>3487.0030027996372</v>
      </c>
      <c r="K18" s="153">
        <f t="shared" si="0"/>
        <v>105.5085596802025</v>
      </c>
      <c r="L18" s="154">
        <f t="shared" si="0"/>
        <v>81.712576691900992</v>
      </c>
      <c r="M18" s="137">
        <f t="shared" si="1"/>
        <v>52.049431113126445</v>
      </c>
      <c r="N18" s="285">
        <f t="shared" si="1"/>
        <v>46.283512647835686</v>
      </c>
      <c r="O18" s="73">
        <f t="shared" si="2"/>
        <v>28.883422186662528</v>
      </c>
      <c r="P18" s="154">
        <f t="shared" si="2"/>
        <v>29.058358356663643</v>
      </c>
      <c r="Q18" s="306">
        <f t="shared" si="3"/>
        <v>3.8873279587424925E-2</v>
      </c>
      <c r="R18" s="307">
        <f t="shared" si="4"/>
        <v>3.7684508850991991E-2</v>
      </c>
      <c r="S18" s="308">
        <f t="shared" si="5"/>
        <v>4.8758249286301132E-2</v>
      </c>
      <c r="T18" s="307">
        <f t="shared" si="6"/>
        <v>4.7228074130444574E-2</v>
      </c>
      <c r="U18" s="308">
        <f t="shared" si="7"/>
        <v>3.8129930279422485E-2</v>
      </c>
      <c r="V18" s="307">
        <f t="shared" si="8"/>
        <v>3.6938591131352089E-2</v>
      </c>
      <c r="W18" s="35"/>
    </row>
    <row r="19" spans="1:51" x14ac:dyDescent="0.25">
      <c r="B19" s="336" t="s">
        <v>8</v>
      </c>
      <c r="C19" s="337">
        <v>450780</v>
      </c>
      <c r="D19" s="300">
        <v>479498</v>
      </c>
      <c r="E19" s="338">
        <v>63414.8647101889</v>
      </c>
      <c r="F19" s="339">
        <v>52241.356131484186</v>
      </c>
      <c r="G19" s="338">
        <v>28155.41106861017</v>
      </c>
      <c r="H19" s="339">
        <v>26631.422097134295</v>
      </c>
      <c r="I19" s="338">
        <v>26040.138106607472</v>
      </c>
      <c r="J19" s="339">
        <v>27866.84943060701</v>
      </c>
      <c r="K19" s="335">
        <f t="shared" si="0"/>
        <v>140.67807957360333</v>
      </c>
      <c r="L19" s="302">
        <f t="shared" si="0"/>
        <v>108.95010225586799</v>
      </c>
      <c r="M19" s="124">
        <f t="shared" si="1"/>
        <v>62.459317335751741</v>
      </c>
      <c r="N19" s="284">
        <f t="shared" si="1"/>
        <v>55.540215177402814</v>
      </c>
      <c r="O19" s="55">
        <f t="shared" si="2"/>
        <v>57.766844373325057</v>
      </c>
      <c r="P19" s="302">
        <f t="shared" si="2"/>
        <v>58.116716713327293</v>
      </c>
      <c r="Q19" s="303">
        <f t="shared" si="3"/>
        <v>0.19470329969354896</v>
      </c>
      <c r="R19" s="301">
        <f t="shared" si="4"/>
        <v>0.2007738513892551</v>
      </c>
      <c r="S19" s="289">
        <f t="shared" si="5"/>
        <v>0.21979243613278823</v>
      </c>
      <c r="T19" s="301">
        <f t="shared" si="6"/>
        <v>0.22645767089399907</v>
      </c>
      <c r="U19" s="289">
        <f t="shared" si="7"/>
        <v>0.28647016618930116</v>
      </c>
      <c r="V19" s="301">
        <f t="shared" si="8"/>
        <v>0.29519967617168441</v>
      </c>
      <c r="W19" s="35"/>
    </row>
    <row r="20" spans="1:51" x14ac:dyDescent="0.25">
      <c r="B20" s="229" t="s">
        <v>20</v>
      </c>
      <c r="C20" s="230">
        <v>179360</v>
      </c>
      <c r="D20" s="231">
        <v>180500</v>
      </c>
      <c r="E20" s="387">
        <v>31540.025440401863</v>
      </c>
      <c r="F20" s="386">
        <v>24581.866821480213</v>
      </c>
      <c r="G20" s="387">
        <v>14003.378946675541</v>
      </c>
      <c r="H20" s="386">
        <v>12531.261049401512</v>
      </c>
      <c r="I20" s="387">
        <v>12951.326508499478</v>
      </c>
      <c r="J20" s="386">
        <v>13112.58420844447</v>
      </c>
      <c r="K20" s="153">
        <f t="shared" si="0"/>
        <v>175.84759946700413</v>
      </c>
      <c r="L20" s="154">
        <f t="shared" si="0"/>
        <v>136.18762781983497</v>
      </c>
      <c r="M20" s="137">
        <f t="shared" si="1"/>
        <v>78.074146669689682</v>
      </c>
      <c r="N20" s="285">
        <f t="shared" si="1"/>
        <v>69.425268971753525</v>
      </c>
      <c r="O20" s="73">
        <f t="shared" si="2"/>
        <v>72.208555466656321</v>
      </c>
      <c r="P20" s="154">
        <f t="shared" si="2"/>
        <v>72.645895891659123</v>
      </c>
      <c r="Q20" s="306">
        <f t="shared" si="3"/>
        <v>9.6837658705562976E-2</v>
      </c>
      <c r="R20" s="307">
        <f t="shared" si="4"/>
        <v>9.447297010561187E-2</v>
      </c>
      <c r="S20" s="308">
        <f t="shared" si="5"/>
        <v>0.10931599489988714</v>
      </c>
      <c r="T20" s="307">
        <f t="shared" si="6"/>
        <v>0.10655834225681556</v>
      </c>
      <c r="U20" s="308">
        <f t="shared" si="7"/>
        <v>0.14247883947744203</v>
      </c>
      <c r="V20" s="307">
        <f t="shared" si="8"/>
        <v>0.13890449373352193</v>
      </c>
      <c r="W20" s="35"/>
    </row>
    <row r="21" spans="1:51" x14ac:dyDescent="0.25">
      <c r="B21" s="336" t="s">
        <v>9</v>
      </c>
      <c r="C21" s="337">
        <v>119680</v>
      </c>
      <c r="D21" s="300">
        <v>120000</v>
      </c>
      <c r="E21" s="338">
        <v>25254.528845053268</v>
      </c>
      <c r="F21" s="339">
        <v>19611.018406056235</v>
      </c>
      <c r="G21" s="338">
        <v>9343.9138734284606</v>
      </c>
      <c r="H21" s="339">
        <v>8331.0322766104237</v>
      </c>
      <c r="I21" s="338">
        <v>10370.303901899315</v>
      </c>
      <c r="J21" s="339">
        <v>10461.009008398913</v>
      </c>
      <c r="K21" s="335">
        <f t="shared" si="0"/>
        <v>211.01711936040496</v>
      </c>
      <c r="L21" s="302">
        <f t="shared" si="0"/>
        <v>163.42515338380198</v>
      </c>
      <c r="M21" s="124">
        <f t="shared" si="1"/>
        <v>78.074146669689668</v>
      </c>
      <c r="N21" s="284">
        <f t="shared" si="1"/>
        <v>69.425268971753525</v>
      </c>
      <c r="O21" s="55">
        <f t="shared" si="2"/>
        <v>86.6502665599876</v>
      </c>
      <c r="P21" s="302">
        <f t="shared" si="2"/>
        <v>87.175075069990939</v>
      </c>
      <c r="Q21" s="303">
        <f t="shared" si="3"/>
        <v>7.7539235017050248E-2</v>
      </c>
      <c r="R21" s="301">
        <f t="shared" si="4"/>
        <v>7.5369017701983981E-2</v>
      </c>
      <c r="S21" s="289">
        <f t="shared" si="5"/>
        <v>7.294234093230649E-2</v>
      </c>
      <c r="T21" s="301">
        <f t="shared" si="6"/>
        <v>7.0842111195666857E-2</v>
      </c>
      <c r="U21" s="289">
        <f t="shared" si="7"/>
        <v>0.11408475139603208</v>
      </c>
      <c r="V21" s="301">
        <f t="shared" si="8"/>
        <v>0.11081577339405628</v>
      </c>
      <c r="W21" s="35"/>
    </row>
    <row r="22" spans="1:51" ht="6" customHeight="1" thickBot="1" x14ac:dyDescent="0.3">
      <c r="B22" s="327"/>
      <c r="C22" s="501"/>
      <c r="D22" s="502"/>
      <c r="E22" s="503"/>
      <c r="F22" s="502"/>
      <c r="G22" s="503"/>
      <c r="H22" s="502"/>
      <c r="I22" s="503"/>
      <c r="J22" s="504"/>
      <c r="K22" s="124"/>
      <c r="L22" s="302"/>
      <c r="M22" s="100"/>
      <c r="N22" s="473"/>
      <c r="O22" s="55"/>
      <c r="P22" s="302"/>
      <c r="Q22" s="303"/>
      <c r="R22" s="301"/>
      <c r="S22" s="289"/>
      <c r="T22" s="301"/>
      <c r="U22" s="289"/>
      <c r="V22" s="301"/>
      <c r="W22" s="35"/>
    </row>
    <row r="23" spans="1:51" ht="24.95" customHeight="1" thickTop="1" thickBot="1" x14ac:dyDescent="0.3">
      <c r="B23" s="61" t="s">
        <v>13</v>
      </c>
      <c r="C23" s="457">
        <f t="shared" ref="C23:J23" si="9">SUM(C11:C21)</f>
        <v>2784416</v>
      </c>
      <c r="D23" s="460">
        <f t="shared" si="9"/>
        <v>2878531</v>
      </c>
      <c r="E23" s="458">
        <f t="shared" si="9"/>
        <v>325700</v>
      </c>
      <c r="F23" s="460">
        <f t="shared" si="9"/>
        <v>260200.00000000003</v>
      </c>
      <c r="G23" s="458">
        <f t="shared" si="9"/>
        <v>128099.99999999999</v>
      </c>
      <c r="H23" s="460">
        <f t="shared" si="9"/>
        <v>117600.00000000001</v>
      </c>
      <c r="I23" s="458">
        <f t="shared" si="9"/>
        <v>90899.999999999985</v>
      </c>
      <c r="J23" s="460">
        <f t="shared" si="9"/>
        <v>94400</v>
      </c>
      <c r="K23" s="498"/>
      <c r="L23" s="498"/>
      <c r="M23" s="498"/>
      <c r="N23" s="498"/>
      <c r="O23" s="498"/>
      <c r="P23" s="498"/>
      <c r="Q23" s="464">
        <f t="shared" ref="Q23:V23" si="10">SUM(Q11:Q21)</f>
        <v>0.99999999999999989</v>
      </c>
      <c r="R23" s="466">
        <f t="shared" si="10"/>
        <v>0.99999999999999989</v>
      </c>
      <c r="S23" s="465">
        <f t="shared" si="10"/>
        <v>1</v>
      </c>
      <c r="T23" s="466">
        <f t="shared" si="10"/>
        <v>1</v>
      </c>
      <c r="U23" s="465">
        <f t="shared" si="10"/>
        <v>1</v>
      </c>
      <c r="V23" s="466">
        <f t="shared" si="10"/>
        <v>1</v>
      </c>
      <c r="W23" s="35"/>
    </row>
    <row r="24" spans="1:51" ht="15.75" thickTop="1" x14ac:dyDescent="0.25">
      <c r="C24" s="35"/>
      <c r="D24" s="35"/>
      <c r="E24" s="35"/>
      <c r="F24" s="35"/>
      <c r="G24" s="35"/>
      <c r="H24" s="35"/>
      <c r="I24" s="35"/>
      <c r="J24" s="35"/>
      <c r="K24" s="35"/>
      <c r="L24" s="35"/>
      <c r="M24" s="35"/>
      <c r="N24" s="35"/>
      <c r="O24" s="35"/>
      <c r="P24" s="35"/>
      <c r="Q24" s="35"/>
      <c r="R24" s="35"/>
      <c r="S24" s="35"/>
      <c r="T24" s="35"/>
      <c r="U24" s="35"/>
      <c r="V24" s="35"/>
      <c r="W24" s="35"/>
    </row>
    <row r="26" spans="1:51" x14ac:dyDescent="0.25">
      <c r="B26" s="66" t="s">
        <v>396</v>
      </c>
      <c r="C26" s="67"/>
      <c r="D26" s="67"/>
      <c r="E26" s="67"/>
      <c r="F26" s="67"/>
      <c r="G26" s="67"/>
      <c r="H26" s="67"/>
      <c r="I26" s="67"/>
      <c r="J26" s="67"/>
      <c r="K26" s="67"/>
      <c r="L26" s="67"/>
      <c r="M26" s="67"/>
    </row>
    <row r="27" spans="1:51" x14ac:dyDescent="0.25">
      <c r="A27" s="21"/>
      <c r="B27" s="67" t="s">
        <v>376</v>
      </c>
      <c r="C27" s="67"/>
      <c r="D27" s="67"/>
      <c r="E27" s="68"/>
      <c r="F27" s="68"/>
      <c r="G27" s="68"/>
      <c r="H27" s="68"/>
      <c r="I27" s="68"/>
      <c r="J27" s="68"/>
      <c r="K27" s="67"/>
      <c r="L27" s="67"/>
      <c r="M27" s="67"/>
      <c r="R27"/>
      <c r="S27"/>
      <c r="T27"/>
      <c r="U27"/>
      <c r="V27"/>
      <c r="W27"/>
      <c r="Y27"/>
      <c r="Z27"/>
      <c r="AA27"/>
      <c r="AB27"/>
      <c r="AC27"/>
      <c r="AD27"/>
      <c r="AE27"/>
      <c r="AF27"/>
      <c r="AG27"/>
      <c r="AH27"/>
      <c r="AI27"/>
      <c r="AJ27"/>
      <c r="AK27"/>
      <c r="AL27"/>
      <c r="AM27"/>
      <c r="AN27"/>
      <c r="AO27"/>
      <c r="AP27"/>
      <c r="AQ27"/>
      <c r="AR27"/>
      <c r="AS27"/>
      <c r="AT27"/>
      <c r="AU27"/>
      <c r="AV27"/>
      <c r="AW27"/>
      <c r="AX27"/>
      <c r="AY27"/>
    </row>
    <row r="28" spans="1:51" x14ac:dyDescent="0.25">
      <c r="A28" s="21"/>
      <c r="B28" s="67"/>
      <c r="C28" s="67"/>
      <c r="D28" s="67"/>
      <c r="E28" s="68"/>
      <c r="F28" s="68"/>
      <c r="G28" s="68"/>
      <c r="H28" s="68"/>
      <c r="I28" s="68"/>
      <c r="J28" s="68"/>
      <c r="K28" s="67"/>
      <c r="L28" s="67"/>
      <c r="M28" s="67"/>
      <c r="R28"/>
      <c r="S28"/>
      <c r="T28"/>
      <c r="U28"/>
      <c r="V28"/>
      <c r="W28"/>
      <c r="Y28"/>
      <c r="Z28"/>
      <c r="AA28"/>
      <c r="AB28"/>
      <c r="AC28"/>
      <c r="AD28"/>
      <c r="AE28"/>
      <c r="AF28"/>
      <c r="AG28"/>
      <c r="AH28"/>
      <c r="AI28"/>
      <c r="AJ28"/>
      <c r="AK28"/>
      <c r="AL28"/>
      <c r="AM28"/>
      <c r="AN28"/>
      <c r="AO28"/>
      <c r="AP28"/>
      <c r="AQ28"/>
      <c r="AR28"/>
      <c r="AS28"/>
      <c r="AT28"/>
      <c r="AU28"/>
      <c r="AV28"/>
      <c r="AW28"/>
      <c r="AX28"/>
      <c r="AY28"/>
    </row>
    <row r="29" spans="1:51" x14ac:dyDescent="0.25">
      <c r="B29" s="79" t="s">
        <v>397</v>
      </c>
      <c r="C29" s="67"/>
      <c r="D29" s="68"/>
      <c r="E29" s="68"/>
      <c r="F29" s="68"/>
      <c r="G29" s="68"/>
      <c r="H29" s="68"/>
      <c r="I29" s="68"/>
      <c r="J29" s="68"/>
      <c r="K29" s="68"/>
      <c r="L29" s="68"/>
      <c r="M29" s="68"/>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row>
    <row r="30" spans="1:51" x14ac:dyDescent="0.25">
      <c r="A30" s="21"/>
      <c r="B30" s="68" t="s">
        <v>189</v>
      </c>
      <c r="C30" s="67"/>
      <c r="D30" s="68"/>
      <c r="E30" s="68"/>
      <c r="F30" s="68"/>
      <c r="G30" s="68"/>
      <c r="H30" s="68"/>
      <c r="I30" s="68"/>
      <c r="J30" s="68"/>
      <c r="K30" s="68"/>
      <c r="L30" s="68"/>
      <c r="M30" s="68"/>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row>
    <row r="31" spans="1:51" ht="14.45" customHeight="1" x14ac:dyDescent="0.25">
      <c r="A31" s="7"/>
      <c r="B31" s="69" t="s">
        <v>382</v>
      </c>
      <c r="C31" s="67"/>
      <c r="D31" s="333"/>
      <c r="E31" s="67"/>
      <c r="F31" s="67"/>
      <c r="G31" s="67"/>
      <c r="H31" s="67"/>
      <c r="I31" s="67"/>
      <c r="J31" s="68"/>
      <c r="K31" s="67"/>
      <c r="L31" s="67"/>
      <c r="M31" s="67"/>
      <c r="T31" s="8"/>
      <c r="U31" s="8"/>
      <c r="V31" s="8"/>
      <c r="AA31"/>
      <c r="AB31"/>
      <c r="AC31"/>
      <c r="AD31"/>
      <c r="AE31"/>
      <c r="AF31"/>
      <c r="AG31"/>
      <c r="AH31"/>
      <c r="AI31"/>
      <c r="AJ31"/>
      <c r="AK31"/>
      <c r="AL31"/>
      <c r="AM31"/>
      <c r="AN31"/>
      <c r="AO31"/>
      <c r="AP31"/>
      <c r="AQ31"/>
      <c r="AR31"/>
      <c r="AS31"/>
      <c r="AT31"/>
      <c r="AU31"/>
      <c r="AV31"/>
      <c r="AW31"/>
      <c r="AX31"/>
      <c r="AY31"/>
    </row>
    <row r="32" spans="1:51" x14ac:dyDescent="0.25">
      <c r="B32" s="67"/>
      <c r="C32" s="67"/>
      <c r="D32" s="67"/>
      <c r="E32" s="67"/>
      <c r="F32" s="67"/>
      <c r="G32" s="67"/>
      <c r="H32" s="67"/>
      <c r="I32" s="67"/>
      <c r="J32" s="67"/>
      <c r="K32" s="67"/>
      <c r="L32" s="67"/>
      <c r="M32" s="67"/>
    </row>
    <row r="33" spans="2:13" x14ac:dyDescent="0.25">
      <c r="B33" s="66" t="s">
        <v>398</v>
      </c>
      <c r="C33" s="67"/>
      <c r="D33" s="67"/>
      <c r="E33" s="67"/>
      <c r="F33" s="67"/>
      <c r="G33" s="67"/>
      <c r="H33" s="67"/>
      <c r="I33" s="67"/>
      <c r="J33" s="67"/>
      <c r="K33" s="67"/>
      <c r="L33" s="67"/>
      <c r="M33" s="67"/>
    </row>
    <row r="34" spans="2:13" x14ac:dyDescent="0.25">
      <c r="B34" s="67"/>
      <c r="C34" s="67"/>
      <c r="D34" s="67"/>
      <c r="E34" s="67"/>
      <c r="F34" s="67"/>
      <c r="G34" s="67"/>
      <c r="H34" s="67"/>
      <c r="I34" s="67"/>
      <c r="J34" s="67"/>
      <c r="K34" s="67"/>
      <c r="L34" s="67"/>
      <c r="M34" s="67"/>
    </row>
    <row r="35" spans="2:13" x14ac:dyDescent="0.25">
      <c r="B35" s="67"/>
      <c r="C35" s="67"/>
      <c r="D35" s="67"/>
      <c r="E35" s="67"/>
      <c r="F35" s="67"/>
      <c r="G35" s="67"/>
      <c r="H35" s="67"/>
      <c r="I35" s="67"/>
      <c r="J35" s="67"/>
      <c r="K35" s="67"/>
      <c r="L35" s="67"/>
      <c r="M35" s="67"/>
    </row>
    <row r="36" spans="2:13" x14ac:dyDescent="0.25">
      <c r="B36" s="67"/>
      <c r="C36" s="67"/>
      <c r="D36" s="67"/>
      <c r="E36" s="67"/>
      <c r="F36" s="67"/>
      <c r="G36" s="67"/>
      <c r="H36" s="67"/>
      <c r="I36" s="67"/>
      <c r="J36" s="67"/>
      <c r="K36" s="67"/>
      <c r="L36" s="67"/>
      <c r="M36" s="67"/>
    </row>
    <row r="37" spans="2:13" x14ac:dyDescent="0.25">
      <c r="B37" s="67"/>
      <c r="C37" s="67"/>
      <c r="D37" s="67"/>
      <c r="E37" s="67"/>
      <c r="F37" s="67"/>
      <c r="G37" s="67"/>
      <c r="H37" s="67"/>
      <c r="I37" s="67"/>
      <c r="J37" s="67"/>
      <c r="K37" s="67"/>
      <c r="L37" s="67"/>
      <c r="M37" s="67"/>
    </row>
  </sheetData>
  <mergeCells count="19">
    <mergeCell ref="C6:D6"/>
    <mergeCell ref="E6:J6"/>
    <mergeCell ref="K6:P6"/>
    <mergeCell ref="Q6:V6"/>
    <mergeCell ref="C7:D7"/>
    <mergeCell ref="E7:J7"/>
    <mergeCell ref="K7:P7"/>
    <mergeCell ref="Q7:V7"/>
    <mergeCell ref="O8:P8"/>
    <mergeCell ref="Q8:R8"/>
    <mergeCell ref="S8:T8"/>
    <mergeCell ref="U8:V8"/>
    <mergeCell ref="B7:B8"/>
    <mergeCell ref="C8:D8"/>
    <mergeCell ref="E8:F8"/>
    <mergeCell ref="G8:H8"/>
    <mergeCell ref="I8:J8"/>
    <mergeCell ref="K8:L8"/>
    <mergeCell ref="M8:N8"/>
  </mergeCells>
  <hyperlinks>
    <hyperlink ref="B1" location="Start!A1" display="Back to home page" xr:uid="{77F28E82-7AB5-450B-80FE-127318493AEF}"/>
  </hyperlinks>
  <pageMargins left="0.7" right="0.7" top="0.75" bottom="0.75" header="0.3" footer="0.3"/>
  <pageSetup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CC5F-04B6-439E-AA8F-D51AE4121A40}">
  <sheetPr>
    <tabColor rgb="FF92D050"/>
  </sheetPr>
  <dimension ref="A1:Q3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7" sqref="B7:B8"/>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227</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342"/>
      <c r="C10" s="97"/>
      <c r="D10" s="98"/>
      <c r="E10" s="98"/>
      <c r="F10" s="98"/>
      <c r="G10" s="98"/>
      <c r="H10" s="98"/>
      <c r="I10" s="98"/>
      <c r="J10" s="98"/>
      <c r="K10" s="98"/>
      <c r="L10" s="98"/>
    </row>
    <row r="11" spans="1:17" x14ac:dyDescent="0.25">
      <c r="B11" s="192" t="s">
        <v>16</v>
      </c>
      <c r="C11" s="296">
        <v>4800406.09</v>
      </c>
      <c r="D11" s="341">
        <v>384032.48719999997</v>
      </c>
      <c r="E11" s="341">
        <v>96008.121799999994</v>
      </c>
      <c r="F11" s="341">
        <v>72006.091349999988</v>
      </c>
      <c r="G11" s="56">
        <f>IFERROR(D11*1000/C11,"-")</f>
        <v>80</v>
      </c>
      <c r="H11" s="56">
        <f>IFERROR(E11*1000/C11,"-")</f>
        <v>20</v>
      </c>
      <c r="I11" s="56">
        <f>IFERROR(F11*1000/C11,"-")</f>
        <v>15</v>
      </c>
      <c r="J11" s="57">
        <f t="shared" ref="J11:J22" si="0">D11/$D$24</f>
        <v>0.61736150369581799</v>
      </c>
      <c r="K11" s="57">
        <f t="shared" ref="K11:K22" si="1">E11/$E$24</f>
        <v>0.51843539065607247</v>
      </c>
      <c r="L11" s="57">
        <f t="shared" ref="L11:L22" si="2">F11/$F$24</f>
        <v>0.46947967150949899</v>
      </c>
    </row>
    <row r="12" spans="1:17" x14ac:dyDescent="0.25">
      <c r="B12" s="103" t="s">
        <v>51</v>
      </c>
      <c r="C12" s="177">
        <v>2511436.27</v>
      </c>
      <c r="D12" s="198">
        <v>106518.18438190046</v>
      </c>
      <c r="E12" s="198">
        <v>28159.844072942738</v>
      </c>
      <c r="F12" s="198">
        <v>22963.055220715105</v>
      </c>
      <c r="G12" s="74">
        <f t="shared" ref="G12:G22" si="3">IFERROR(D12*1000/C12,"-")</f>
        <v>42.413253983108419</v>
      </c>
      <c r="H12" s="74">
        <f t="shared" ref="H12:H22" si="4">IFERROR(E12*1000/C12,"-")</f>
        <v>11.212645293580449</v>
      </c>
      <c r="I12" s="74">
        <f t="shared" ref="I12:I22" si="5">IFERROR(F12*1000/C12,"-")</f>
        <v>9.1433955521854049</v>
      </c>
      <c r="J12" s="75">
        <f t="shared" si="0"/>
        <v>0.17123610286311858</v>
      </c>
      <c r="K12" s="75">
        <f t="shared" si="1"/>
        <v>0.15206067454566283</v>
      </c>
      <c r="L12" s="75">
        <f t="shared" si="2"/>
        <v>0.14971910597777247</v>
      </c>
    </row>
    <row r="13" spans="1:17" x14ac:dyDescent="0.25">
      <c r="B13" s="192" t="s">
        <v>86</v>
      </c>
      <c r="C13" s="296">
        <v>62671.39</v>
      </c>
      <c r="D13" s="196">
        <v>3715.0981495169685</v>
      </c>
      <c r="E13" s="196">
        <v>885.53750807186384</v>
      </c>
      <c r="F13" s="196">
        <v>3395.1515080718636</v>
      </c>
      <c r="G13" s="56">
        <f t="shared" si="3"/>
        <v>59.27901311135701</v>
      </c>
      <c r="H13" s="56">
        <f t="shared" si="4"/>
        <v>14.129852681931322</v>
      </c>
      <c r="I13" s="56">
        <f t="shared" si="5"/>
        <v>54.173866385792046</v>
      </c>
      <c r="J13" s="57">
        <f t="shared" si="0"/>
        <v>5.9723035326667197E-3</v>
      </c>
      <c r="K13" s="57">
        <f t="shared" si="1"/>
        <v>4.7818244470421633E-3</v>
      </c>
      <c r="L13" s="57">
        <f t="shared" si="2"/>
        <v>2.2136385753627759E-2</v>
      </c>
    </row>
    <row r="14" spans="1:17" x14ac:dyDescent="0.25">
      <c r="B14" s="103" t="s">
        <v>224</v>
      </c>
      <c r="C14" s="177">
        <v>3628134.38</v>
      </c>
      <c r="D14" s="198">
        <v>7754.3976000968605</v>
      </c>
      <c r="E14" s="198">
        <v>13.146542500000001</v>
      </c>
      <c r="F14" s="198">
        <v>764.44479250000006</v>
      </c>
      <c r="G14" s="74">
        <f t="shared" si="3"/>
        <v>2.1372961384348894</v>
      </c>
      <c r="H14" s="74">
        <f t="shared" si="4"/>
        <v>3.6234993313560789E-3</v>
      </c>
      <c r="I14" s="74">
        <f t="shared" si="5"/>
        <v>0.21069913967740084</v>
      </c>
      <c r="J14" s="75">
        <f t="shared" si="0"/>
        <v>1.2465785375490599E-2</v>
      </c>
      <c r="K14" s="75">
        <f t="shared" si="1"/>
        <v>7.0990170091674059E-5</v>
      </c>
      <c r="L14" s="75">
        <f t="shared" si="2"/>
        <v>4.9841795789967872E-3</v>
      </c>
    </row>
    <row r="15" spans="1:17" x14ac:dyDescent="0.25">
      <c r="B15" s="192" t="s">
        <v>55</v>
      </c>
      <c r="C15" s="296">
        <v>437506.16</v>
      </c>
      <c r="D15" s="196">
        <v>72682.885992775133</v>
      </c>
      <c r="E15" s="196">
        <v>22822.716061767489</v>
      </c>
      <c r="F15" s="196">
        <v>22357.01453338156</v>
      </c>
      <c r="G15" s="56">
        <f t="shared" si="3"/>
        <v>166.12997173062689</v>
      </c>
      <c r="H15" s="56">
        <f t="shared" si="4"/>
        <v>52.165473651313825</v>
      </c>
      <c r="I15" s="56">
        <f t="shared" si="5"/>
        <v>51.101028002397861</v>
      </c>
      <c r="J15" s="57">
        <f t="shared" si="0"/>
        <v>0.11684328093337247</v>
      </c>
      <c r="K15" s="57">
        <f t="shared" si="1"/>
        <v>0.12324065397262098</v>
      </c>
      <c r="L15" s="57">
        <f t="shared" si="2"/>
        <v>0.14576772106746316</v>
      </c>
    </row>
    <row r="16" spans="1:17" x14ac:dyDescent="0.25">
      <c r="B16" s="103" t="s">
        <v>57</v>
      </c>
      <c r="C16" s="177">
        <v>113351.88</v>
      </c>
      <c r="D16" s="198">
        <v>1184.6808436473366</v>
      </c>
      <c r="E16" s="198">
        <v>434.13101467832166</v>
      </c>
      <c r="F16" s="198">
        <v>963.94103564735269</v>
      </c>
      <c r="G16" s="74">
        <f t="shared" si="3"/>
        <v>10.451355933817212</v>
      </c>
      <c r="H16" s="74">
        <f t="shared" si="4"/>
        <v>3.8299410179903646</v>
      </c>
      <c r="I16" s="74">
        <f t="shared" si="5"/>
        <v>8.503970429492238</v>
      </c>
      <c r="J16" s="75">
        <f t="shared" si="0"/>
        <v>1.904464782045528E-3</v>
      </c>
      <c r="K16" s="75">
        <f t="shared" si="1"/>
        <v>2.3442691927619067E-3</v>
      </c>
      <c r="L16" s="75">
        <f t="shared" si="2"/>
        <v>6.2848949621571908E-3</v>
      </c>
    </row>
    <row r="17" spans="1:17" x14ac:dyDescent="0.25">
      <c r="B17" s="192" t="s">
        <v>88</v>
      </c>
      <c r="C17" s="296">
        <v>27133.11</v>
      </c>
      <c r="D17" s="196">
        <v>458.92100000000005</v>
      </c>
      <c r="E17" s="196">
        <v>221.24600000000001</v>
      </c>
      <c r="F17" s="196">
        <v>607.33100000000002</v>
      </c>
      <c r="G17" s="56">
        <f t="shared" si="3"/>
        <v>16.913689584422873</v>
      </c>
      <c r="H17" s="56">
        <f t="shared" si="4"/>
        <v>8.1540966000580095</v>
      </c>
      <c r="I17" s="56">
        <f t="shared" si="5"/>
        <v>22.383390624959688</v>
      </c>
      <c r="J17" s="57">
        <f t="shared" si="0"/>
        <v>7.3775049788961855E-4</v>
      </c>
      <c r="K17" s="57">
        <f t="shared" si="1"/>
        <v>1.1947088880671492E-3</v>
      </c>
      <c r="L17" s="57">
        <f t="shared" si="2"/>
        <v>3.9597977481044813E-3</v>
      </c>
    </row>
    <row r="18" spans="1:17" x14ac:dyDescent="0.25">
      <c r="B18" s="103" t="s">
        <v>8</v>
      </c>
      <c r="C18" s="177">
        <v>299396.32999999996</v>
      </c>
      <c r="D18" s="198">
        <v>2500</v>
      </c>
      <c r="E18" s="198">
        <v>1000</v>
      </c>
      <c r="F18" s="198">
        <v>703</v>
      </c>
      <c r="G18" s="74">
        <f t="shared" si="3"/>
        <v>8.3501357548370763</v>
      </c>
      <c r="H18" s="74">
        <f t="shared" si="4"/>
        <v>3.3400543019348303</v>
      </c>
      <c r="I18" s="74">
        <f t="shared" si="5"/>
        <v>2.3480581742601858</v>
      </c>
      <c r="J18" s="75">
        <f t="shared" si="0"/>
        <v>4.018940612271058E-3</v>
      </c>
      <c r="K18" s="75">
        <f t="shared" si="1"/>
        <v>5.3999118088785747E-3</v>
      </c>
      <c r="L18" s="75">
        <f t="shared" si="2"/>
        <v>4.5835595695221396E-3</v>
      </c>
    </row>
    <row r="19" spans="1:17" x14ac:dyDescent="0.25">
      <c r="B19" s="192" t="s">
        <v>20</v>
      </c>
      <c r="C19" s="296">
        <f>303155.24+C20+C21</f>
        <v>817235.01</v>
      </c>
      <c r="D19" s="196">
        <f>7895.3241402592+D20+D21</f>
        <v>30857.103265626924</v>
      </c>
      <c r="E19" s="196">
        <f>618.00833679421+D20+D21+D14</f>
        <v>31334.185062258795</v>
      </c>
      <c r="F19" s="196">
        <f>1000.20041540184+D20+D21</f>
        <v>23961.979540769564</v>
      </c>
      <c r="G19" s="56">
        <f t="shared" si="3"/>
        <v>37.757931180196159</v>
      </c>
      <c r="H19" s="56">
        <f t="shared" si="4"/>
        <v>38.34170670473209</v>
      </c>
      <c r="I19" s="56">
        <f t="shared" si="5"/>
        <v>29.320794199418305</v>
      </c>
      <c r="J19" s="57">
        <f t="shared" si="0"/>
        <v>4.9605146196507972E-2</v>
      </c>
      <c r="K19" s="57">
        <f t="shared" si="1"/>
        <v>0.1692018359392779</v>
      </c>
      <c r="L19" s="57">
        <f t="shared" si="2"/>
        <v>0.15623209193284218</v>
      </c>
    </row>
    <row r="20" spans="1:17" x14ac:dyDescent="0.25">
      <c r="B20" s="103" t="s">
        <v>225</v>
      </c>
      <c r="C20" s="177">
        <v>447889.39</v>
      </c>
      <c r="D20" s="198">
        <v>16360.722291462836</v>
      </c>
      <c r="E20" s="198">
        <v>2263.7659362499999</v>
      </c>
      <c r="F20" s="198">
        <v>12578.637168749998</v>
      </c>
      <c r="G20" s="74">
        <f t="shared" si="3"/>
        <v>36.528488186475762</v>
      </c>
      <c r="H20" s="74">
        <f t="shared" si="4"/>
        <v>5.0542968571994971</v>
      </c>
      <c r="I20" s="74">
        <f t="shared" si="5"/>
        <v>28.084249034677953</v>
      </c>
      <c r="J20" s="75">
        <f t="shared" si="0"/>
        <v>2.6301108505299358E-2</v>
      </c>
      <c r="K20" s="75">
        <f t="shared" si="1"/>
        <v>1.2224136411693436E-2</v>
      </c>
      <c r="L20" s="75">
        <f t="shared" si="2"/>
        <v>8.2012706637796473E-2</v>
      </c>
    </row>
    <row r="21" spans="1:17" x14ac:dyDescent="0.25">
      <c r="B21" s="343" t="s">
        <v>226</v>
      </c>
      <c r="C21" s="296">
        <v>66190.38</v>
      </c>
      <c r="D21" s="196">
        <v>6601.0568339048859</v>
      </c>
      <c r="E21" s="196">
        <v>1014.9736770580481</v>
      </c>
      <c r="F21" s="196">
        <v>5520.9253335695457</v>
      </c>
      <c r="G21" s="56">
        <f t="shared" si="3"/>
        <v>99.728341700181886</v>
      </c>
      <c r="H21" s="56">
        <f t="shared" si="4"/>
        <v>15.334156973536759</v>
      </c>
      <c r="I21" s="56">
        <f t="shared" si="5"/>
        <v>83.409784527140417</v>
      </c>
      <c r="J21" s="57">
        <f t="shared" si="0"/>
        <v>1.0611702157475901E-2</v>
      </c>
      <c r="K21" s="57">
        <f t="shared" si="1"/>
        <v>5.4807683444466626E-3</v>
      </c>
      <c r="L21" s="57">
        <f t="shared" si="2"/>
        <v>3.5996429794167714E-2</v>
      </c>
    </row>
    <row r="22" spans="1:17" x14ac:dyDescent="0.25">
      <c r="B22" s="103" t="s">
        <v>9</v>
      </c>
      <c r="C22" s="177">
        <v>250137.67000000004</v>
      </c>
      <c r="D22" s="198">
        <v>12350.718402131284</v>
      </c>
      <c r="E22" s="198">
        <v>4309.2815592403085</v>
      </c>
      <c r="F22" s="198">
        <v>5652.2385523204466</v>
      </c>
      <c r="G22" s="74">
        <f t="shared" si="3"/>
        <v>49.375683407186457</v>
      </c>
      <c r="H22" s="74">
        <f t="shared" si="4"/>
        <v>17.227639320540195</v>
      </c>
      <c r="I22" s="74">
        <f t="shared" si="5"/>
        <v>22.596510762734962</v>
      </c>
      <c r="J22" s="75">
        <f t="shared" si="0"/>
        <v>1.9854721510819569E-2</v>
      </c>
      <c r="K22" s="75">
        <f t="shared" si="1"/>
        <v>2.3269740379524416E-2</v>
      </c>
      <c r="L22" s="75">
        <f t="shared" si="2"/>
        <v>3.685259190001472E-2</v>
      </c>
    </row>
    <row r="23" spans="1:17" s="7" customFormat="1" ht="6" customHeight="1" thickBot="1" x14ac:dyDescent="0.3">
      <c r="B23" s="89"/>
      <c r="C23" s="99"/>
      <c r="D23" s="99"/>
      <c r="E23" s="93"/>
      <c r="F23" s="92"/>
      <c r="G23" s="100"/>
      <c r="H23" s="84"/>
      <c r="I23" s="101"/>
      <c r="J23" s="85"/>
      <c r="K23" s="85"/>
      <c r="L23" s="85"/>
    </row>
    <row r="24" spans="1:17" s="12" customFormat="1" ht="24.95" customHeight="1" thickTop="1" thickBot="1" x14ac:dyDescent="0.3">
      <c r="A24" s="13"/>
      <c r="B24" s="90" t="s">
        <v>13</v>
      </c>
      <c r="C24" s="63">
        <f>SUM(C11:C19,C22)</f>
        <v>12947408.289999999</v>
      </c>
      <c r="D24" s="63">
        <f>SUM(D11:D19,D22)</f>
        <v>622054.47683569486</v>
      </c>
      <c r="E24" s="62">
        <f>SUM(E11:E19,E22)</f>
        <v>185188.20962145951</v>
      </c>
      <c r="F24" s="102">
        <f>SUM(F11:F19,F22)</f>
        <v>153374.2475334059</v>
      </c>
      <c r="G24" s="94"/>
      <c r="H24" s="94"/>
      <c r="I24" s="94"/>
      <c r="J24" s="95">
        <f>SUM(J11:J19,J22)</f>
        <v>1.0000000000000002</v>
      </c>
      <c r="K24" s="64">
        <f>SUM(K11:K19,K22)</f>
        <v>1</v>
      </c>
      <c r="L24" s="65">
        <f>SUM(L11:L19,L22)</f>
        <v>1</v>
      </c>
      <c r="M24" s="13"/>
      <c r="N24" s="13"/>
      <c r="O24" s="13"/>
      <c r="P24" s="13"/>
      <c r="Q24" s="13"/>
    </row>
    <row r="25" spans="1:17" ht="15.75" thickTop="1" x14ac:dyDescent="0.25">
      <c r="B25" s="15"/>
    </row>
    <row r="26" spans="1:17" x14ac:dyDescent="0.25">
      <c r="B26" s="15"/>
    </row>
    <row r="27" spans="1:17" x14ac:dyDescent="0.25">
      <c r="B27" s="66" t="s">
        <v>396</v>
      </c>
      <c r="C27" s="67"/>
      <c r="D27" s="67"/>
      <c r="E27" s="67"/>
      <c r="F27" s="67"/>
    </row>
    <row r="28" spans="1:17" x14ac:dyDescent="0.25">
      <c r="A28" s="21"/>
      <c r="B28" s="67" t="s">
        <v>228</v>
      </c>
      <c r="C28" s="68"/>
      <c r="D28" s="68"/>
      <c r="E28" s="68"/>
      <c r="F28" s="68"/>
      <c r="G28" s="87"/>
      <c r="H28" s="88"/>
      <c r="I28"/>
      <c r="J28"/>
      <c r="K28"/>
      <c r="L28"/>
      <c r="M28"/>
      <c r="N28"/>
      <c r="O28"/>
      <c r="P28"/>
      <c r="Q28"/>
    </row>
    <row r="29" spans="1:17" ht="14.45" customHeight="1" x14ac:dyDescent="0.25">
      <c r="A29" s="21"/>
      <c r="B29" s="67"/>
      <c r="C29" s="68"/>
      <c r="D29" s="68"/>
      <c r="E29" s="68"/>
      <c r="F29" s="68"/>
      <c r="G29" s="87"/>
      <c r="H29" s="88"/>
      <c r="I29"/>
      <c r="J29"/>
      <c r="K29"/>
      <c r="L29"/>
      <c r="M29"/>
      <c r="N29"/>
      <c r="O29"/>
      <c r="P29"/>
      <c r="Q29"/>
    </row>
    <row r="30" spans="1:17" x14ac:dyDescent="0.25">
      <c r="A30"/>
      <c r="B30" s="79" t="s">
        <v>397</v>
      </c>
      <c r="C30" s="68"/>
      <c r="D30" s="68"/>
      <c r="E30" s="68"/>
      <c r="F30" s="68"/>
      <c r="G30" s="88"/>
      <c r="H30" s="88"/>
      <c r="I30"/>
      <c r="J30"/>
      <c r="K30"/>
      <c r="L30"/>
      <c r="M30"/>
      <c r="N30"/>
      <c r="O30"/>
      <c r="P30"/>
      <c r="Q30"/>
    </row>
    <row r="31" spans="1:17" x14ac:dyDescent="0.25">
      <c r="A31" s="21"/>
      <c r="B31" s="69" t="s">
        <v>189</v>
      </c>
      <c r="C31" s="68"/>
      <c r="D31" s="68"/>
      <c r="E31" s="68"/>
      <c r="F31" s="68"/>
      <c r="G31" s="88"/>
      <c r="H31" s="88"/>
      <c r="I31"/>
      <c r="J31"/>
      <c r="K31"/>
      <c r="L31"/>
      <c r="M31"/>
      <c r="N31"/>
      <c r="O31"/>
      <c r="P31"/>
      <c r="Q31"/>
    </row>
    <row r="32" spans="1:17" x14ac:dyDescent="0.25">
      <c r="B32" s="67" t="s">
        <v>382</v>
      </c>
      <c r="C32" s="67"/>
      <c r="D32" s="67"/>
      <c r="E32" s="67"/>
      <c r="F32" s="67"/>
      <c r="G32" s="87"/>
      <c r="H32" s="87"/>
    </row>
    <row r="33" spans="2:8" x14ac:dyDescent="0.25">
      <c r="B33" s="87"/>
      <c r="C33" s="87"/>
      <c r="D33" s="87"/>
      <c r="E33" s="87"/>
      <c r="F33" s="87"/>
      <c r="G33" s="87"/>
      <c r="H33" s="87"/>
    </row>
    <row r="34" spans="2:8" x14ac:dyDescent="0.25">
      <c r="B34" s="66" t="s">
        <v>398</v>
      </c>
    </row>
  </sheetData>
  <mergeCells count="8">
    <mergeCell ref="C6:C7"/>
    <mergeCell ref="D6:F6"/>
    <mergeCell ref="G6:I6"/>
    <mergeCell ref="J6:L6"/>
    <mergeCell ref="B7:B8"/>
    <mergeCell ref="D7:F7"/>
    <mergeCell ref="G7:I7"/>
    <mergeCell ref="J7:L7"/>
  </mergeCells>
  <hyperlinks>
    <hyperlink ref="B1" location="Start!A1" display="Back to home page" xr:uid="{A041BBD0-D9B1-45EE-9248-78C334B95E21}"/>
  </hyperlinks>
  <pageMargins left="0.7" right="0.7" top="0.75" bottom="0.75" header="0.3" footer="0.3"/>
  <pageSetup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9151C-95E0-49EF-83EF-7CF93EC2E715}">
  <sheetPr>
    <tabColor rgb="FF92D050"/>
  </sheetPr>
  <dimension ref="A1:Q44"/>
  <sheetViews>
    <sheetView showGridLines="0" zoomScale="80" zoomScaleNormal="80" workbookViewId="0">
      <pane xSplit="2" ySplit="9" topLeftCell="C24" activePane="bottomRight" state="frozen"/>
      <selection pane="topRight" activeCell="C1" sqref="C1"/>
      <selection pane="bottomLeft" activeCell="A10" sqref="A10"/>
      <selection pane="bottomRight" activeCell="K41" sqref="K4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110</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39" t="s">
        <v>388</v>
      </c>
      <c r="E8" s="539" t="s">
        <v>394</v>
      </c>
      <c r="F8" s="539" t="s">
        <v>395</v>
      </c>
      <c r="G8" s="538" t="s">
        <v>388</v>
      </c>
      <c r="H8" s="538" t="s">
        <v>394</v>
      </c>
      <c r="I8" s="538" t="s">
        <v>404</v>
      </c>
      <c r="J8" s="539" t="s">
        <v>388</v>
      </c>
      <c r="K8" s="539" t="s">
        <v>394</v>
      </c>
      <c r="L8" s="539"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2417230</v>
      </c>
      <c r="D11" s="53">
        <v>219967.93</v>
      </c>
      <c r="E11" s="53">
        <v>70099.67</v>
      </c>
      <c r="F11" s="53">
        <v>99106.430000000008</v>
      </c>
      <c r="G11" s="56">
        <f>IFERROR(D11*1000/C11,"-")</f>
        <v>91</v>
      </c>
      <c r="H11" s="56">
        <f>IFERROR(E11*1000/C11,"-")</f>
        <v>29</v>
      </c>
      <c r="I11" s="56">
        <f>IFERROR(F11*1000/C11,"-")</f>
        <v>41.000000000000007</v>
      </c>
      <c r="J11" s="57">
        <f t="shared" ref="J11:J29" si="0">D11/$D$33</f>
        <v>0.18664809167087304</v>
      </c>
      <c r="K11" s="57">
        <f t="shared" ref="K11:K31" si="1">E11/$E$33</f>
        <v>0.20696228908799591</v>
      </c>
      <c r="L11" s="57">
        <f t="shared" ref="L11:L31" si="2">F11/$F$33</f>
        <v>0.17715330409176328</v>
      </c>
    </row>
    <row r="12" spans="1:17" x14ac:dyDescent="0.25">
      <c r="B12" s="103" t="s">
        <v>27</v>
      </c>
      <c r="C12" s="71">
        <v>975739</v>
      </c>
      <c r="D12" s="71">
        <v>60495.817999999999</v>
      </c>
      <c r="E12" s="71">
        <v>19514.78</v>
      </c>
      <c r="F12" s="71">
        <v>34150.865000000005</v>
      </c>
      <c r="G12" s="74">
        <f t="shared" ref="G12:G31" si="3">IFERROR(D12*1000/C12,"-")</f>
        <v>62</v>
      </c>
      <c r="H12" s="74">
        <f t="shared" ref="H12:H31" si="4">IFERROR(E12*1000/C12,"-")</f>
        <v>20</v>
      </c>
      <c r="I12" s="74">
        <f t="shared" ref="I12:I31" si="5">IFERROR(F12*1000/C12,"-")</f>
        <v>35.000000000000007</v>
      </c>
      <c r="J12" s="75">
        <f t="shared" si="0"/>
        <v>5.1332160027911578E-2</v>
      </c>
      <c r="K12" s="75">
        <f t="shared" si="1"/>
        <v>5.7615442980667959E-2</v>
      </c>
      <c r="L12" s="75">
        <f t="shared" si="2"/>
        <v>6.1044864317499441E-2</v>
      </c>
    </row>
    <row r="13" spans="1:17" x14ac:dyDescent="0.25">
      <c r="B13" s="89" t="s">
        <v>28</v>
      </c>
      <c r="C13" s="53">
        <v>2679154</v>
      </c>
      <c r="D13" s="53">
        <v>123241.084</v>
      </c>
      <c r="E13" s="53">
        <v>40187.31</v>
      </c>
      <c r="F13" s="53">
        <v>61620.542000000001</v>
      </c>
      <c r="G13" s="56">
        <f t="shared" si="3"/>
        <v>46</v>
      </c>
      <c r="H13" s="56">
        <f t="shared" si="4"/>
        <v>15</v>
      </c>
      <c r="I13" s="56">
        <f t="shared" si="5"/>
        <v>23</v>
      </c>
      <c r="J13" s="57">
        <f t="shared" si="0"/>
        <v>0.10457303091432359</v>
      </c>
      <c r="K13" s="57">
        <f t="shared" si="1"/>
        <v>0.11864902744747455</v>
      </c>
      <c r="L13" s="57">
        <f t="shared" si="2"/>
        <v>0.11014706730153907</v>
      </c>
    </row>
    <row r="14" spans="1:17" x14ac:dyDescent="0.25">
      <c r="B14" s="103" t="s">
        <v>29</v>
      </c>
      <c r="C14" s="71">
        <v>645400</v>
      </c>
      <c r="D14" s="71">
        <v>95519.2</v>
      </c>
      <c r="E14" s="71">
        <v>27106.799999999999</v>
      </c>
      <c r="F14" s="71">
        <v>56795.200000000004</v>
      </c>
      <c r="G14" s="74">
        <f t="shared" si="3"/>
        <v>148</v>
      </c>
      <c r="H14" s="74">
        <f t="shared" si="4"/>
        <v>42</v>
      </c>
      <c r="I14" s="74">
        <f t="shared" si="5"/>
        <v>88.000000000000014</v>
      </c>
      <c r="J14" s="75">
        <f t="shared" si="0"/>
        <v>8.1050344011185896E-2</v>
      </c>
      <c r="K14" s="75">
        <f t="shared" si="1"/>
        <v>8.0030125360796803E-2</v>
      </c>
      <c r="L14" s="75">
        <f t="shared" si="2"/>
        <v>0.10152174118826109</v>
      </c>
    </row>
    <row r="15" spans="1:17" x14ac:dyDescent="0.25">
      <c r="B15" s="89" t="s">
        <v>30</v>
      </c>
      <c r="C15" s="53">
        <v>1088782</v>
      </c>
      <c r="D15" s="53">
        <v>50083.972000000002</v>
      </c>
      <c r="E15" s="53">
        <v>11976.601999999999</v>
      </c>
      <c r="F15" s="53">
        <v>27219.550000000003</v>
      </c>
      <c r="G15" s="56">
        <f t="shared" si="3"/>
        <v>46</v>
      </c>
      <c r="H15" s="56">
        <f t="shared" si="4"/>
        <v>10.999999999999998</v>
      </c>
      <c r="I15" s="56">
        <f t="shared" si="5"/>
        <v>25.000000000000004</v>
      </c>
      <c r="J15" s="57">
        <f t="shared" si="0"/>
        <v>4.2497457684388083E-2</v>
      </c>
      <c r="K15" s="57">
        <f t="shared" si="1"/>
        <v>3.5359723739296772E-2</v>
      </c>
      <c r="L15" s="57">
        <f t="shared" si="2"/>
        <v>4.8655099557021228E-2</v>
      </c>
    </row>
    <row r="16" spans="1:17" x14ac:dyDescent="0.25">
      <c r="B16" s="103" t="s">
        <v>31</v>
      </c>
      <c r="C16" s="71">
        <v>845109</v>
      </c>
      <c r="D16" s="71">
        <v>122540.80500000001</v>
      </c>
      <c r="E16" s="71">
        <v>36339.686999999998</v>
      </c>
      <c r="F16" s="71">
        <v>48171.213000000003</v>
      </c>
      <c r="G16" s="74">
        <f t="shared" si="3"/>
        <v>145.00000000000003</v>
      </c>
      <c r="H16" s="74">
        <f t="shared" si="4"/>
        <v>43</v>
      </c>
      <c r="I16" s="74">
        <f t="shared" si="5"/>
        <v>57</v>
      </c>
      <c r="J16" s="75">
        <f t="shared" si="0"/>
        <v>0.10397882730024591</v>
      </c>
      <c r="K16" s="75">
        <f t="shared" si="1"/>
        <v>0.1072893040189959</v>
      </c>
      <c r="L16" s="75">
        <f t="shared" si="2"/>
        <v>8.6106315655382806E-2</v>
      </c>
    </row>
    <row r="17" spans="2:12" x14ac:dyDescent="0.25">
      <c r="B17" s="89" t="s">
        <v>32</v>
      </c>
      <c r="C17" s="53">
        <v>45000</v>
      </c>
      <c r="D17" s="53">
        <v>1350</v>
      </c>
      <c r="E17" s="53">
        <v>900</v>
      </c>
      <c r="F17" s="53">
        <v>1575</v>
      </c>
      <c r="G17" s="56">
        <f t="shared" si="3"/>
        <v>30</v>
      </c>
      <c r="H17" s="56">
        <f t="shared" si="4"/>
        <v>20</v>
      </c>
      <c r="I17" s="56">
        <f t="shared" si="5"/>
        <v>35</v>
      </c>
      <c r="J17" s="57">
        <f t="shared" si="0"/>
        <v>1.1455075462849455E-3</v>
      </c>
      <c r="K17" s="57">
        <f t="shared" si="1"/>
        <v>2.6571603001725444E-3</v>
      </c>
      <c r="L17" s="57">
        <f t="shared" si="2"/>
        <v>2.8153214069412767E-3</v>
      </c>
    </row>
    <row r="18" spans="2:12" x14ac:dyDescent="0.25">
      <c r="B18" s="103" t="s">
        <v>33</v>
      </c>
      <c r="C18" s="71">
        <v>250780</v>
      </c>
      <c r="D18" s="71">
        <v>4263.26</v>
      </c>
      <c r="E18" s="71">
        <v>6269.5</v>
      </c>
      <c r="F18" s="71">
        <v>10783.54</v>
      </c>
      <c r="G18" s="74">
        <f t="shared" si="3"/>
        <v>17</v>
      </c>
      <c r="H18" s="74">
        <f t="shared" si="4"/>
        <v>25</v>
      </c>
      <c r="I18" s="74">
        <f t="shared" si="5"/>
        <v>43</v>
      </c>
      <c r="J18" s="75">
        <f t="shared" si="0"/>
        <v>3.6174788902035232E-3</v>
      </c>
      <c r="K18" s="75">
        <f t="shared" si="1"/>
        <v>1.8510073891035296E-2</v>
      </c>
      <c r="L18" s="75">
        <f t="shared" si="2"/>
        <v>1.927563873308415E-2</v>
      </c>
    </row>
    <row r="19" spans="2:12" x14ac:dyDescent="0.25">
      <c r="B19" s="89" t="s">
        <v>26</v>
      </c>
      <c r="C19" s="53">
        <v>290973</v>
      </c>
      <c r="D19" s="53">
        <v>17749.352999999999</v>
      </c>
      <c r="E19" s="53">
        <v>5819.46</v>
      </c>
      <c r="F19" s="53">
        <v>10766.000999999998</v>
      </c>
      <c r="G19" s="56">
        <f t="shared" si="3"/>
        <v>61</v>
      </c>
      <c r="H19" s="56">
        <f t="shared" si="4"/>
        <v>20</v>
      </c>
      <c r="I19" s="56">
        <f t="shared" si="5"/>
        <v>36.999999999999993</v>
      </c>
      <c r="J19" s="57">
        <f t="shared" si="0"/>
        <v>1.5060753928278025E-2</v>
      </c>
      <c r="K19" s="57">
        <f t="shared" si="1"/>
        <v>1.7181375644935683E-2</v>
      </c>
      <c r="L19" s="57">
        <f t="shared" si="2"/>
        <v>1.9244287671397579E-2</v>
      </c>
    </row>
    <row r="20" spans="2:12" x14ac:dyDescent="0.25">
      <c r="B20" s="103" t="s">
        <v>34</v>
      </c>
      <c r="C20" s="71">
        <v>235848</v>
      </c>
      <c r="D20" s="71">
        <v>40094.160000000003</v>
      </c>
      <c r="E20" s="71">
        <v>11792.400000000001</v>
      </c>
      <c r="F20" s="71">
        <v>16509.36</v>
      </c>
      <c r="G20" s="74">
        <f t="shared" si="3"/>
        <v>170</v>
      </c>
      <c r="H20" s="74">
        <f t="shared" si="4"/>
        <v>50.000000000000007</v>
      </c>
      <c r="I20" s="74">
        <f t="shared" si="5"/>
        <v>70</v>
      </c>
      <c r="J20" s="75">
        <f t="shared" si="0"/>
        <v>3.4020861364411861E-2</v>
      </c>
      <c r="K20" s="75">
        <f t="shared" si="1"/>
        <v>3.4815885693060801E-2</v>
      </c>
      <c r="L20" s="75">
        <f t="shared" si="2"/>
        <v>2.9510574363746055E-2</v>
      </c>
    </row>
    <row r="21" spans="2:12" x14ac:dyDescent="0.25">
      <c r="B21" s="89" t="s">
        <v>9</v>
      </c>
      <c r="C21" s="53">
        <v>158866</v>
      </c>
      <c r="D21" s="53">
        <v>15727.734</v>
      </c>
      <c r="E21" s="53">
        <v>5083.7120000000004</v>
      </c>
      <c r="F21" s="53">
        <v>8102.1660000000002</v>
      </c>
      <c r="G21" s="56">
        <f t="shared" si="3"/>
        <v>99</v>
      </c>
      <c r="H21" s="56">
        <f t="shared" si="4"/>
        <v>32</v>
      </c>
      <c r="I21" s="56">
        <f t="shared" si="5"/>
        <v>51</v>
      </c>
      <c r="J21" s="57">
        <f t="shared" si="0"/>
        <v>1.3345361468860971E-2</v>
      </c>
      <c r="K21" s="57">
        <f t="shared" si="1"/>
        <v>1.5009153004345297E-2</v>
      </c>
      <c r="L21" s="57">
        <f t="shared" si="2"/>
        <v>1.4482667544375731E-2</v>
      </c>
    </row>
    <row r="22" spans="2:12" x14ac:dyDescent="0.25">
      <c r="B22" s="103" t="s">
        <v>35</v>
      </c>
      <c r="C22" s="71">
        <v>162000</v>
      </c>
      <c r="D22" s="71">
        <v>4860</v>
      </c>
      <c r="E22" s="71">
        <v>6156</v>
      </c>
      <c r="F22" s="71">
        <v>8748</v>
      </c>
      <c r="G22" s="74">
        <f t="shared" si="3"/>
        <v>30</v>
      </c>
      <c r="H22" s="74">
        <f t="shared" si="4"/>
        <v>38</v>
      </c>
      <c r="I22" s="74">
        <f t="shared" si="5"/>
        <v>54</v>
      </c>
      <c r="J22" s="75">
        <f t="shared" si="0"/>
        <v>4.1238271666258035E-3</v>
      </c>
      <c r="K22" s="75">
        <f t="shared" si="1"/>
        <v>1.8174976453180204E-2</v>
      </c>
      <c r="L22" s="75">
        <f t="shared" si="2"/>
        <v>1.563709947169669E-2</v>
      </c>
    </row>
    <row r="23" spans="2:12" x14ac:dyDescent="0.25">
      <c r="B23" s="89" t="s">
        <v>36</v>
      </c>
      <c r="C23" s="53">
        <v>138714</v>
      </c>
      <c r="D23" s="53">
        <v>1248.4259999999999</v>
      </c>
      <c r="E23" s="53">
        <v>5271.1319999999996</v>
      </c>
      <c r="F23" s="53">
        <v>6380.8440000000001</v>
      </c>
      <c r="G23" s="56">
        <f t="shared" si="3"/>
        <v>9</v>
      </c>
      <c r="H23" s="56">
        <f t="shared" si="4"/>
        <v>38</v>
      </c>
      <c r="I23" s="56">
        <f t="shared" si="5"/>
        <v>46</v>
      </c>
      <c r="J23" s="57">
        <f t="shared" si="0"/>
        <v>1.059319558502466E-3</v>
      </c>
      <c r="K23" s="57">
        <f t="shared" si="1"/>
        <v>1.556249187485456E-2</v>
      </c>
      <c r="L23" s="57">
        <f t="shared" si="2"/>
        <v>1.140579473495416E-2</v>
      </c>
    </row>
    <row r="24" spans="2:12" x14ac:dyDescent="0.25">
      <c r="B24" s="103" t="s">
        <v>37</v>
      </c>
      <c r="C24" s="71">
        <v>274013</v>
      </c>
      <c r="D24" s="71">
        <v>27401.3</v>
      </c>
      <c r="E24" s="71">
        <v>9042.4290000000001</v>
      </c>
      <c r="F24" s="71">
        <v>12878.610999999999</v>
      </c>
      <c r="G24" s="74">
        <f t="shared" si="3"/>
        <v>100</v>
      </c>
      <c r="H24" s="74">
        <f t="shared" si="4"/>
        <v>33</v>
      </c>
      <c r="I24" s="74">
        <f t="shared" si="5"/>
        <v>46.999999999999993</v>
      </c>
      <c r="J24" s="75">
        <f t="shared" si="0"/>
        <v>2.325066365038346E-2</v>
      </c>
      <c r="K24" s="75">
        <f t="shared" si="1"/>
        <v>2.669687039547658E-2</v>
      </c>
      <c r="L24" s="75">
        <f t="shared" si="2"/>
        <v>2.3020589993631362E-2</v>
      </c>
    </row>
    <row r="25" spans="2:12" x14ac:dyDescent="0.25">
      <c r="B25" s="89" t="s">
        <v>38</v>
      </c>
      <c r="C25" s="53">
        <v>601583</v>
      </c>
      <c r="D25" s="53">
        <v>76401.041000000012</v>
      </c>
      <c r="E25" s="53">
        <v>30079.149999999998</v>
      </c>
      <c r="F25" s="53">
        <v>42110.81</v>
      </c>
      <c r="G25" s="56">
        <f t="shared" si="3"/>
        <v>127.00000000000003</v>
      </c>
      <c r="H25" s="56">
        <f t="shared" si="4"/>
        <v>49.999999999999993</v>
      </c>
      <c r="I25" s="56">
        <f t="shared" si="5"/>
        <v>70</v>
      </c>
      <c r="J25" s="57">
        <f t="shared" si="0"/>
        <v>6.4828125192241126E-2</v>
      </c>
      <c r="K25" s="57">
        <f t="shared" si="1"/>
        <v>8.8805692492149979E-2</v>
      </c>
      <c r="L25" s="57">
        <f t="shared" si="2"/>
        <v>7.5273311020086844E-2</v>
      </c>
    </row>
    <row r="26" spans="2:12" x14ac:dyDescent="0.25">
      <c r="B26" s="103" t="s">
        <v>39</v>
      </c>
      <c r="C26" s="71">
        <v>22000</v>
      </c>
      <c r="D26" s="71">
        <v>1210</v>
      </c>
      <c r="E26" s="71">
        <v>858</v>
      </c>
      <c r="F26" s="71">
        <v>1166</v>
      </c>
      <c r="G26" s="74">
        <f t="shared" si="3"/>
        <v>55</v>
      </c>
      <c r="H26" s="74">
        <f t="shared" si="4"/>
        <v>39</v>
      </c>
      <c r="I26" s="74">
        <f t="shared" si="5"/>
        <v>53</v>
      </c>
      <c r="J26" s="75">
        <f t="shared" si="0"/>
        <v>1.0267141711146547E-3</v>
      </c>
      <c r="K26" s="75">
        <f t="shared" si="1"/>
        <v>2.5331594861644924E-3</v>
      </c>
      <c r="L26" s="75">
        <f t="shared" si="2"/>
        <v>2.084231593964145E-3</v>
      </c>
    </row>
    <row r="27" spans="2:12" x14ac:dyDescent="0.25">
      <c r="B27" s="89" t="s">
        <v>40</v>
      </c>
      <c r="C27" s="53">
        <v>14000</v>
      </c>
      <c r="D27" s="53">
        <v>910</v>
      </c>
      <c r="E27" s="53">
        <v>532</v>
      </c>
      <c r="F27" s="53">
        <v>910</v>
      </c>
      <c r="G27" s="56">
        <f t="shared" si="3"/>
        <v>65</v>
      </c>
      <c r="H27" s="56">
        <f t="shared" si="4"/>
        <v>38</v>
      </c>
      <c r="I27" s="56">
        <f t="shared" si="5"/>
        <v>65</v>
      </c>
      <c r="J27" s="57">
        <f t="shared" si="0"/>
        <v>7.7215693860688912E-4</v>
      </c>
      <c r="K27" s="57">
        <f t="shared" si="1"/>
        <v>1.5706769774353263E-3</v>
      </c>
      <c r="L27" s="57">
        <f t="shared" si="2"/>
        <v>1.6266301462327375E-3</v>
      </c>
    </row>
    <row r="28" spans="2:12" x14ac:dyDescent="0.25">
      <c r="B28" s="103" t="s">
        <v>41</v>
      </c>
      <c r="C28" s="71">
        <v>12000</v>
      </c>
      <c r="D28" s="71">
        <v>1200</v>
      </c>
      <c r="E28" s="71">
        <v>600</v>
      </c>
      <c r="F28" s="71">
        <v>756</v>
      </c>
      <c r="G28" s="74">
        <f t="shared" si="3"/>
        <v>100</v>
      </c>
      <c r="H28" s="74">
        <f t="shared" si="4"/>
        <v>50</v>
      </c>
      <c r="I28" s="74">
        <f t="shared" si="5"/>
        <v>63</v>
      </c>
      <c r="J28" s="75">
        <f t="shared" si="0"/>
        <v>1.0182289300310625E-3</v>
      </c>
      <c r="K28" s="75">
        <f t="shared" si="1"/>
        <v>1.7714402001150296E-3</v>
      </c>
      <c r="L28" s="75">
        <f t="shared" si="2"/>
        <v>1.3513542753318128E-3</v>
      </c>
    </row>
    <row r="29" spans="2:12" x14ac:dyDescent="0.25">
      <c r="B29" s="89" t="s">
        <v>42</v>
      </c>
      <c r="C29" s="53">
        <v>352567</v>
      </c>
      <c r="D29" s="53">
        <v>31731.03</v>
      </c>
      <c r="E29" s="53">
        <v>6346.2059999999992</v>
      </c>
      <c r="F29" s="53">
        <v>15160.380999999999</v>
      </c>
      <c r="G29" s="56">
        <f t="shared" si="3"/>
        <v>90</v>
      </c>
      <c r="H29" s="56">
        <f t="shared" si="4"/>
        <v>17.999999999999996</v>
      </c>
      <c r="I29" s="56">
        <f t="shared" si="5"/>
        <v>43</v>
      </c>
      <c r="J29" s="57">
        <f t="shared" si="0"/>
        <v>2.6924543938069621E-2</v>
      </c>
      <c r="K29" s="57">
        <f t="shared" si="1"/>
        <v>1.8736540711018667E-2</v>
      </c>
      <c r="L29" s="57">
        <f t="shared" si="2"/>
        <v>2.7099266772498919E-2</v>
      </c>
    </row>
    <row r="30" spans="2:12" x14ac:dyDescent="0.25">
      <c r="B30" s="103" t="s">
        <v>10</v>
      </c>
      <c r="C30" s="71">
        <v>3149874</v>
      </c>
      <c r="D30" s="71">
        <v>282521.78492725897</v>
      </c>
      <c r="E30" s="71">
        <v>44732.615946815997</v>
      </c>
      <c r="F30" s="71">
        <v>96528.276516813508</v>
      </c>
      <c r="G30" s="74">
        <f t="shared" si="3"/>
        <v>89.693043254193327</v>
      </c>
      <c r="H30" s="74">
        <f t="shared" si="4"/>
        <v>14.201398515247275</v>
      </c>
      <c r="I30" s="74">
        <f t="shared" si="5"/>
        <v>30.645123111849394</v>
      </c>
      <c r="J30" s="75">
        <f>D30/$D$33</f>
        <v>0.23972654564745741</v>
      </c>
      <c r="K30" s="75">
        <f t="shared" si="1"/>
        <v>0.13206859024082748</v>
      </c>
      <c r="L30" s="75">
        <f t="shared" si="2"/>
        <v>0.17254484016059174</v>
      </c>
    </row>
    <row r="31" spans="2:12" x14ac:dyDescent="0.25">
      <c r="B31" s="89" t="s">
        <v>43</v>
      </c>
      <c r="C31" s="53">
        <v>0</v>
      </c>
      <c r="D31" s="53" t="s">
        <v>17</v>
      </c>
      <c r="E31" s="53">
        <v>0</v>
      </c>
      <c r="F31" s="53">
        <v>0</v>
      </c>
      <c r="G31" s="56" t="str">
        <f t="shared" si="3"/>
        <v>-</v>
      </c>
      <c r="H31" s="56" t="str">
        <f t="shared" si="4"/>
        <v>-</v>
      </c>
      <c r="I31" s="56" t="str">
        <f t="shared" si="5"/>
        <v>-</v>
      </c>
      <c r="J31" s="57">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14359632</v>
      </c>
      <c r="D33" s="63">
        <f>SUM(D11:D31)</f>
        <v>1178516.8979272591</v>
      </c>
      <c r="E33" s="62">
        <f t="shared" ref="E33:F33" si="7">SUM(E11:E31)</f>
        <v>338707.45394681604</v>
      </c>
      <c r="F33" s="102">
        <f t="shared" si="7"/>
        <v>559438.78951681347</v>
      </c>
      <c r="G33" s="94"/>
      <c r="H33" s="94"/>
      <c r="I33" s="94"/>
      <c r="J33" s="95">
        <f t="shared" ref="J33:L33" si="8">SUM(J11:J31)</f>
        <v>0.99999999999999989</v>
      </c>
      <c r="K33" s="64">
        <f t="shared" si="8"/>
        <v>0.99999999999999989</v>
      </c>
      <c r="L33" s="65">
        <f t="shared" si="8"/>
        <v>1.0000000000000002</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27" t="s">
        <v>112</v>
      </c>
      <c r="C37" s="627"/>
      <c r="D37" s="627"/>
      <c r="E37" s="627"/>
      <c r="F37" s="627"/>
      <c r="G37" s="627"/>
      <c r="H37" s="627"/>
      <c r="I37" s="627"/>
      <c r="J37" s="627"/>
      <c r="K37" s="627"/>
      <c r="L37" s="62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111</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9">
    <mergeCell ref="B37:L37"/>
    <mergeCell ref="C6:C7"/>
    <mergeCell ref="D6:F6"/>
    <mergeCell ref="G6:I6"/>
    <mergeCell ref="J6:L6"/>
    <mergeCell ref="B7:B8"/>
    <mergeCell ref="D7:F7"/>
    <mergeCell ref="G7:I7"/>
    <mergeCell ref="J7:L7"/>
  </mergeCells>
  <hyperlinks>
    <hyperlink ref="B1" location="Start!A1" display="Back to home page" xr:uid="{F97CE0B8-AC8D-4124-B4AD-2654458A26C4}"/>
  </hyperlinks>
  <pageMargins left="0.7" right="0.7" top="0.75" bottom="0.75" header="0.3" footer="0.3"/>
  <pageSetup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0ECC3-19F2-4D56-984A-F8547DB92EE1}">
  <sheetPr>
    <tabColor rgb="FF92D050"/>
  </sheetPr>
  <dimension ref="A1:Q44"/>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J33" sqref="J33"/>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438</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172">
        <v>26000</v>
      </c>
      <c r="D11" s="53">
        <v>1820</v>
      </c>
      <c r="E11" s="53">
        <v>650</v>
      </c>
      <c r="F11" s="53">
        <v>260</v>
      </c>
      <c r="G11" s="56">
        <f>IFERROR(D11*1000/C11,"-")</f>
        <v>70</v>
      </c>
      <c r="H11" s="56">
        <f>IFERROR(E11*1000/C11,"-")</f>
        <v>25</v>
      </c>
      <c r="I11" s="56">
        <f>IFERROR(F11*1000/C11,"-")</f>
        <v>10</v>
      </c>
      <c r="J11" s="57">
        <f t="shared" ref="J11:J30" si="0">D11/$D$33</f>
        <v>2.6301148146274846E-2</v>
      </c>
      <c r="K11" s="57">
        <f t="shared" ref="K11:K31" si="1">E11/$E$33</f>
        <v>2.1052290651163545E-2</v>
      </c>
      <c r="L11" s="57">
        <f t="shared" ref="L11:L31" si="2">F11/$F$33</f>
        <v>9.5191022754315627E-3</v>
      </c>
    </row>
    <row r="12" spans="1:17" x14ac:dyDescent="0.25">
      <c r="B12" s="103" t="s">
        <v>27</v>
      </c>
      <c r="C12" s="174">
        <v>21000</v>
      </c>
      <c r="D12" s="71">
        <v>1470</v>
      </c>
      <c r="E12" s="71">
        <v>420</v>
      </c>
      <c r="F12" s="71">
        <v>210</v>
      </c>
      <c r="G12" s="74">
        <f t="shared" ref="G12:G31" si="3">IFERROR(D12*1000/C12,"-")</f>
        <v>70</v>
      </c>
      <c r="H12" s="74">
        <f t="shared" ref="H12:H31" si="4">IFERROR(E12*1000/C12,"-")</f>
        <v>20</v>
      </c>
      <c r="I12" s="74">
        <f t="shared" ref="I12:I31" si="5">IFERROR(F12*1000/C12,"-")</f>
        <v>10</v>
      </c>
      <c r="J12" s="75">
        <f t="shared" si="0"/>
        <v>2.124323504122199E-2</v>
      </c>
      <c r="K12" s="75">
        <f t="shared" si="1"/>
        <v>1.3603018574597982E-2</v>
      </c>
      <c r="L12" s="75">
        <f t="shared" si="2"/>
        <v>7.6885056840024163E-3</v>
      </c>
    </row>
    <row r="13" spans="1:17" x14ac:dyDescent="0.25">
      <c r="B13" s="89" t="s">
        <v>28</v>
      </c>
      <c r="C13" s="172">
        <v>96000</v>
      </c>
      <c r="D13" s="53">
        <v>6720</v>
      </c>
      <c r="E13" s="53">
        <v>2880</v>
      </c>
      <c r="F13" s="53">
        <v>192</v>
      </c>
      <c r="G13" s="56">
        <f t="shared" si="3"/>
        <v>70</v>
      </c>
      <c r="H13" s="56">
        <f t="shared" si="4"/>
        <v>30</v>
      </c>
      <c r="I13" s="56">
        <f t="shared" si="5"/>
        <v>2</v>
      </c>
      <c r="J13" s="57">
        <f t="shared" si="0"/>
        <v>9.7111931617014813E-2</v>
      </c>
      <c r="K13" s="57">
        <f t="shared" si="1"/>
        <v>9.327784165438617E-2</v>
      </c>
      <c r="L13" s="57">
        <f t="shared" si="2"/>
        <v>7.0294909110879232E-3</v>
      </c>
    </row>
    <row r="14" spans="1:17" x14ac:dyDescent="0.25">
      <c r="B14" s="103" t="s">
        <v>29</v>
      </c>
      <c r="C14" s="174">
        <v>90000</v>
      </c>
      <c r="D14" s="71">
        <v>18720</v>
      </c>
      <c r="E14" s="71">
        <v>4950</v>
      </c>
      <c r="F14" s="71">
        <v>5400</v>
      </c>
      <c r="G14" s="74">
        <f t="shared" si="3"/>
        <v>208</v>
      </c>
      <c r="H14" s="74">
        <f t="shared" si="4"/>
        <v>55</v>
      </c>
      <c r="I14" s="74">
        <f t="shared" si="5"/>
        <v>60</v>
      </c>
      <c r="J14" s="75">
        <f t="shared" si="0"/>
        <v>0.27052609521882698</v>
      </c>
      <c r="K14" s="75">
        <f t="shared" si="1"/>
        <v>0.16032129034347622</v>
      </c>
      <c r="L14" s="75">
        <f t="shared" si="2"/>
        <v>0.19770443187434786</v>
      </c>
    </row>
    <row r="15" spans="1:17" x14ac:dyDescent="0.25">
      <c r="B15" s="89" t="s">
        <v>30</v>
      </c>
      <c r="C15" s="172">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25">
      <c r="B16" s="103" t="s">
        <v>31</v>
      </c>
      <c r="C16" s="174">
        <v>5000</v>
      </c>
      <c r="D16" s="71">
        <v>250</v>
      </c>
      <c r="E16" s="71">
        <v>50</v>
      </c>
      <c r="F16" s="71">
        <v>75</v>
      </c>
      <c r="G16" s="74">
        <f t="shared" si="3"/>
        <v>50</v>
      </c>
      <c r="H16" s="74">
        <f t="shared" si="4"/>
        <v>10</v>
      </c>
      <c r="I16" s="74">
        <f t="shared" si="5"/>
        <v>15</v>
      </c>
      <c r="J16" s="75">
        <f t="shared" si="0"/>
        <v>3.6127950750377536E-3</v>
      </c>
      <c r="K16" s="75">
        <f t="shared" si="1"/>
        <v>1.6194069731664265E-3</v>
      </c>
      <c r="L16" s="75">
        <f t="shared" si="2"/>
        <v>2.7458948871437201E-3</v>
      </c>
    </row>
    <row r="17" spans="2:12" x14ac:dyDescent="0.25">
      <c r="B17" s="89" t="s">
        <v>32</v>
      </c>
      <c r="C17" s="172">
        <v>11000</v>
      </c>
      <c r="D17" s="53">
        <v>0</v>
      </c>
      <c r="E17" s="53">
        <v>0</v>
      </c>
      <c r="F17" s="53">
        <v>0</v>
      </c>
      <c r="G17" s="56">
        <f t="shared" si="3"/>
        <v>0</v>
      </c>
      <c r="H17" s="56">
        <f t="shared" si="4"/>
        <v>0</v>
      </c>
      <c r="I17" s="56">
        <f t="shared" si="5"/>
        <v>0</v>
      </c>
      <c r="J17" s="57">
        <f t="shared" si="0"/>
        <v>0</v>
      </c>
      <c r="K17" s="57">
        <f t="shared" si="1"/>
        <v>0</v>
      </c>
      <c r="L17" s="57">
        <f t="shared" si="2"/>
        <v>0</v>
      </c>
    </row>
    <row r="18" spans="2:12" x14ac:dyDescent="0.25">
      <c r="B18" s="103" t="s">
        <v>33</v>
      </c>
      <c r="C18" s="174">
        <v>500</v>
      </c>
      <c r="D18" s="71">
        <v>2.5</v>
      </c>
      <c r="E18" s="71">
        <v>12.5</v>
      </c>
      <c r="F18" s="71">
        <v>7.5</v>
      </c>
      <c r="G18" s="74">
        <f t="shared" si="3"/>
        <v>5</v>
      </c>
      <c r="H18" s="74">
        <f t="shared" si="4"/>
        <v>25</v>
      </c>
      <c r="I18" s="74">
        <f t="shared" si="5"/>
        <v>15</v>
      </c>
      <c r="J18" s="75">
        <f t="shared" si="0"/>
        <v>3.6127950750377537E-5</v>
      </c>
      <c r="K18" s="75">
        <f t="shared" si="1"/>
        <v>4.0485174329160661E-4</v>
      </c>
      <c r="L18" s="75">
        <f t="shared" si="2"/>
        <v>2.7458948871437203E-4</v>
      </c>
    </row>
    <row r="19" spans="2:12" x14ac:dyDescent="0.25">
      <c r="B19" s="89" t="s">
        <v>26</v>
      </c>
      <c r="C19" s="172">
        <v>21000</v>
      </c>
      <c r="D19" s="53">
        <v>2688</v>
      </c>
      <c r="E19" s="53">
        <v>1470</v>
      </c>
      <c r="F19" s="53">
        <v>1050</v>
      </c>
      <c r="G19" s="56">
        <f t="shared" si="3"/>
        <v>128</v>
      </c>
      <c r="H19" s="56">
        <f t="shared" si="4"/>
        <v>70</v>
      </c>
      <c r="I19" s="56">
        <f t="shared" si="5"/>
        <v>50</v>
      </c>
      <c r="J19" s="57">
        <f t="shared" si="0"/>
        <v>3.8844772646805928E-2</v>
      </c>
      <c r="K19" s="57">
        <f t="shared" si="1"/>
        <v>4.761056501109294E-2</v>
      </c>
      <c r="L19" s="57">
        <f t="shared" si="2"/>
        <v>3.8442528420012084E-2</v>
      </c>
    </row>
    <row r="20" spans="2:12" x14ac:dyDescent="0.25">
      <c r="B20" s="103" t="s">
        <v>34</v>
      </c>
      <c r="C20" s="174">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25">
      <c r="B21" s="89" t="s">
        <v>9</v>
      </c>
      <c r="C21" s="172">
        <v>105000</v>
      </c>
      <c r="D21" s="53">
        <v>9450</v>
      </c>
      <c r="E21" s="53">
        <v>4725</v>
      </c>
      <c r="F21" s="53">
        <v>4725</v>
      </c>
      <c r="G21" s="56">
        <f t="shared" si="3"/>
        <v>90</v>
      </c>
      <c r="H21" s="56">
        <f t="shared" si="4"/>
        <v>45</v>
      </c>
      <c r="I21" s="56">
        <f t="shared" si="5"/>
        <v>45</v>
      </c>
      <c r="J21" s="57">
        <f t="shared" si="0"/>
        <v>0.1365636538364271</v>
      </c>
      <c r="K21" s="57">
        <f t="shared" si="1"/>
        <v>0.15303395896422731</v>
      </c>
      <c r="L21" s="57">
        <f t="shared" si="2"/>
        <v>0.17299137789005437</v>
      </c>
    </row>
    <row r="22" spans="2:12" x14ac:dyDescent="0.25">
      <c r="B22" s="103" t="s">
        <v>35</v>
      </c>
      <c r="C22" s="174">
        <v>0</v>
      </c>
      <c r="D22" s="71">
        <v>0</v>
      </c>
      <c r="E22" s="71">
        <v>0</v>
      </c>
      <c r="F22" s="71">
        <v>0</v>
      </c>
      <c r="G22" s="74" t="str">
        <f t="shared" si="3"/>
        <v>-</v>
      </c>
      <c r="H22" s="74" t="str">
        <f t="shared" si="4"/>
        <v>-</v>
      </c>
      <c r="I22" s="74" t="str">
        <f t="shared" si="5"/>
        <v>-</v>
      </c>
      <c r="J22" s="75">
        <f t="shared" si="0"/>
        <v>0</v>
      </c>
      <c r="K22" s="75">
        <f t="shared" si="1"/>
        <v>0</v>
      </c>
      <c r="L22" s="75">
        <f t="shared" si="2"/>
        <v>0</v>
      </c>
    </row>
    <row r="23" spans="2:12" x14ac:dyDescent="0.25">
      <c r="B23" s="89" t="s">
        <v>36</v>
      </c>
      <c r="C23" s="172">
        <v>6000</v>
      </c>
      <c r="D23" s="53">
        <v>48</v>
      </c>
      <c r="E23" s="53">
        <v>150</v>
      </c>
      <c r="F23" s="53">
        <v>180</v>
      </c>
      <c r="G23" s="56">
        <f t="shared" si="3"/>
        <v>8</v>
      </c>
      <c r="H23" s="56">
        <f t="shared" si="4"/>
        <v>25</v>
      </c>
      <c r="I23" s="56">
        <f t="shared" si="5"/>
        <v>30</v>
      </c>
      <c r="J23" s="57">
        <f t="shared" si="0"/>
        <v>6.9365665440724873E-4</v>
      </c>
      <c r="K23" s="57">
        <f t="shared" si="1"/>
        <v>4.8582209194992796E-3</v>
      </c>
      <c r="L23" s="57">
        <f t="shared" si="2"/>
        <v>6.5901477291449287E-3</v>
      </c>
    </row>
    <row r="24" spans="2:12" x14ac:dyDescent="0.25">
      <c r="B24" s="103" t="s">
        <v>37</v>
      </c>
      <c r="C24" s="174">
        <v>144000</v>
      </c>
      <c r="D24" s="71">
        <v>3600</v>
      </c>
      <c r="E24" s="71">
        <v>2160</v>
      </c>
      <c r="F24" s="71">
        <v>2160</v>
      </c>
      <c r="G24" s="74">
        <f t="shared" si="3"/>
        <v>25</v>
      </c>
      <c r="H24" s="74">
        <f t="shared" si="4"/>
        <v>15</v>
      </c>
      <c r="I24" s="74">
        <f t="shared" si="5"/>
        <v>15</v>
      </c>
      <c r="J24" s="75">
        <f t="shared" si="0"/>
        <v>5.2024249080543657E-2</v>
      </c>
      <c r="K24" s="75">
        <f t="shared" si="1"/>
        <v>6.9958381240789624E-2</v>
      </c>
      <c r="L24" s="75">
        <f t="shared" si="2"/>
        <v>7.908177274973914E-2</v>
      </c>
    </row>
    <row r="25" spans="2:12" x14ac:dyDescent="0.25">
      <c r="B25" s="89" t="s">
        <v>38</v>
      </c>
      <c r="C25" s="172">
        <v>70000</v>
      </c>
      <c r="D25" s="53">
        <v>4550</v>
      </c>
      <c r="E25" s="53">
        <v>1960</v>
      </c>
      <c r="F25" s="53">
        <v>1960</v>
      </c>
      <c r="G25" s="56">
        <f t="shared" si="3"/>
        <v>65</v>
      </c>
      <c r="H25" s="56">
        <f t="shared" si="4"/>
        <v>28</v>
      </c>
      <c r="I25" s="56">
        <f t="shared" si="5"/>
        <v>28</v>
      </c>
      <c r="J25" s="57">
        <f t="shared" si="0"/>
        <v>6.5752870365687124E-2</v>
      </c>
      <c r="K25" s="57">
        <f t="shared" si="1"/>
        <v>6.3480753348123919E-2</v>
      </c>
      <c r="L25" s="57">
        <f t="shared" si="2"/>
        <v>7.1759386384022558E-2</v>
      </c>
    </row>
    <row r="26" spans="2:12" x14ac:dyDescent="0.25">
      <c r="B26" s="103" t="s">
        <v>39</v>
      </c>
      <c r="C26" s="174">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25">
      <c r="B27" s="89" t="s">
        <v>40</v>
      </c>
      <c r="C27" s="172">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25">
      <c r="B28" s="103" t="s">
        <v>41</v>
      </c>
      <c r="C28" s="174">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25">
      <c r="B29" s="89" t="s">
        <v>42</v>
      </c>
      <c r="C29" s="172">
        <v>377000</v>
      </c>
      <c r="D29" s="53">
        <v>15080</v>
      </c>
      <c r="E29" s="53">
        <v>9048</v>
      </c>
      <c r="F29" s="53">
        <v>8294</v>
      </c>
      <c r="G29" s="56">
        <f t="shared" si="3"/>
        <v>40</v>
      </c>
      <c r="H29" s="56">
        <f t="shared" si="4"/>
        <v>24</v>
      </c>
      <c r="I29" s="56">
        <f t="shared" si="5"/>
        <v>22</v>
      </c>
      <c r="J29" s="57">
        <f t="shared" si="0"/>
        <v>0.21792379892627731</v>
      </c>
      <c r="K29" s="57">
        <f t="shared" si="1"/>
        <v>0.29304788586419656</v>
      </c>
      <c r="L29" s="57">
        <f t="shared" si="2"/>
        <v>0.30365936258626686</v>
      </c>
    </row>
    <row r="30" spans="2:12" x14ac:dyDescent="0.25">
      <c r="B30" s="103" t="s">
        <v>10</v>
      </c>
      <c r="C30" s="174">
        <v>1720000</v>
      </c>
      <c r="D30" s="71">
        <v>3600</v>
      </c>
      <c r="E30" s="71">
        <v>1600</v>
      </c>
      <c r="F30" s="71">
        <v>2400</v>
      </c>
      <c r="G30" s="74">
        <f t="shared" si="3"/>
        <v>2.0930232558139537</v>
      </c>
      <c r="H30" s="74">
        <f t="shared" si="4"/>
        <v>0.93023255813953487</v>
      </c>
      <c r="I30" s="74">
        <f t="shared" si="5"/>
        <v>1.3953488372093024</v>
      </c>
      <c r="J30" s="75">
        <f t="shared" si="0"/>
        <v>5.2024249080543657E-2</v>
      </c>
      <c r="K30" s="75">
        <f t="shared" si="1"/>
        <v>5.1821023141325646E-2</v>
      </c>
      <c r="L30" s="75">
        <f t="shared" si="2"/>
        <v>8.7868636388599042E-2</v>
      </c>
    </row>
    <row r="31" spans="2:12" x14ac:dyDescent="0.25">
      <c r="B31" s="89" t="s">
        <v>43</v>
      </c>
      <c r="C31" s="53">
        <v>80000</v>
      </c>
      <c r="D31" s="53">
        <v>1200</v>
      </c>
      <c r="E31" s="53">
        <v>800</v>
      </c>
      <c r="F31" s="53">
        <v>400</v>
      </c>
      <c r="G31" s="56">
        <f t="shared" si="3"/>
        <v>15</v>
      </c>
      <c r="H31" s="56">
        <f t="shared" si="4"/>
        <v>10</v>
      </c>
      <c r="I31" s="56">
        <f t="shared" si="5"/>
        <v>5</v>
      </c>
      <c r="J31" s="57">
        <f>D31/$D$33</f>
        <v>1.7341416360181217E-2</v>
      </c>
      <c r="K31" s="57">
        <f t="shared" si="1"/>
        <v>2.5910511570662823E-2</v>
      </c>
      <c r="L31" s="57">
        <f t="shared" si="2"/>
        <v>1.4644772731433175E-2</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2772500</v>
      </c>
      <c r="D33" s="63">
        <f>SUM(D11:D31)</f>
        <v>69198.5</v>
      </c>
      <c r="E33" s="62">
        <f t="shared" ref="E33:F33" si="7">SUM(E11:E31)</f>
        <v>30875.5</v>
      </c>
      <c r="F33" s="102">
        <f t="shared" si="7"/>
        <v>27313.5</v>
      </c>
      <c r="G33" s="94"/>
      <c r="H33" s="94"/>
      <c r="I33" s="94"/>
      <c r="J33" s="95">
        <f t="shared" ref="J33:L33" si="8">SUM(J11:J31)</f>
        <v>1</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267</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1AF56D78-B003-4150-ADC3-7998B4CA2EB8}"/>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68CD-8533-4554-B432-A87B773F03C5}">
  <sheetPr codeName="Feuil54">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400</v>
      </c>
      <c r="D6" s="592" t="s">
        <v>389</v>
      </c>
      <c r="E6" s="592"/>
      <c r="F6" s="592"/>
      <c r="G6" s="589" t="s">
        <v>392</v>
      </c>
      <c r="H6" s="589"/>
      <c r="I6" s="589"/>
      <c r="J6" s="589" t="s">
        <v>399</v>
      </c>
      <c r="K6" s="589"/>
      <c r="L6" s="589"/>
    </row>
    <row r="7" spans="1:17" ht="25.15" customHeight="1" thickBot="1" x14ac:dyDescent="0.3">
      <c r="B7" s="596" t="s">
        <v>318</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2</v>
      </c>
      <c r="D9" s="49" t="s">
        <v>2</v>
      </c>
      <c r="E9" s="49" t="s">
        <v>2</v>
      </c>
      <c r="F9" s="49" t="s">
        <v>2</v>
      </c>
      <c r="G9" s="49" t="s">
        <v>2</v>
      </c>
      <c r="H9" s="49" t="s">
        <v>2</v>
      </c>
      <c r="I9" s="49" t="s">
        <v>2</v>
      </c>
      <c r="J9" s="49" t="s">
        <v>2</v>
      </c>
      <c r="K9" s="49" t="s">
        <v>2</v>
      </c>
      <c r="L9" s="49" t="s">
        <v>2</v>
      </c>
    </row>
    <row r="10" spans="1:17" ht="6" customHeight="1" thickTop="1" x14ac:dyDescent="0.25">
      <c r="B10" s="96"/>
      <c r="C10" s="97"/>
      <c r="D10" s="98"/>
      <c r="E10" s="98"/>
      <c r="F10" s="98"/>
      <c r="G10" s="98"/>
      <c r="H10" s="98"/>
      <c r="I10" s="98"/>
      <c r="J10" s="98"/>
      <c r="K10" s="98"/>
      <c r="L10" s="98"/>
    </row>
    <row r="11" spans="1:17" x14ac:dyDescent="0.25">
      <c r="B11" s="89" t="s">
        <v>3</v>
      </c>
      <c r="C11" s="53">
        <v>351213</v>
      </c>
      <c r="D11" s="53">
        <v>16560.644121156409</v>
      </c>
      <c r="E11" s="53">
        <v>9265.4971607029311</v>
      </c>
      <c r="F11" s="53">
        <v>4848.1076275558926</v>
      </c>
      <c r="G11" s="56">
        <f>IFERROR(D11*1000/C11,"-")</f>
        <v>47.152708245869057</v>
      </c>
      <c r="H11" s="56">
        <f>IFERROR(E11*1000/C11,"-")</f>
        <v>26.381418571359632</v>
      </c>
      <c r="I11" s="56">
        <f>IFERROR(F11*1000/C11,"-")</f>
        <v>13.803895720135339</v>
      </c>
      <c r="J11" s="57">
        <f t="shared" ref="J11:J22" si="0">D11/$D$24</f>
        <v>1.2539292891009622E-2</v>
      </c>
      <c r="K11" s="57">
        <f t="shared" ref="K11:K22" si="1">E11/$E$24</f>
        <v>1.3615719560180645E-2</v>
      </c>
      <c r="L11" s="57">
        <f t="shared" ref="L11:L22" si="2">F11/$F$24</f>
        <v>1.0909333095310293E-2</v>
      </c>
    </row>
    <row r="12" spans="1:17" x14ac:dyDescent="0.25">
      <c r="B12" s="103" t="s">
        <v>16</v>
      </c>
      <c r="C12" s="71">
        <v>11515000</v>
      </c>
      <c r="D12" s="71">
        <v>1056510.1897046638</v>
      </c>
      <c r="E12" s="71">
        <v>404131.80089381995</v>
      </c>
      <c r="F12" s="71">
        <v>260131.1868341263</v>
      </c>
      <c r="G12" s="74">
        <f t="shared" ref="G12:G22" si="3">IFERROR(D12*1000/C12,"-")</f>
        <v>91.750776352988609</v>
      </c>
      <c r="H12" s="74">
        <f t="shared" ref="H12:H22" si="4">IFERROR(E12*1000/C12,"-")</f>
        <v>35.096118184439419</v>
      </c>
      <c r="I12" s="74">
        <f t="shared" ref="I12:I22" si="5">IFERROR(F12*1000/C12,"-")</f>
        <v>22.590637154505107</v>
      </c>
      <c r="J12" s="75">
        <f t="shared" si="0"/>
        <v>0.79996228492819244</v>
      </c>
      <c r="K12" s="75">
        <f t="shared" si="1"/>
        <v>0.59387479925616438</v>
      </c>
      <c r="L12" s="75">
        <f t="shared" si="2"/>
        <v>0.58535370574735912</v>
      </c>
    </row>
    <row r="13" spans="1:17" x14ac:dyDescent="0.25">
      <c r="B13" s="89" t="s">
        <v>51</v>
      </c>
      <c r="C13" s="91">
        <v>400478</v>
      </c>
      <c r="D13" s="53">
        <v>42275.430290227479</v>
      </c>
      <c r="E13" s="53">
        <v>47305.271033654135</v>
      </c>
      <c r="F13" s="53">
        <v>23205.147685019598</v>
      </c>
      <c r="G13" s="56">
        <f t="shared" si="3"/>
        <v>105.56242862336379</v>
      </c>
      <c r="H13" s="56">
        <f t="shared" si="4"/>
        <v>118.12202176812244</v>
      </c>
      <c r="I13" s="56">
        <f t="shared" si="5"/>
        <v>57.943626578787345</v>
      </c>
      <c r="J13" s="57">
        <f t="shared" si="0"/>
        <v>3.2009866199914805E-2</v>
      </c>
      <c r="K13" s="57">
        <f t="shared" si="1"/>
        <v>6.951546074012363E-2</v>
      </c>
      <c r="L13" s="57">
        <f t="shared" si="2"/>
        <v>5.2216803971691275E-2</v>
      </c>
    </row>
    <row r="14" spans="1:17" x14ac:dyDescent="0.25">
      <c r="B14" s="103" t="s">
        <v>5</v>
      </c>
      <c r="C14" s="104">
        <v>8230</v>
      </c>
      <c r="D14" s="71">
        <v>0</v>
      </c>
      <c r="E14" s="71">
        <v>0</v>
      </c>
      <c r="F14" s="71">
        <v>0</v>
      </c>
      <c r="G14" s="74">
        <f t="shared" si="3"/>
        <v>0</v>
      </c>
      <c r="H14" s="74">
        <f t="shared" si="4"/>
        <v>0</v>
      </c>
      <c r="I14" s="74">
        <f t="shared" si="5"/>
        <v>0</v>
      </c>
      <c r="J14" s="75">
        <f t="shared" si="0"/>
        <v>0</v>
      </c>
      <c r="K14" s="75">
        <f t="shared" si="1"/>
        <v>0</v>
      </c>
      <c r="L14" s="75">
        <f t="shared" si="2"/>
        <v>0</v>
      </c>
    </row>
    <row r="15" spans="1:17" x14ac:dyDescent="0.25">
      <c r="B15" s="89" t="s">
        <v>19</v>
      </c>
      <c r="C15" s="91">
        <v>433623</v>
      </c>
      <c r="D15" s="53">
        <v>10765.151558040181</v>
      </c>
      <c r="E15" s="53">
        <v>18068.949576931016</v>
      </c>
      <c r="F15" s="53">
        <v>25211.876059171245</v>
      </c>
      <c r="G15" s="56">
        <f t="shared" si="3"/>
        <v>24.826062173916469</v>
      </c>
      <c r="H15" s="56">
        <f t="shared" si="4"/>
        <v>41.66972134072919</v>
      </c>
      <c r="I15" s="56">
        <f t="shared" si="5"/>
        <v>58.142386495114984</v>
      </c>
      <c r="J15" s="57">
        <f t="shared" si="0"/>
        <v>8.1510952964641333E-3</v>
      </c>
      <c r="K15" s="57">
        <f t="shared" si="1"/>
        <v>2.6552460803719345E-2</v>
      </c>
      <c r="L15" s="57">
        <f t="shared" si="2"/>
        <v>5.6732394372572575E-2</v>
      </c>
    </row>
    <row r="16" spans="1:17" x14ac:dyDescent="0.25">
      <c r="B16" s="103" t="s">
        <v>25</v>
      </c>
      <c r="C16" s="104">
        <v>37458</v>
      </c>
      <c r="D16" s="71">
        <v>1491.8474432699568</v>
      </c>
      <c r="E16" s="71">
        <v>927.41348764334407</v>
      </c>
      <c r="F16" s="71">
        <v>647.01696704936819</v>
      </c>
      <c r="G16" s="74">
        <f t="shared" si="3"/>
        <v>39.827204956750407</v>
      </c>
      <c r="H16" s="74">
        <f t="shared" si="4"/>
        <v>24.758756144037164</v>
      </c>
      <c r="I16" s="74">
        <f t="shared" si="5"/>
        <v>17.273131695482093</v>
      </c>
      <c r="J16" s="75">
        <f t="shared" si="0"/>
        <v>1.1295884328537569E-3</v>
      </c>
      <c r="K16" s="75">
        <f t="shared" si="1"/>
        <v>1.3628412750085876E-3</v>
      </c>
      <c r="L16" s="75">
        <f t="shared" si="2"/>
        <v>1.4559337692380027E-3</v>
      </c>
    </row>
    <row r="17" spans="1:17" x14ac:dyDescent="0.25">
      <c r="B17" s="89" t="s">
        <v>55</v>
      </c>
      <c r="C17" s="91">
        <v>90156</v>
      </c>
      <c r="D17" s="53">
        <v>8994.8800427560946</v>
      </c>
      <c r="E17" s="53">
        <v>8387.5597759861757</v>
      </c>
      <c r="F17" s="53">
        <v>8777.4658652973085</v>
      </c>
      <c r="G17" s="56">
        <f>IFERROR(D17*1000/C17,"-")</f>
        <v>99.77017661338229</v>
      </c>
      <c r="H17" s="56">
        <f t="shared" si="4"/>
        <v>93.033849948823999</v>
      </c>
      <c r="I17" s="56">
        <f t="shared" si="5"/>
        <v>97.358643521200008</v>
      </c>
      <c r="J17" s="57">
        <f t="shared" si="0"/>
        <v>6.8106913324419583E-3</v>
      </c>
      <c r="K17" s="57">
        <f t="shared" si="1"/>
        <v>1.2325583800126634E-2</v>
      </c>
      <c r="L17" s="57">
        <f t="shared" si="2"/>
        <v>1.9751273324251375E-2</v>
      </c>
    </row>
    <row r="18" spans="1:17" x14ac:dyDescent="0.25">
      <c r="B18" s="103" t="s">
        <v>45</v>
      </c>
      <c r="C18" s="104">
        <v>389619</v>
      </c>
      <c r="D18" s="71">
        <v>45671.539179315281</v>
      </c>
      <c r="E18" s="71">
        <v>46531.504697184464</v>
      </c>
      <c r="F18" s="71">
        <v>25670.947869425607</v>
      </c>
      <c r="G18" s="74">
        <f t="shared" si="3"/>
        <v>117.22102664222044</v>
      </c>
      <c r="H18" s="74">
        <f t="shared" si="4"/>
        <v>119.42822269238529</v>
      </c>
      <c r="I18" s="74">
        <f t="shared" si="5"/>
        <v>65.887310088639424</v>
      </c>
      <c r="J18" s="75">
        <f t="shared" si="0"/>
        <v>3.4581312318706203E-2</v>
      </c>
      <c r="K18" s="75">
        <f t="shared" si="1"/>
        <v>6.8378405139139536E-2</v>
      </c>
      <c r="L18" s="75">
        <f t="shared" si="2"/>
        <v>5.7765409247132346E-2</v>
      </c>
    </row>
    <row r="19" spans="1:17" x14ac:dyDescent="0.25">
      <c r="B19" s="89" t="s">
        <v>9</v>
      </c>
      <c r="C19" s="91">
        <v>616749</v>
      </c>
      <c r="D19" s="53">
        <v>51272.161246981574</v>
      </c>
      <c r="E19" s="53">
        <v>69650.110470526677</v>
      </c>
      <c r="F19" s="53">
        <v>46110.291080188836</v>
      </c>
      <c r="G19" s="56">
        <f t="shared" si="3"/>
        <v>83.132945893680528</v>
      </c>
      <c r="H19" s="56">
        <f t="shared" si="4"/>
        <v>112.93104726643526</v>
      </c>
      <c r="I19" s="56">
        <f t="shared" si="5"/>
        <v>74.763463062264933</v>
      </c>
      <c r="J19" s="57">
        <f t="shared" si="0"/>
        <v>3.8821958996730202E-2</v>
      </c>
      <c r="K19" s="57">
        <f t="shared" si="1"/>
        <v>0.10235137468115602</v>
      </c>
      <c r="L19" s="57">
        <f t="shared" si="2"/>
        <v>0.10375853078350326</v>
      </c>
    </row>
    <row r="20" spans="1:17" x14ac:dyDescent="0.25">
      <c r="B20" s="103" t="s">
        <v>304</v>
      </c>
      <c r="C20" s="104">
        <v>501394</v>
      </c>
      <c r="D20" s="71">
        <v>52095.256714976371</v>
      </c>
      <c r="E20" s="71">
        <v>56614.588454114128</v>
      </c>
      <c r="F20" s="71">
        <v>37480.416547350243</v>
      </c>
      <c r="G20" s="74">
        <f t="shared" si="3"/>
        <v>103.90083789390454</v>
      </c>
      <c r="H20" s="74">
        <f t="shared" si="4"/>
        <v>112.91437164009567</v>
      </c>
      <c r="I20" s="74">
        <f>IFERROR(F20*1000/C20,"-")</f>
        <v>74.752423338432934</v>
      </c>
      <c r="J20" s="75">
        <f t="shared" si="0"/>
        <v>3.9445185670459883E-2</v>
      </c>
      <c r="K20" s="75">
        <f t="shared" si="1"/>
        <v>8.319557451008687E-2</v>
      </c>
      <c r="L20" s="75">
        <f t="shared" si="2"/>
        <v>8.4339371168654934E-2</v>
      </c>
    </row>
    <row r="21" spans="1:17" x14ac:dyDescent="0.25">
      <c r="B21" s="89" t="s">
        <v>10</v>
      </c>
      <c r="C21" s="91">
        <v>600000</v>
      </c>
      <c r="D21" s="53">
        <v>0</v>
      </c>
      <c r="E21" s="53">
        <v>0</v>
      </c>
      <c r="F21" s="53">
        <v>0</v>
      </c>
      <c r="G21" s="56">
        <f t="shared" si="3"/>
        <v>0</v>
      </c>
      <c r="H21" s="56">
        <f t="shared" si="4"/>
        <v>0</v>
      </c>
      <c r="I21" s="56">
        <f t="shared" si="5"/>
        <v>0</v>
      </c>
      <c r="J21" s="57">
        <f t="shared" si="0"/>
        <v>0</v>
      </c>
      <c r="K21" s="57">
        <f t="shared" si="1"/>
        <v>0</v>
      </c>
      <c r="L21" s="57">
        <f t="shared" si="2"/>
        <v>0</v>
      </c>
    </row>
    <row r="22" spans="1:17" x14ac:dyDescent="0.25">
      <c r="B22" s="103" t="s">
        <v>12</v>
      </c>
      <c r="C22" s="104">
        <v>516199</v>
      </c>
      <c r="D22" s="71">
        <v>35062.899698612673</v>
      </c>
      <c r="E22" s="71">
        <v>19617.304449437132</v>
      </c>
      <c r="F22" s="71">
        <v>12317.543464815519</v>
      </c>
      <c r="G22" s="74">
        <f t="shared" si="3"/>
        <v>67.92516006155121</v>
      </c>
      <c r="H22" s="74">
        <f t="shared" si="4"/>
        <v>38.003375538188045</v>
      </c>
      <c r="I22" s="74">
        <f t="shared" si="5"/>
        <v>23.862005669936437</v>
      </c>
      <c r="J22" s="75">
        <f t="shared" si="0"/>
        <v>2.6548723933226829E-2</v>
      </c>
      <c r="K22" s="75">
        <f t="shared" si="1"/>
        <v>2.8827780234294088E-2</v>
      </c>
      <c r="L22" s="75">
        <f t="shared" si="2"/>
        <v>2.7717244520286954E-2</v>
      </c>
    </row>
    <row r="23" spans="1:17" s="7" customFormat="1" ht="6" customHeight="1" thickBot="1" x14ac:dyDescent="0.3">
      <c r="B23" s="89"/>
      <c r="C23" s="99"/>
      <c r="D23" s="99"/>
      <c r="E23" s="93"/>
      <c r="F23" s="92"/>
      <c r="G23" s="100"/>
      <c r="H23" s="84"/>
      <c r="I23" s="101"/>
      <c r="J23" s="85"/>
      <c r="K23" s="85"/>
      <c r="L23" s="85"/>
    </row>
    <row r="24" spans="1:17" s="12" customFormat="1" ht="24.95" customHeight="1" thickTop="1" thickBot="1" x14ac:dyDescent="0.3">
      <c r="A24" s="13"/>
      <c r="B24" s="90" t="s">
        <v>13</v>
      </c>
      <c r="C24" s="63">
        <f>SUM(C11:C22)</f>
        <v>15460119</v>
      </c>
      <c r="D24" s="63">
        <f>SUM(D11:D22)</f>
        <v>1320700</v>
      </c>
      <c r="E24" s="62">
        <f>SUM(E11:E22)</f>
        <v>680500.00000000012</v>
      </c>
      <c r="F24" s="102">
        <f>SUM(F11:F22)</f>
        <v>444399.99999999988</v>
      </c>
      <c r="G24" s="94"/>
      <c r="H24" s="94"/>
      <c r="I24" s="94"/>
      <c r="J24" s="95">
        <f>SUM(J11:J22)</f>
        <v>0.99999999999999978</v>
      </c>
      <c r="K24" s="64">
        <f>SUM(K11:K22)</f>
        <v>0.99999999999999956</v>
      </c>
      <c r="L24" s="65">
        <f>SUM(L11:L22)</f>
        <v>1.0000000000000002</v>
      </c>
      <c r="M24" s="13"/>
      <c r="N24" s="13"/>
      <c r="O24" s="13"/>
      <c r="P24" s="13"/>
      <c r="Q24" s="13"/>
    </row>
    <row r="25" spans="1:17" ht="15.75" thickTop="1" x14ac:dyDescent="0.25">
      <c r="B25" s="15"/>
    </row>
    <row r="26" spans="1:17" x14ac:dyDescent="0.25">
      <c r="B26" s="15"/>
    </row>
    <row r="27" spans="1:17" x14ac:dyDescent="0.25">
      <c r="B27" s="66" t="s">
        <v>396</v>
      </c>
      <c r="C27" s="67"/>
      <c r="D27" s="67"/>
      <c r="E27" s="67"/>
      <c r="F27" s="67"/>
    </row>
    <row r="28" spans="1:17" x14ac:dyDescent="0.25">
      <c r="A28" s="21"/>
      <c r="B28" s="67" t="s">
        <v>373</v>
      </c>
      <c r="C28" s="68"/>
      <c r="D28" s="68"/>
      <c r="E28" s="68"/>
      <c r="F28" s="68"/>
      <c r="G28" s="87"/>
      <c r="H28" s="88"/>
      <c r="I28"/>
      <c r="J28"/>
      <c r="K28"/>
      <c r="L28"/>
      <c r="M28"/>
      <c r="N28"/>
      <c r="O28"/>
      <c r="P28"/>
      <c r="Q28"/>
    </row>
    <row r="29" spans="1:17" ht="14.45" customHeight="1" x14ac:dyDescent="0.25">
      <c r="A29" s="21"/>
      <c r="B29" s="67"/>
      <c r="C29" s="68"/>
      <c r="D29" s="68"/>
      <c r="E29" s="68"/>
      <c r="F29" s="68"/>
      <c r="G29" s="87"/>
      <c r="H29" s="88"/>
      <c r="I29"/>
      <c r="J29"/>
      <c r="K29"/>
      <c r="L29"/>
      <c r="M29"/>
      <c r="N29"/>
      <c r="O29"/>
      <c r="P29"/>
      <c r="Q29"/>
    </row>
    <row r="30" spans="1:17" x14ac:dyDescent="0.25">
      <c r="A30"/>
      <c r="B30" s="79" t="s">
        <v>397</v>
      </c>
      <c r="C30" s="68"/>
      <c r="D30" s="68"/>
      <c r="E30" s="68"/>
      <c r="F30" s="68"/>
      <c r="G30" s="88"/>
      <c r="H30" s="88"/>
      <c r="I30"/>
      <c r="J30"/>
      <c r="K30"/>
      <c r="L30"/>
      <c r="M30"/>
      <c r="N30"/>
      <c r="O30"/>
      <c r="P30"/>
      <c r="Q30"/>
    </row>
    <row r="31" spans="1:17" x14ac:dyDescent="0.25">
      <c r="A31" s="21"/>
      <c r="B31" s="68" t="s">
        <v>433</v>
      </c>
      <c r="C31" s="68"/>
      <c r="D31" s="68"/>
      <c r="E31" s="68"/>
      <c r="F31" s="68"/>
      <c r="G31" s="88"/>
      <c r="H31" s="88"/>
      <c r="I31"/>
      <c r="J31"/>
      <c r="K31"/>
      <c r="L31"/>
      <c r="M31"/>
      <c r="N31"/>
      <c r="O31"/>
      <c r="P31"/>
      <c r="Q31"/>
    </row>
    <row r="32" spans="1:17" x14ac:dyDescent="0.25">
      <c r="B32" s="67" t="s">
        <v>302</v>
      </c>
      <c r="C32" s="67"/>
      <c r="D32" s="67"/>
      <c r="E32" s="67"/>
      <c r="F32" s="67"/>
      <c r="G32" s="87"/>
      <c r="H32" s="87"/>
    </row>
    <row r="33" spans="2:8" x14ac:dyDescent="0.25">
      <c r="B33" s="69" t="s">
        <v>319</v>
      </c>
      <c r="C33" s="67"/>
      <c r="D33" s="67"/>
      <c r="E33" s="67"/>
      <c r="F33" s="67"/>
      <c r="G33" s="87"/>
      <c r="H33" s="87"/>
    </row>
    <row r="34" spans="2:8" x14ac:dyDescent="0.25">
      <c r="B34" s="69" t="s">
        <v>382</v>
      </c>
      <c r="C34" s="67"/>
      <c r="D34" s="67"/>
      <c r="E34" s="67"/>
      <c r="F34" s="67"/>
      <c r="G34" s="87"/>
      <c r="H34" s="87"/>
    </row>
    <row r="35" spans="2:8" x14ac:dyDescent="0.25">
      <c r="B35" s="87"/>
      <c r="C35" s="87"/>
      <c r="D35" s="87"/>
      <c r="E35" s="87"/>
      <c r="F35" s="87"/>
      <c r="G35" s="87"/>
      <c r="H35" s="87"/>
    </row>
    <row r="36" spans="2:8" x14ac:dyDescent="0.25">
      <c r="B36" s="66" t="s">
        <v>398</v>
      </c>
    </row>
  </sheetData>
  <mergeCells count="8">
    <mergeCell ref="D6:F6"/>
    <mergeCell ref="G6:I6"/>
    <mergeCell ref="J6:L6"/>
    <mergeCell ref="B7:B8"/>
    <mergeCell ref="D7:F7"/>
    <mergeCell ref="G7:I7"/>
    <mergeCell ref="J7:L7"/>
    <mergeCell ref="C6:C7"/>
  </mergeCells>
  <hyperlinks>
    <hyperlink ref="B1" location="Start!A1" display="Back to home page" xr:uid="{0680D68A-2F18-4A2D-8011-8035919FDF18}"/>
  </hyperlink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9F0F2-0E79-4CFA-B252-C6227AB8FA96}">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285</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2150000</v>
      </c>
      <c r="D11" s="53">
        <v>163400</v>
      </c>
      <c r="E11" s="53">
        <v>81700</v>
      </c>
      <c r="F11" s="53">
        <v>19350</v>
      </c>
      <c r="G11" s="56">
        <f>IFERROR(D11*1000/C11,"-")</f>
        <v>76</v>
      </c>
      <c r="H11" s="56">
        <f>IFERROR(E11*1000/C11,"-")</f>
        <v>38</v>
      </c>
      <c r="I11" s="56">
        <f>IFERROR(F11*1000/C11,"-")</f>
        <v>9</v>
      </c>
      <c r="J11" s="57">
        <f t="shared" ref="J11:J30" si="0">D11/$D$33</f>
        <v>0.26709253268777799</v>
      </c>
      <c r="K11" s="57">
        <f t="shared" ref="K11:K31" si="1">E11/$E$33</f>
        <v>0.30544111379457312</v>
      </c>
      <c r="L11" s="57">
        <f t="shared" ref="L11:L31" si="2">F11/$F$33</f>
        <v>0.22961090740806664</v>
      </c>
    </row>
    <row r="12" spans="1:17" x14ac:dyDescent="0.25">
      <c r="B12" s="103" t="s">
        <v>27</v>
      </c>
      <c r="C12" s="71">
        <v>470000</v>
      </c>
      <c r="D12" s="71">
        <v>35720</v>
      </c>
      <c r="E12" s="71">
        <v>16450</v>
      </c>
      <c r="F12" s="71">
        <v>4230</v>
      </c>
      <c r="G12" s="74">
        <f t="shared" ref="G12:G31" si="3">IFERROR(D12*1000/C12,"-")</f>
        <v>76</v>
      </c>
      <c r="H12" s="74">
        <f t="shared" ref="H12:H31" si="4">IFERROR(E12*1000/C12,"-")</f>
        <v>35</v>
      </c>
      <c r="I12" s="74">
        <f t="shared" ref="I12:I31" si="5">IFERROR(F12*1000/C12,"-")</f>
        <v>9</v>
      </c>
      <c r="J12" s="75">
        <f t="shared" si="0"/>
        <v>5.8387669936397976E-2</v>
      </c>
      <c r="K12" s="75">
        <f t="shared" si="1"/>
        <v>6.149946538458663E-2</v>
      </c>
      <c r="L12" s="75">
        <f t="shared" si="2"/>
        <v>5.0194012317112242E-2</v>
      </c>
    </row>
    <row r="13" spans="1:17" x14ac:dyDescent="0.25">
      <c r="B13" s="89" t="s">
        <v>28</v>
      </c>
      <c r="C13" s="53">
        <v>180000</v>
      </c>
      <c r="D13" s="53">
        <v>10080</v>
      </c>
      <c r="E13" s="53">
        <v>4860</v>
      </c>
      <c r="F13" s="53">
        <v>1440</v>
      </c>
      <c r="G13" s="56">
        <f t="shared" si="3"/>
        <v>56</v>
      </c>
      <c r="H13" s="56">
        <f t="shared" si="4"/>
        <v>27</v>
      </c>
      <c r="I13" s="56">
        <f t="shared" si="5"/>
        <v>8</v>
      </c>
      <c r="J13" s="57">
        <f t="shared" si="0"/>
        <v>1.6476699690898423E-2</v>
      </c>
      <c r="K13" s="57">
        <f t="shared" si="1"/>
        <v>1.8169446916054165E-2</v>
      </c>
      <c r="L13" s="57">
        <f t="shared" si="2"/>
        <v>1.7087323341995656E-2</v>
      </c>
    </row>
    <row r="14" spans="1:17" x14ac:dyDescent="0.25">
      <c r="B14" s="103" t="s">
        <v>29</v>
      </c>
      <c r="C14" s="71">
        <v>2450000</v>
      </c>
      <c r="D14" s="71">
        <v>200900</v>
      </c>
      <c r="E14" s="71">
        <v>75950</v>
      </c>
      <c r="F14" s="71">
        <v>14700</v>
      </c>
      <c r="G14" s="74">
        <f t="shared" si="3"/>
        <v>82</v>
      </c>
      <c r="H14" s="74">
        <f t="shared" si="4"/>
        <v>31</v>
      </c>
      <c r="I14" s="74">
        <f t="shared" si="5"/>
        <v>6</v>
      </c>
      <c r="J14" s="75">
        <f t="shared" si="0"/>
        <v>0.32838977856165602</v>
      </c>
      <c r="K14" s="75">
        <f t="shared" si="1"/>
        <v>0.28394434017989995</v>
      </c>
      <c r="L14" s="75">
        <f t="shared" si="2"/>
        <v>0.174433092449539</v>
      </c>
    </row>
    <row r="15" spans="1:17" x14ac:dyDescent="0.25">
      <c r="B15" s="89" t="s">
        <v>30</v>
      </c>
      <c r="C15" s="53">
        <v>175000</v>
      </c>
      <c r="D15" s="53">
        <v>3500</v>
      </c>
      <c r="E15" s="53">
        <v>700</v>
      </c>
      <c r="F15" s="53">
        <v>700</v>
      </c>
      <c r="G15" s="56">
        <f t="shared" si="3"/>
        <v>20</v>
      </c>
      <c r="H15" s="56">
        <f t="shared" si="4"/>
        <v>4</v>
      </c>
      <c r="I15" s="56">
        <f t="shared" si="5"/>
        <v>4</v>
      </c>
      <c r="J15" s="57">
        <f t="shared" si="0"/>
        <v>5.721076281561952E-3</v>
      </c>
      <c r="K15" s="57">
        <f t="shared" si="1"/>
        <v>2.6169985270036861E-3</v>
      </c>
      <c r="L15" s="57">
        <f t="shared" si="2"/>
        <v>8.3063377356923339E-3</v>
      </c>
    </row>
    <row r="16" spans="1:17" x14ac:dyDescent="0.25">
      <c r="B16" s="103" t="s">
        <v>31</v>
      </c>
      <c r="C16" s="71">
        <v>490000</v>
      </c>
      <c r="D16" s="71">
        <v>43120</v>
      </c>
      <c r="E16" s="71">
        <v>15190</v>
      </c>
      <c r="F16" s="71">
        <v>3920</v>
      </c>
      <c r="G16" s="74">
        <f t="shared" si="3"/>
        <v>88</v>
      </c>
      <c r="H16" s="74">
        <f t="shared" si="4"/>
        <v>31</v>
      </c>
      <c r="I16" s="74">
        <f t="shared" si="5"/>
        <v>8</v>
      </c>
      <c r="J16" s="75">
        <f t="shared" si="0"/>
        <v>7.0483659788843245E-2</v>
      </c>
      <c r="K16" s="75">
        <f t="shared" si="1"/>
        <v>5.6788868035979989E-2</v>
      </c>
      <c r="L16" s="75">
        <f t="shared" si="2"/>
        <v>4.6515491319877068E-2</v>
      </c>
    </row>
    <row r="17" spans="2:12" x14ac:dyDescent="0.25">
      <c r="B17" s="89" t="s">
        <v>32</v>
      </c>
      <c r="C17" s="53">
        <v>1170000</v>
      </c>
      <c r="D17" s="53">
        <v>79560</v>
      </c>
      <c r="E17" s="53">
        <v>32759.999999999996</v>
      </c>
      <c r="F17" s="53">
        <v>9360</v>
      </c>
      <c r="G17" s="56">
        <f t="shared" si="3"/>
        <v>68</v>
      </c>
      <c r="H17" s="56">
        <f t="shared" si="4"/>
        <v>27.999999999999996</v>
      </c>
      <c r="I17" s="56">
        <f t="shared" si="5"/>
        <v>8</v>
      </c>
      <c r="J17" s="57">
        <f t="shared" si="0"/>
        <v>0.13004823684601968</v>
      </c>
      <c r="K17" s="57">
        <f t="shared" si="1"/>
        <v>0.1224755310637725</v>
      </c>
      <c r="L17" s="57">
        <f t="shared" si="2"/>
        <v>0.11106760172297177</v>
      </c>
    </row>
    <row r="18" spans="2:12" x14ac:dyDescent="0.25">
      <c r="B18" s="103" t="s">
        <v>33</v>
      </c>
      <c r="C18" s="71">
        <v>40000</v>
      </c>
      <c r="D18" s="71">
        <v>5120</v>
      </c>
      <c r="E18" s="71">
        <v>920</v>
      </c>
      <c r="F18" s="71">
        <v>160</v>
      </c>
      <c r="G18" s="74">
        <f t="shared" si="3"/>
        <v>128</v>
      </c>
      <c r="H18" s="74">
        <f t="shared" si="4"/>
        <v>23</v>
      </c>
      <c r="I18" s="74">
        <f t="shared" si="5"/>
        <v>4</v>
      </c>
      <c r="J18" s="75">
        <f t="shared" si="0"/>
        <v>8.3691173033134843E-3</v>
      </c>
      <c r="K18" s="75">
        <f t="shared" si="1"/>
        <v>3.439483778347702E-3</v>
      </c>
      <c r="L18" s="75">
        <f t="shared" si="2"/>
        <v>1.898591482443962E-3</v>
      </c>
    </row>
    <row r="19" spans="2:12" x14ac:dyDescent="0.25">
      <c r="B19" s="89" t="s">
        <v>26</v>
      </c>
      <c r="C19" s="53">
        <v>190000</v>
      </c>
      <c r="D19" s="53">
        <v>28500</v>
      </c>
      <c r="E19" s="53">
        <v>25080</v>
      </c>
      <c r="F19" s="53">
        <v>22800</v>
      </c>
      <c r="G19" s="56">
        <f t="shared" si="3"/>
        <v>150</v>
      </c>
      <c r="H19" s="56">
        <f t="shared" si="4"/>
        <v>132</v>
      </c>
      <c r="I19" s="56">
        <f t="shared" si="5"/>
        <v>120</v>
      </c>
      <c r="J19" s="57">
        <f t="shared" si="0"/>
        <v>4.658590686414732E-2</v>
      </c>
      <c r="K19" s="57">
        <f t="shared" si="1"/>
        <v>9.3763318653217784E-2</v>
      </c>
      <c r="L19" s="57">
        <f t="shared" si="2"/>
        <v>0.27054928624826458</v>
      </c>
    </row>
    <row r="20" spans="2:12" x14ac:dyDescent="0.25">
      <c r="B20" s="103" t="s">
        <v>34</v>
      </c>
      <c r="C20" s="71">
        <v>25000</v>
      </c>
      <c r="D20" s="71">
        <v>3625</v>
      </c>
      <c r="E20" s="71">
        <v>2075</v>
      </c>
      <c r="F20" s="71">
        <v>2500</v>
      </c>
      <c r="G20" s="74">
        <f t="shared" si="3"/>
        <v>145</v>
      </c>
      <c r="H20" s="74">
        <f t="shared" si="4"/>
        <v>83</v>
      </c>
      <c r="I20" s="74">
        <f t="shared" si="5"/>
        <v>100</v>
      </c>
      <c r="J20" s="75">
        <f t="shared" si="0"/>
        <v>5.9254004344748788E-3</v>
      </c>
      <c r="K20" s="75">
        <f t="shared" si="1"/>
        <v>7.7575313479037846E-3</v>
      </c>
      <c r="L20" s="75">
        <f t="shared" si="2"/>
        <v>2.9665491913186903E-2</v>
      </c>
    </row>
    <row r="21" spans="2:12" x14ac:dyDescent="0.25">
      <c r="B21" s="89" t="s">
        <v>9</v>
      </c>
      <c r="C21" s="53">
        <v>245000</v>
      </c>
      <c r="D21" s="53">
        <v>15925</v>
      </c>
      <c r="E21" s="53">
        <v>2940</v>
      </c>
      <c r="F21" s="53">
        <v>2205</v>
      </c>
      <c r="G21" s="56">
        <f t="shared" si="3"/>
        <v>65</v>
      </c>
      <c r="H21" s="56">
        <f t="shared" si="4"/>
        <v>12</v>
      </c>
      <c r="I21" s="56">
        <f t="shared" si="5"/>
        <v>9</v>
      </c>
      <c r="J21" s="57">
        <f t="shared" si="0"/>
        <v>2.6030897081106882E-2</v>
      </c>
      <c r="K21" s="57">
        <f t="shared" si="1"/>
        <v>1.0991393813415483E-2</v>
      </c>
      <c r="L21" s="57">
        <f t="shared" si="2"/>
        <v>2.6164963867430849E-2</v>
      </c>
    </row>
    <row r="22" spans="2:12" x14ac:dyDescent="0.25">
      <c r="B22" s="103" t="s">
        <v>35</v>
      </c>
      <c r="C22" s="71">
        <v>1000</v>
      </c>
      <c r="D22" s="71">
        <v>35</v>
      </c>
      <c r="E22" s="71">
        <v>6</v>
      </c>
      <c r="F22" s="71">
        <v>3</v>
      </c>
      <c r="G22" s="74">
        <f t="shared" si="3"/>
        <v>35</v>
      </c>
      <c r="H22" s="74">
        <f t="shared" si="4"/>
        <v>6</v>
      </c>
      <c r="I22" s="74">
        <f t="shared" si="5"/>
        <v>3</v>
      </c>
      <c r="J22" s="75">
        <f t="shared" si="0"/>
        <v>5.7210762815619518E-5</v>
      </c>
      <c r="K22" s="75">
        <f t="shared" si="1"/>
        <v>2.2431415945745883E-5</v>
      </c>
      <c r="L22" s="75">
        <f t="shared" si="2"/>
        <v>3.5598590295824286E-5</v>
      </c>
    </row>
    <row r="23" spans="2:12" x14ac:dyDescent="0.25">
      <c r="B23" s="89" t="s">
        <v>36</v>
      </c>
      <c r="C23" s="53">
        <v>125000</v>
      </c>
      <c r="D23" s="53">
        <v>875</v>
      </c>
      <c r="E23" s="53">
        <v>375</v>
      </c>
      <c r="F23" s="53">
        <v>375</v>
      </c>
      <c r="G23" s="56">
        <f t="shared" si="3"/>
        <v>7</v>
      </c>
      <c r="H23" s="56">
        <f t="shared" si="4"/>
        <v>3</v>
      </c>
      <c r="I23" s="56">
        <f t="shared" si="5"/>
        <v>3</v>
      </c>
      <c r="J23" s="57">
        <f t="shared" si="0"/>
        <v>1.430269070390488E-3</v>
      </c>
      <c r="K23" s="57">
        <f t="shared" si="1"/>
        <v>1.4019634966091175E-3</v>
      </c>
      <c r="L23" s="57">
        <f t="shared" si="2"/>
        <v>4.449823786978036E-3</v>
      </c>
    </row>
    <row r="24" spans="2:12" x14ac:dyDescent="0.25">
      <c r="B24" s="103" t="s">
        <v>37</v>
      </c>
      <c r="C24" s="71">
        <v>14000</v>
      </c>
      <c r="D24" s="71">
        <v>434</v>
      </c>
      <c r="E24" s="71">
        <v>84</v>
      </c>
      <c r="F24" s="71">
        <v>28</v>
      </c>
      <c r="G24" s="74">
        <f t="shared" si="3"/>
        <v>31</v>
      </c>
      <c r="H24" s="74">
        <f t="shared" si="4"/>
        <v>6</v>
      </c>
      <c r="I24" s="74">
        <f t="shared" si="5"/>
        <v>2</v>
      </c>
      <c r="J24" s="75">
        <f t="shared" si="0"/>
        <v>7.09413458913682E-4</v>
      </c>
      <c r="K24" s="75">
        <f t="shared" si="1"/>
        <v>3.1403982324044235E-4</v>
      </c>
      <c r="L24" s="75">
        <f t="shared" si="2"/>
        <v>3.3225350942769335E-4</v>
      </c>
    </row>
    <row r="25" spans="2:12" x14ac:dyDescent="0.25">
      <c r="B25" s="89" t="s">
        <v>38</v>
      </c>
      <c r="C25" s="53">
        <v>310000</v>
      </c>
      <c r="D25" s="53">
        <v>17050</v>
      </c>
      <c r="E25" s="53">
        <v>7750</v>
      </c>
      <c r="F25" s="53">
        <v>1860</v>
      </c>
      <c r="G25" s="56">
        <f t="shared" si="3"/>
        <v>55</v>
      </c>
      <c r="H25" s="56">
        <f t="shared" si="4"/>
        <v>25</v>
      </c>
      <c r="I25" s="56">
        <f t="shared" si="5"/>
        <v>6</v>
      </c>
      <c r="J25" s="57">
        <f t="shared" si="0"/>
        <v>2.7869814457323224E-2</v>
      </c>
      <c r="K25" s="57">
        <f t="shared" si="1"/>
        <v>2.8973912263255099E-2</v>
      </c>
      <c r="L25" s="57">
        <f t="shared" si="2"/>
        <v>2.2071125983411058E-2</v>
      </c>
    </row>
    <row r="26" spans="2:12" x14ac:dyDescent="0.25">
      <c r="B26" s="103" t="s">
        <v>39</v>
      </c>
      <c r="C26" s="71">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25">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25">
      <c r="B28" s="103" t="s">
        <v>41</v>
      </c>
      <c r="C28" s="71">
        <v>45000</v>
      </c>
      <c r="D28" s="71">
        <v>2025</v>
      </c>
      <c r="E28" s="71">
        <v>0</v>
      </c>
      <c r="F28" s="71">
        <v>0</v>
      </c>
      <c r="G28" s="74">
        <f t="shared" si="3"/>
        <v>45</v>
      </c>
      <c r="H28" s="74">
        <f t="shared" si="4"/>
        <v>0</v>
      </c>
      <c r="I28" s="74">
        <f t="shared" si="5"/>
        <v>0</v>
      </c>
      <c r="J28" s="75">
        <f t="shared" si="0"/>
        <v>3.3100512771894151E-3</v>
      </c>
      <c r="K28" s="75">
        <f t="shared" si="1"/>
        <v>0</v>
      </c>
      <c r="L28" s="75">
        <f t="shared" si="2"/>
        <v>0</v>
      </c>
    </row>
    <row r="29" spans="2:12" x14ac:dyDescent="0.25">
      <c r="B29" s="89" t="s">
        <v>42</v>
      </c>
      <c r="C29" s="53">
        <v>344000</v>
      </c>
      <c r="D29" s="53">
        <v>664</v>
      </c>
      <c r="E29" s="53">
        <v>332</v>
      </c>
      <c r="F29" s="53">
        <v>332</v>
      </c>
      <c r="G29" s="56">
        <f t="shared" si="3"/>
        <v>1.930232558139535</v>
      </c>
      <c r="H29" s="56">
        <f t="shared" si="4"/>
        <v>0.96511627906976749</v>
      </c>
      <c r="I29" s="56">
        <f t="shared" si="5"/>
        <v>0.96511627906976749</v>
      </c>
      <c r="J29" s="57">
        <f t="shared" si="0"/>
        <v>1.0853699002734674E-3</v>
      </c>
      <c r="K29" s="57">
        <f t="shared" si="1"/>
        <v>1.2412050156646055E-3</v>
      </c>
      <c r="L29" s="57">
        <f t="shared" si="2"/>
        <v>3.9395773260712209E-3</v>
      </c>
    </row>
    <row r="30" spans="2:12" x14ac:dyDescent="0.25">
      <c r="B30" s="103" t="s">
        <v>10</v>
      </c>
      <c r="C30" s="71">
        <v>4512000</v>
      </c>
      <c r="D30" s="71">
        <v>1240</v>
      </c>
      <c r="E30" s="71">
        <v>310</v>
      </c>
      <c r="F30" s="71">
        <v>310</v>
      </c>
      <c r="G30" s="74">
        <f t="shared" si="3"/>
        <v>0.27482269503546097</v>
      </c>
      <c r="H30" s="74">
        <f t="shared" si="4"/>
        <v>6.8705673758865243E-2</v>
      </c>
      <c r="I30" s="74">
        <f t="shared" si="5"/>
        <v>6.8705673758865243E-2</v>
      </c>
      <c r="J30" s="75">
        <f t="shared" si="0"/>
        <v>2.0268955968962342E-3</v>
      </c>
      <c r="K30" s="75">
        <f t="shared" si="1"/>
        <v>1.158956490530204E-3</v>
      </c>
      <c r="L30" s="75">
        <f t="shared" si="2"/>
        <v>3.6785209972351762E-3</v>
      </c>
    </row>
    <row r="31" spans="2:12" x14ac:dyDescent="0.25">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12936000</v>
      </c>
      <c r="D33" s="63">
        <f>SUM(D11:D31)</f>
        <v>611773</v>
      </c>
      <c r="E33" s="62">
        <f t="shared" ref="E33:F33" si="7">SUM(E11:E31)</f>
        <v>267482</v>
      </c>
      <c r="F33" s="102">
        <f t="shared" si="7"/>
        <v>84273</v>
      </c>
      <c r="G33" s="94"/>
      <c r="H33" s="94"/>
      <c r="I33" s="94"/>
      <c r="J33" s="95">
        <f t="shared" ref="J33:L33" si="8">SUM(J11:J31)</f>
        <v>0.99999999999999989</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286</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DBE67735-9FF0-45C3-9492-D540930B8620}"/>
  </hyperlinks>
  <pageMargins left="0.7" right="0.7" top="0.75" bottom="0.75" header="0.3" footer="0.3"/>
  <pageSetup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6F2C-C4DC-432F-A334-803AE9FCFB18}">
  <sheetPr>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400</v>
      </c>
      <c r="D6" s="592" t="s">
        <v>389</v>
      </c>
      <c r="E6" s="592"/>
      <c r="F6" s="592"/>
      <c r="G6" s="589" t="s">
        <v>392</v>
      </c>
      <c r="H6" s="589"/>
      <c r="I6" s="589"/>
      <c r="J6" s="589" t="s">
        <v>399</v>
      </c>
      <c r="K6" s="589"/>
      <c r="L6" s="589"/>
    </row>
    <row r="7" spans="1:17" ht="25.15" customHeight="1" thickBot="1" x14ac:dyDescent="0.3">
      <c r="B7" s="596" t="s">
        <v>311</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96"/>
      <c r="C10" s="97"/>
      <c r="D10" s="98"/>
      <c r="E10" s="98"/>
      <c r="F10" s="98"/>
      <c r="G10" s="98"/>
      <c r="H10" s="98"/>
      <c r="I10" s="98"/>
      <c r="J10" s="98"/>
      <c r="K10" s="98"/>
      <c r="L10" s="98"/>
    </row>
    <row r="11" spans="1:17" x14ac:dyDescent="0.25">
      <c r="B11" s="89" t="s">
        <v>3</v>
      </c>
      <c r="C11" s="53">
        <v>26472051</v>
      </c>
      <c r="D11" s="53">
        <v>958809.87733834621</v>
      </c>
      <c r="E11" s="53">
        <v>240805.79259005509</v>
      </c>
      <c r="F11" s="53">
        <v>73474.125982850455</v>
      </c>
      <c r="G11" s="56">
        <f>IFERROR(D11*1000/C11,"-")</f>
        <v>36.219704976329425</v>
      </c>
      <c r="H11" s="56">
        <f>IFERROR(E11*1000/C11,"-")</f>
        <v>9.0966050416741453</v>
      </c>
      <c r="I11" s="56">
        <f>IFERROR(F11*1000/C11,"-")</f>
        <v>2.7755358276867352</v>
      </c>
      <c r="J11" s="57">
        <f t="shared" ref="J11:J21" si="0">D11/$D$23</f>
        <v>0.43649725818917701</v>
      </c>
      <c r="K11" s="57">
        <f t="shared" ref="K11:K21" si="1">E11/$E$23</f>
        <v>0.35174670258553181</v>
      </c>
      <c r="L11" s="57">
        <f t="shared" ref="L11:L21" si="2">F11/$F$23</f>
        <v>0.21744340332302592</v>
      </c>
    </row>
    <row r="12" spans="1:17" x14ac:dyDescent="0.25">
      <c r="B12" s="103" t="s">
        <v>16</v>
      </c>
      <c r="C12" s="71">
        <v>180177</v>
      </c>
      <c r="D12" s="71">
        <v>19459.749558226678</v>
      </c>
      <c r="E12" s="71">
        <v>5725.1581687982471</v>
      </c>
      <c r="F12" s="71">
        <v>1455.7062354466798</v>
      </c>
      <c r="G12" s="74">
        <f t="shared" ref="G12:G21" si="3">IFERROR(D12*1000/C12,"-")</f>
        <v>108.00351631022095</v>
      </c>
      <c r="H12" s="74">
        <f t="shared" ref="H12:H21" si="4">IFERROR(E12*1000/C12,"-")</f>
        <v>31.775188668910278</v>
      </c>
      <c r="I12" s="74">
        <f t="shared" ref="I12:I21" si="5">IFERROR(F12*1000/C12,"-")</f>
        <v>8.0793122065895204</v>
      </c>
      <c r="J12" s="75">
        <f t="shared" si="0"/>
        <v>8.8590319394640255E-3</v>
      </c>
      <c r="K12" s="75">
        <f t="shared" si="1"/>
        <v>8.3627785112448828E-3</v>
      </c>
      <c r="L12" s="75">
        <f t="shared" si="2"/>
        <v>4.3080977669330564E-3</v>
      </c>
    </row>
    <row r="13" spans="1:17" x14ac:dyDescent="0.25">
      <c r="B13" s="89" t="s">
        <v>51</v>
      </c>
      <c r="C13" s="53">
        <v>2375641</v>
      </c>
      <c r="D13" s="53">
        <v>212314.01024739718</v>
      </c>
      <c r="E13" s="53">
        <v>56785.337460565919</v>
      </c>
      <c r="F13" s="53">
        <v>31764.728283377855</v>
      </c>
      <c r="G13" s="56">
        <f t="shared" si="3"/>
        <v>89.371251905231972</v>
      </c>
      <c r="H13" s="56">
        <f t="shared" si="4"/>
        <v>23.903164434595091</v>
      </c>
      <c r="I13" s="56">
        <f t="shared" si="5"/>
        <v>13.371013668890988</v>
      </c>
      <c r="J13" s="57">
        <f t="shared" si="0"/>
        <v>9.6655745355275047E-2</v>
      </c>
      <c r="K13" s="57">
        <f t="shared" si="1"/>
        <v>8.2946738914060653E-2</v>
      </c>
      <c r="L13" s="57">
        <f t="shared" si="2"/>
        <v>9.4006298559863435E-2</v>
      </c>
    </row>
    <row r="14" spans="1:17" x14ac:dyDescent="0.25">
      <c r="B14" s="103" t="s">
        <v>5</v>
      </c>
      <c r="C14" s="71">
        <v>12943492</v>
      </c>
      <c r="D14" s="71">
        <v>255771.57943696086</v>
      </c>
      <c r="E14" s="71">
        <v>67464.899557362543</v>
      </c>
      <c r="F14" s="71">
        <v>38266.503062885153</v>
      </c>
      <c r="G14" s="74">
        <f t="shared" si="3"/>
        <v>19.760631785994143</v>
      </c>
      <c r="H14" s="74">
        <f t="shared" si="4"/>
        <v>5.212264167765742</v>
      </c>
      <c r="I14" s="74">
        <f t="shared" si="5"/>
        <v>2.9564280692478624</v>
      </c>
      <c r="J14" s="75">
        <f t="shared" si="0"/>
        <v>0.11643976119318987</v>
      </c>
      <c r="K14" s="75">
        <f t="shared" si="1"/>
        <v>9.8546449835469674E-2</v>
      </c>
      <c r="L14" s="75">
        <f t="shared" si="2"/>
        <v>0.11324801143203655</v>
      </c>
    </row>
    <row r="15" spans="1:17" x14ac:dyDescent="0.25">
      <c r="B15" s="89" t="s">
        <v>6</v>
      </c>
      <c r="C15" s="53">
        <v>2740850</v>
      </c>
      <c r="D15" s="53">
        <v>60428.764813289039</v>
      </c>
      <c r="E15" s="53">
        <v>24000.911105207848</v>
      </c>
      <c r="F15" s="53">
        <v>12657.217531620352</v>
      </c>
      <c r="G15" s="56">
        <f t="shared" si="3"/>
        <v>22.047454188769557</v>
      </c>
      <c r="H15" s="56">
        <f t="shared" si="4"/>
        <v>8.7567401007745218</v>
      </c>
      <c r="I15" s="56">
        <f t="shared" si="5"/>
        <v>4.6179898686977952</v>
      </c>
      <c r="J15" s="57">
        <f t="shared" si="0"/>
        <v>2.7510136034457362E-2</v>
      </c>
      <c r="K15" s="57">
        <f t="shared" si="1"/>
        <v>3.50582984300436E-2</v>
      </c>
      <c r="L15" s="57">
        <f t="shared" si="2"/>
        <v>3.745847153483383E-2</v>
      </c>
    </row>
    <row r="16" spans="1:17" x14ac:dyDescent="0.25">
      <c r="B16" s="103" t="s">
        <v>300</v>
      </c>
      <c r="C16" s="71">
        <v>10581645</v>
      </c>
      <c r="D16" s="71">
        <v>184965.56889144765</v>
      </c>
      <c r="E16" s="71">
        <v>85513.716253012317</v>
      </c>
      <c r="F16" s="71">
        <v>27673.072684986735</v>
      </c>
      <c r="G16" s="74">
        <f t="shared" si="3"/>
        <v>17.479850145364701</v>
      </c>
      <c r="H16" s="74">
        <f t="shared" si="4"/>
        <v>8.0813253754980732</v>
      </c>
      <c r="I16" s="74">
        <f t="shared" si="5"/>
        <v>2.6151957172052867</v>
      </c>
      <c r="J16" s="75">
        <f t="shared" si="0"/>
        <v>8.4205394196234018E-2</v>
      </c>
      <c r="K16" s="75">
        <f t="shared" si="1"/>
        <v>0.12491048240288098</v>
      </c>
      <c r="L16" s="75">
        <f t="shared" si="2"/>
        <v>8.1897226057966066E-2</v>
      </c>
    </row>
    <row r="17" spans="1:17" x14ac:dyDescent="0.25">
      <c r="B17" s="89" t="s">
        <v>44</v>
      </c>
      <c r="C17" s="53">
        <v>1105339</v>
      </c>
      <c r="D17" s="53">
        <v>141812.6498672929</v>
      </c>
      <c r="E17" s="53">
        <v>87236.928405562299</v>
      </c>
      <c r="F17" s="53">
        <v>82938.701909261086</v>
      </c>
      <c r="G17" s="56">
        <f t="shared" si="3"/>
        <v>128.29787953495978</v>
      </c>
      <c r="H17" s="56">
        <f t="shared" si="4"/>
        <v>78.923233872651096</v>
      </c>
      <c r="I17" s="56">
        <f t="shared" si="5"/>
        <v>75.034629113114704</v>
      </c>
      <c r="J17" s="57">
        <f t="shared" si="0"/>
        <v>6.4560070047934487E-2</v>
      </c>
      <c r="K17" s="57">
        <f t="shared" si="1"/>
        <v>0.12742759042588708</v>
      </c>
      <c r="L17" s="57">
        <f t="shared" si="2"/>
        <v>0.24545339422687507</v>
      </c>
    </row>
    <row r="18" spans="1:17" x14ac:dyDescent="0.25">
      <c r="B18" s="103" t="s">
        <v>45</v>
      </c>
      <c r="C18" s="71">
        <v>660974</v>
      </c>
      <c r="D18" s="71">
        <v>2973.5978830996437</v>
      </c>
      <c r="E18" s="71">
        <v>1749.6955097196517</v>
      </c>
      <c r="F18" s="71">
        <v>1334.6579719909805</v>
      </c>
      <c r="G18" s="74">
        <f t="shared" si="3"/>
        <v>4.4988121818704574</v>
      </c>
      <c r="H18" s="74">
        <f t="shared" si="4"/>
        <v>2.6471472549898358</v>
      </c>
      <c r="I18" s="74">
        <f t="shared" si="5"/>
        <v>2.0192291557473978</v>
      </c>
      <c r="J18" s="75">
        <f t="shared" si="0"/>
        <v>1.3537275257669325E-3</v>
      </c>
      <c r="K18" s="75">
        <f t="shared" si="1"/>
        <v>2.5557924477353955E-3</v>
      </c>
      <c r="L18" s="75">
        <f t="shared" si="2"/>
        <v>3.9498608227019252E-3</v>
      </c>
    </row>
    <row r="19" spans="1:17" x14ac:dyDescent="0.25">
      <c r="B19" s="89" t="s">
        <v>9</v>
      </c>
      <c r="C19" s="53">
        <v>559920</v>
      </c>
      <c r="D19" s="53">
        <v>5849.2008961242791</v>
      </c>
      <c r="E19" s="53">
        <v>4302.1622903197813</v>
      </c>
      <c r="F19" s="53">
        <v>4375.5538535534706</v>
      </c>
      <c r="G19" s="56">
        <f t="shared" si="3"/>
        <v>10.446493956501428</v>
      </c>
      <c r="H19" s="56">
        <f t="shared" si="4"/>
        <v>7.6835303084722479</v>
      </c>
      <c r="I19" s="56">
        <f t="shared" si="5"/>
        <v>7.8146053964021114</v>
      </c>
      <c r="J19" s="57">
        <f t="shared" si="0"/>
        <v>2.6628429828481647E-3</v>
      </c>
      <c r="K19" s="57">
        <f t="shared" si="1"/>
        <v>6.2841984959389153E-3</v>
      </c>
      <c r="L19" s="57">
        <f t="shared" si="2"/>
        <v>1.294925674327751E-2</v>
      </c>
    </row>
    <row r="20" spans="1:17" x14ac:dyDescent="0.25">
      <c r="B20" s="103" t="s">
        <v>304</v>
      </c>
      <c r="C20" s="71">
        <v>1313495</v>
      </c>
      <c r="D20" s="71">
        <v>13201.012631363283</v>
      </c>
      <c r="E20" s="71">
        <v>10486.275257918225</v>
      </c>
      <c r="F20" s="71">
        <v>12837.696213634224</v>
      </c>
      <c r="G20" s="74">
        <f t="shared" si="3"/>
        <v>10.050295304788584</v>
      </c>
      <c r="H20" s="74">
        <f t="shared" si="4"/>
        <v>7.9834908072875992</v>
      </c>
      <c r="I20" s="74">
        <f t="shared" si="5"/>
        <v>9.7736924873214015</v>
      </c>
      <c r="J20" s="75">
        <f t="shared" si="0"/>
        <v>6.0097480794697638E-3</v>
      </c>
      <c r="K20" s="75">
        <f t="shared" si="1"/>
        <v>1.5317375486295977E-2</v>
      </c>
      <c r="L20" s="75">
        <f t="shared" si="2"/>
        <v>3.7992590155768641E-2</v>
      </c>
    </row>
    <row r="21" spans="1:17" x14ac:dyDescent="0.25">
      <c r="B21" s="89" t="s">
        <v>12</v>
      </c>
      <c r="C21" s="53">
        <v>2642116</v>
      </c>
      <c r="D21" s="53">
        <v>341013.988436452</v>
      </c>
      <c r="E21" s="53">
        <v>100529.12340147803</v>
      </c>
      <c r="F21" s="53">
        <v>51122.036270392964</v>
      </c>
      <c r="G21" s="56">
        <f t="shared" si="3"/>
        <v>129.06851494652466</v>
      </c>
      <c r="H21" s="56">
        <f t="shared" si="4"/>
        <v>38.048716786650566</v>
      </c>
      <c r="I21" s="56">
        <f t="shared" si="5"/>
        <v>19.348899242271333</v>
      </c>
      <c r="J21" s="57">
        <f t="shared" si="0"/>
        <v>0.15524628445618319</v>
      </c>
      <c r="K21" s="57">
        <f t="shared" si="1"/>
        <v>0.14684359246491094</v>
      </c>
      <c r="L21" s="57">
        <f t="shared" si="2"/>
        <v>0.15129338937671785</v>
      </c>
    </row>
    <row r="22" spans="1:17" s="7" customFormat="1" ht="6" customHeight="1" thickBot="1" x14ac:dyDescent="0.3">
      <c r="B22" s="89"/>
      <c r="C22" s="99"/>
      <c r="D22" s="99"/>
      <c r="E22" s="93"/>
      <c r="F22" s="92"/>
      <c r="G22" s="100"/>
      <c r="H22" s="84"/>
      <c r="I22" s="101"/>
      <c r="J22" s="85"/>
      <c r="K22" s="85"/>
      <c r="L22" s="85"/>
    </row>
    <row r="23" spans="1:17" s="12" customFormat="1" ht="24.95" customHeight="1" thickTop="1" thickBot="1" x14ac:dyDescent="0.3">
      <c r="A23" s="13"/>
      <c r="B23" s="90" t="s">
        <v>13</v>
      </c>
      <c r="C23" s="63">
        <f>SUM(C11:C21)</f>
        <v>61575700</v>
      </c>
      <c r="D23" s="63">
        <f>SUM(D11:D21)</f>
        <v>2196600</v>
      </c>
      <c r="E23" s="62">
        <f>SUM(E11:E21)</f>
        <v>684600</v>
      </c>
      <c r="F23" s="102">
        <f>SUM(F11:F21)</f>
        <v>337900</v>
      </c>
      <c r="G23" s="94"/>
      <c r="H23" s="94"/>
      <c r="I23" s="94"/>
      <c r="J23" s="95">
        <f>SUM(J11:J21)</f>
        <v>0.99999999999999978</v>
      </c>
      <c r="K23" s="64">
        <f>SUM(K11:K21)</f>
        <v>0.99999999999999989</v>
      </c>
      <c r="L23" s="65">
        <f>SUM(L11:L21)</f>
        <v>0.99999999999999989</v>
      </c>
      <c r="M23" s="13"/>
      <c r="N23" s="13"/>
      <c r="O23" s="13"/>
      <c r="P23" s="13"/>
      <c r="Q23" s="13"/>
    </row>
    <row r="24" spans="1:17" ht="15.75" thickTop="1" x14ac:dyDescent="0.25">
      <c r="B24" s="15"/>
    </row>
    <row r="25" spans="1:17" x14ac:dyDescent="0.25">
      <c r="B25" s="15"/>
    </row>
    <row r="26" spans="1:17" x14ac:dyDescent="0.25">
      <c r="B26" s="66" t="s">
        <v>396</v>
      </c>
      <c r="C26" s="67"/>
      <c r="D26" s="67"/>
      <c r="E26" s="67"/>
      <c r="F26" s="67"/>
    </row>
    <row r="27" spans="1:17" x14ac:dyDescent="0.25">
      <c r="A27" s="21"/>
      <c r="B27" s="67" t="s">
        <v>373</v>
      </c>
      <c r="C27" s="68"/>
      <c r="D27" s="68"/>
      <c r="E27" s="68"/>
      <c r="F27" s="68"/>
      <c r="G27" s="87"/>
      <c r="H27" s="88"/>
      <c r="I27"/>
      <c r="J27"/>
      <c r="K27"/>
      <c r="L27"/>
      <c r="M27"/>
      <c r="N27"/>
      <c r="O27"/>
      <c r="P27"/>
      <c r="Q27"/>
    </row>
    <row r="28" spans="1:17" ht="14.45" customHeight="1" x14ac:dyDescent="0.25">
      <c r="A28" s="21"/>
      <c r="B28" s="67"/>
      <c r="C28" s="68"/>
      <c r="D28" s="68"/>
      <c r="E28" s="68"/>
      <c r="F28" s="68"/>
      <c r="G28" s="87"/>
      <c r="H28" s="88"/>
      <c r="I28"/>
      <c r="J28"/>
      <c r="K28"/>
      <c r="L28"/>
      <c r="M28"/>
      <c r="N28"/>
      <c r="O28"/>
      <c r="P28"/>
      <c r="Q28"/>
    </row>
    <row r="29" spans="1:17" x14ac:dyDescent="0.25">
      <c r="A29"/>
      <c r="B29" s="79" t="s">
        <v>397</v>
      </c>
      <c r="C29" s="68"/>
      <c r="D29" s="68"/>
      <c r="E29" s="68"/>
      <c r="F29" s="68"/>
      <c r="G29" s="88"/>
      <c r="H29" s="88"/>
      <c r="I29"/>
      <c r="J29"/>
      <c r="K29"/>
      <c r="L29"/>
      <c r="M29"/>
      <c r="N29"/>
      <c r="O29"/>
      <c r="P29"/>
      <c r="Q29"/>
    </row>
    <row r="30" spans="1:17" x14ac:dyDescent="0.25">
      <c r="A30" s="21"/>
      <c r="B30" s="67" t="s">
        <v>176</v>
      </c>
      <c r="C30" s="68"/>
      <c r="D30" s="68"/>
      <c r="E30" s="68"/>
      <c r="F30" s="68"/>
      <c r="G30" s="88"/>
      <c r="H30" s="88"/>
      <c r="I30"/>
      <c r="J30"/>
      <c r="K30"/>
      <c r="L30"/>
      <c r="M30"/>
      <c r="N30"/>
      <c r="O30"/>
      <c r="P30"/>
      <c r="Q30"/>
    </row>
    <row r="31" spans="1:17" x14ac:dyDescent="0.25">
      <c r="B31" s="67" t="s">
        <v>312</v>
      </c>
      <c r="C31" s="67"/>
      <c r="D31" s="67"/>
      <c r="E31" s="67"/>
      <c r="F31" s="67"/>
      <c r="G31" s="87"/>
      <c r="H31" s="87"/>
    </row>
    <row r="32" spans="1:17" x14ac:dyDescent="0.25">
      <c r="B32" s="67" t="s">
        <v>313</v>
      </c>
      <c r="C32" s="67"/>
      <c r="D32" s="67"/>
      <c r="E32" s="67"/>
      <c r="F32" s="67"/>
      <c r="G32" s="87"/>
      <c r="H32" s="87"/>
    </row>
    <row r="33" spans="2:12" x14ac:dyDescent="0.25">
      <c r="B33" s="67" t="s">
        <v>382</v>
      </c>
      <c r="C33" s="67"/>
      <c r="D33" s="67"/>
      <c r="E33" s="67"/>
      <c r="F33" s="67"/>
      <c r="G33" s="87"/>
      <c r="H33" s="87"/>
    </row>
    <row r="34" spans="2:12" ht="28.15" customHeight="1" x14ac:dyDescent="0.25">
      <c r="B34" s="628" t="s">
        <v>386</v>
      </c>
      <c r="C34" s="628"/>
      <c r="D34" s="628"/>
      <c r="E34" s="628"/>
      <c r="F34" s="628"/>
      <c r="G34" s="628"/>
      <c r="H34" s="628"/>
      <c r="I34" s="628"/>
      <c r="J34" s="628"/>
      <c r="K34" s="628"/>
      <c r="L34" s="628"/>
    </row>
    <row r="35" spans="2:12" x14ac:dyDescent="0.25">
      <c r="B35" s="87"/>
      <c r="C35" s="87"/>
      <c r="D35" s="87"/>
      <c r="E35" s="87"/>
      <c r="F35" s="87"/>
      <c r="G35" s="87"/>
      <c r="H35" s="87"/>
    </row>
    <row r="36" spans="2:12" x14ac:dyDescent="0.25">
      <c r="B36" s="66" t="s">
        <v>398</v>
      </c>
    </row>
  </sheetData>
  <mergeCells count="9">
    <mergeCell ref="B34:L34"/>
    <mergeCell ref="C6:C7"/>
    <mergeCell ref="D6:F6"/>
    <mergeCell ref="G6:I6"/>
    <mergeCell ref="J6:L6"/>
    <mergeCell ref="B7:B8"/>
    <mergeCell ref="D7:F7"/>
    <mergeCell ref="G7:I7"/>
    <mergeCell ref="J7:L7"/>
  </mergeCells>
  <hyperlinks>
    <hyperlink ref="B1" location="Start!A1" display="Back to home page" xr:uid="{26EA6471-2E3C-4E75-A5C7-F286CC993776}"/>
  </hyperlinks>
  <pageMargins left="0.7" right="0.7" top="0.75" bottom="0.75" header="0.3" footer="0.3"/>
  <pageSetup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1A3BF-9415-4286-A83F-9D35D128AD32}">
  <sheetPr>
    <tabColor rgb="FF92D050"/>
  </sheetPr>
  <dimension ref="A1:BW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42" width="12.7109375" style="7" customWidth="1"/>
    <col min="43" max="75" width="8.7109375" style="7"/>
  </cols>
  <sheetData>
    <row r="1" spans="1:75" x14ac:dyDescent="0.25">
      <c r="A1" s="21"/>
      <c r="B1" s="546" t="s">
        <v>432</v>
      </c>
      <c r="C1" s="20"/>
      <c r="D1" s="20"/>
      <c r="E1" s="20"/>
      <c r="G1"/>
      <c r="H1"/>
      <c r="I1"/>
      <c r="J1"/>
      <c r="K1"/>
      <c r="L1"/>
      <c r="M1"/>
      <c r="N1"/>
      <c r="O1"/>
      <c r="P1"/>
      <c r="Q1"/>
      <c r="R1"/>
      <c r="Z1"/>
      <c r="AA1"/>
      <c r="AB1"/>
      <c r="AC1"/>
      <c r="AD1"/>
      <c r="AE1"/>
      <c r="AF1"/>
      <c r="AG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row>
    <row r="2" spans="1:75" x14ac:dyDescent="0.25">
      <c r="A2" s="21"/>
      <c r="G2"/>
      <c r="H2"/>
      <c r="I2"/>
      <c r="J2"/>
      <c r="K2"/>
      <c r="L2"/>
      <c r="M2"/>
      <c r="N2"/>
      <c r="O2"/>
      <c r="P2"/>
      <c r="Q2"/>
      <c r="R2"/>
      <c r="Z2"/>
      <c r="AA2"/>
      <c r="AB2"/>
      <c r="AC2"/>
      <c r="AD2"/>
      <c r="AE2"/>
      <c r="AF2"/>
      <c r="AG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row>
    <row r="3" spans="1:75" x14ac:dyDescent="0.25">
      <c r="A3" s="21"/>
      <c r="G3"/>
      <c r="H3"/>
      <c r="I3"/>
      <c r="J3"/>
      <c r="K3"/>
      <c r="L3"/>
      <c r="M3"/>
      <c r="N3"/>
      <c r="O3"/>
      <c r="P3"/>
      <c r="Q3"/>
      <c r="R3"/>
      <c r="Z3"/>
      <c r="AA3"/>
      <c r="AB3"/>
      <c r="AC3"/>
      <c r="AD3"/>
      <c r="AE3"/>
      <c r="AF3"/>
      <c r="AG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row>
    <row r="4" spans="1:75" x14ac:dyDescent="0.25">
      <c r="A4" s="21"/>
      <c r="G4"/>
      <c r="H4"/>
      <c r="I4"/>
      <c r="J4"/>
      <c r="K4"/>
      <c r="L4"/>
      <c r="M4"/>
      <c r="N4"/>
      <c r="O4"/>
      <c r="P4"/>
      <c r="Q4"/>
      <c r="R4"/>
      <c r="Z4"/>
      <c r="AA4"/>
      <c r="AB4"/>
      <c r="AC4"/>
      <c r="AD4"/>
      <c r="AE4"/>
      <c r="AF4"/>
      <c r="AG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row>
    <row r="5" spans="1:75" ht="15.75" thickBot="1" x14ac:dyDescent="0.3"/>
    <row r="6" spans="1:75" ht="30" customHeight="1" thickTop="1" x14ac:dyDescent="0.3">
      <c r="B6" s="38" t="s">
        <v>387</v>
      </c>
      <c r="C6" s="592" t="s">
        <v>390</v>
      </c>
      <c r="D6" s="592"/>
      <c r="E6" s="592"/>
      <c r="F6" s="592"/>
      <c r="G6" s="585" t="s">
        <v>389</v>
      </c>
      <c r="H6" s="586"/>
      <c r="I6" s="586"/>
      <c r="J6" s="586"/>
      <c r="K6" s="586"/>
      <c r="L6" s="586"/>
      <c r="M6" s="586"/>
      <c r="N6" s="586"/>
      <c r="O6" s="586"/>
      <c r="P6" s="586"/>
      <c r="Q6" s="586"/>
      <c r="R6" s="587"/>
      <c r="S6" s="585" t="s">
        <v>392</v>
      </c>
      <c r="T6" s="586"/>
      <c r="U6" s="586"/>
      <c r="V6" s="586"/>
      <c r="W6" s="586"/>
      <c r="X6" s="586"/>
      <c r="Y6" s="586"/>
      <c r="Z6" s="586"/>
      <c r="AA6" s="586"/>
      <c r="AB6" s="586"/>
      <c r="AC6" s="586"/>
      <c r="AD6" s="587"/>
      <c r="AE6" s="585" t="s">
        <v>399</v>
      </c>
      <c r="AF6" s="586"/>
      <c r="AG6" s="586"/>
      <c r="AH6" s="586"/>
      <c r="AI6" s="586"/>
      <c r="AJ6" s="586"/>
      <c r="AK6" s="586"/>
      <c r="AL6" s="586"/>
      <c r="AM6" s="586"/>
      <c r="AN6" s="586"/>
      <c r="AO6" s="586"/>
      <c r="AP6" s="587"/>
    </row>
    <row r="7" spans="1:75" ht="25.15" customHeight="1" thickBot="1" x14ac:dyDescent="0.3">
      <c r="B7" s="596" t="s">
        <v>353</v>
      </c>
      <c r="C7" s="626" t="s">
        <v>405</v>
      </c>
      <c r="D7" s="588"/>
      <c r="E7" s="588"/>
      <c r="F7" s="629"/>
      <c r="G7" s="630" t="s">
        <v>14</v>
      </c>
      <c r="H7" s="631"/>
      <c r="I7" s="631"/>
      <c r="J7" s="631"/>
      <c r="K7" s="631"/>
      <c r="L7" s="631"/>
      <c r="M7" s="631"/>
      <c r="N7" s="631"/>
      <c r="O7" s="631"/>
      <c r="P7" s="631"/>
      <c r="Q7" s="631"/>
      <c r="R7" s="632"/>
      <c r="S7" s="630" t="s">
        <v>415</v>
      </c>
      <c r="T7" s="631"/>
      <c r="U7" s="631"/>
      <c r="V7" s="631"/>
      <c r="W7" s="631"/>
      <c r="X7" s="631"/>
      <c r="Y7" s="631"/>
      <c r="Z7" s="631"/>
      <c r="AA7" s="631"/>
      <c r="AB7" s="631"/>
      <c r="AC7" s="631"/>
      <c r="AD7" s="632"/>
      <c r="AE7" s="630" t="s">
        <v>0</v>
      </c>
      <c r="AF7" s="631"/>
      <c r="AG7" s="631"/>
      <c r="AH7" s="631"/>
      <c r="AI7" s="631"/>
      <c r="AJ7" s="631"/>
      <c r="AK7" s="631"/>
      <c r="AL7" s="631"/>
      <c r="AM7" s="631"/>
      <c r="AN7" s="631"/>
      <c r="AO7" s="631"/>
      <c r="AP7" s="632"/>
      <c r="AQ7" s="363"/>
      <c r="AR7" s="363"/>
      <c r="AS7" s="363"/>
    </row>
    <row r="8" spans="1:75" ht="34.15" customHeight="1" thickTop="1" thickBot="1" x14ac:dyDescent="0.3">
      <c r="A8" s="13"/>
      <c r="B8" s="619"/>
      <c r="C8" s="633"/>
      <c r="D8" s="633"/>
      <c r="E8" s="633"/>
      <c r="F8" s="633"/>
      <c r="G8" s="618" t="s">
        <v>388</v>
      </c>
      <c r="H8" s="618"/>
      <c r="I8" s="618"/>
      <c r="J8" s="618"/>
      <c r="K8" s="618" t="s">
        <v>394</v>
      </c>
      <c r="L8" s="618"/>
      <c r="M8" s="618"/>
      <c r="N8" s="618"/>
      <c r="O8" s="618" t="s">
        <v>395</v>
      </c>
      <c r="P8" s="618"/>
      <c r="Q8" s="618"/>
      <c r="R8" s="618"/>
      <c r="S8" s="620" t="s">
        <v>391</v>
      </c>
      <c r="T8" s="620"/>
      <c r="U8" s="620"/>
      <c r="V8" s="620"/>
      <c r="W8" s="620" t="s">
        <v>394</v>
      </c>
      <c r="X8" s="620"/>
      <c r="Y8" s="620"/>
      <c r="Z8" s="620"/>
      <c r="AA8" s="620" t="s">
        <v>395</v>
      </c>
      <c r="AB8" s="620"/>
      <c r="AC8" s="620"/>
      <c r="AD8" s="620"/>
      <c r="AE8" s="618" t="s">
        <v>388</v>
      </c>
      <c r="AF8" s="618"/>
      <c r="AG8" s="618"/>
      <c r="AH8" s="618"/>
      <c r="AI8" s="618" t="s">
        <v>394</v>
      </c>
      <c r="AJ8" s="618"/>
      <c r="AK8" s="618"/>
      <c r="AL8" s="618"/>
      <c r="AM8" s="618" t="s">
        <v>395</v>
      </c>
      <c r="AN8" s="618"/>
      <c r="AO8" s="618"/>
      <c r="AP8" s="618"/>
      <c r="AQ8" s="13"/>
      <c r="AR8" s="13"/>
      <c r="AS8" s="13"/>
      <c r="AT8" s="13"/>
      <c r="AU8" s="13"/>
      <c r="AV8" s="13"/>
      <c r="AW8" s="13"/>
    </row>
    <row r="9" spans="1:75" s="17" customFormat="1" ht="34.15" customHeight="1" thickTop="1" thickBot="1" x14ac:dyDescent="0.3">
      <c r="A9" s="16"/>
      <c r="B9" s="345" t="s">
        <v>409</v>
      </c>
      <c r="C9" s="346" t="s">
        <v>334</v>
      </c>
      <c r="D9" s="350" t="s">
        <v>15</v>
      </c>
      <c r="E9" s="347" t="s">
        <v>1</v>
      </c>
      <c r="F9" s="352" t="s">
        <v>2</v>
      </c>
      <c r="G9" s="347" t="s">
        <v>334</v>
      </c>
      <c r="H9" s="350" t="s">
        <v>15</v>
      </c>
      <c r="I9" s="347" t="s">
        <v>1</v>
      </c>
      <c r="J9" s="352" t="s">
        <v>2</v>
      </c>
      <c r="K9" s="347" t="s">
        <v>334</v>
      </c>
      <c r="L9" s="350" t="s">
        <v>15</v>
      </c>
      <c r="M9" s="347" t="s">
        <v>1</v>
      </c>
      <c r="N9" s="352" t="s">
        <v>2</v>
      </c>
      <c r="O9" s="347" t="s">
        <v>334</v>
      </c>
      <c r="P9" s="350" t="s">
        <v>15</v>
      </c>
      <c r="Q9" s="347" t="s">
        <v>1</v>
      </c>
      <c r="R9" s="352" t="s">
        <v>2</v>
      </c>
      <c r="S9" s="347" t="s">
        <v>334</v>
      </c>
      <c r="T9" s="350" t="s">
        <v>15</v>
      </c>
      <c r="U9" s="347" t="s">
        <v>1</v>
      </c>
      <c r="V9" s="352" t="s">
        <v>2</v>
      </c>
      <c r="W9" s="347" t="s">
        <v>334</v>
      </c>
      <c r="X9" s="350" t="s">
        <v>15</v>
      </c>
      <c r="Y9" s="347" t="s">
        <v>1</v>
      </c>
      <c r="Z9" s="352" t="s">
        <v>2</v>
      </c>
      <c r="AA9" s="347" t="s">
        <v>334</v>
      </c>
      <c r="AB9" s="350" t="s">
        <v>15</v>
      </c>
      <c r="AC9" s="347" t="s">
        <v>1</v>
      </c>
      <c r="AD9" s="352" t="s">
        <v>2</v>
      </c>
      <c r="AE9" s="346" t="s">
        <v>334</v>
      </c>
      <c r="AF9" s="350" t="s">
        <v>15</v>
      </c>
      <c r="AG9" s="347" t="s">
        <v>1</v>
      </c>
      <c r="AH9" s="352" t="s">
        <v>2</v>
      </c>
      <c r="AI9" s="347" t="s">
        <v>334</v>
      </c>
      <c r="AJ9" s="350" t="s">
        <v>15</v>
      </c>
      <c r="AK9" s="347" t="s">
        <v>1</v>
      </c>
      <c r="AL9" s="352" t="s">
        <v>2</v>
      </c>
      <c r="AM9" s="347" t="s">
        <v>334</v>
      </c>
      <c r="AN9" s="356" t="s">
        <v>15</v>
      </c>
      <c r="AO9" s="350" t="s">
        <v>1</v>
      </c>
      <c r="AP9" s="359" t="s">
        <v>2</v>
      </c>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row>
    <row r="10" spans="1:75" s="17" customFormat="1" ht="6" customHeight="1" thickTop="1" x14ac:dyDescent="0.25">
      <c r="A10" s="16"/>
      <c r="B10" s="348"/>
      <c r="C10" s="349"/>
      <c r="D10" s="351"/>
      <c r="E10" s="349"/>
      <c r="F10" s="353"/>
      <c r="G10" s="349"/>
      <c r="H10" s="351"/>
      <c r="I10" s="349"/>
      <c r="J10" s="353"/>
      <c r="K10" s="349"/>
      <c r="L10" s="351"/>
      <c r="M10" s="349"/>
      <c r="N10" s="353"/>
      <c r="O10" s="349"/>
      <c r="P10" s="351"/>
      <c r="Q10" s="349"/>
      <c r="R10" s="353"/>
      <c r="S10" s="349"/>
      <c r="T10" s="351"/>
      <c r="U10" s="349"/>
      <c r="V10" s="353"/>
      <c r="W10" s="349"/>
      <c r="X10" s="351"/>
      <c r="Y10" s="349"/>
      <c r="Z10" s="353"/>
      <c r="AA10" s="349"/>
      <c r="AB10" s="351"/>
      <c r="AC10" s="349"/>
      <c r="AD10" s="353"/>
      <c r="AE10" s="360"/>
      <c r="AF10" s="351"/>
      <c r="AG10" s="349"/>
      <c r="AH10" s="353"/>
      <c r="AI10" s="349"/>
      <c r="AJ10" s="351"/>
      <c r="AK10" s="349"/>
      <c r="AL10" s="353"/>
      <c r="AM10" s="349"/>
      <c r="AN10" s="357"/>
      <c r="AO10" s="351"/>
      <c r="AP10" s="361"/>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row>
    <row r="11" spans="1:75" x14ac:dyDescent="0.25">
      <c r="B11" s="89" t="s">
        <v>354</v>
      </c>
      <c r="C11" s="176">
        <v>1135000</v>
      </c>
      <c r="D11" s="122">
        <v>1212000</v>
      </c>
      <c r="E11" s="176">
        <v>1254000</v>
      </c>
      <c r="F11" s="221">
        <v>1502000</v>
      </c>
      <c r="G11" s="176">
        <v>1600</v>
      </c>
      <c r="H11" s="122">
        <v>2095</v>
      </c>
      <c r="I11" s="176">
        <v>2334</v>
      </c>
      <c r="J11" s="221">
        <v>2171</v>
      </c>
      <c r="K11" s="176">
        <v>5333</v>
      </c>
      <c r="L11" s="122">
        <v>6984</v>
      </c>
      <c r="M11" s="176">
        <v>7779</v>
      </c>
      <c r="N11" s="221">
        <v>7237</v>
      </c>
      <c r="O11" s="176">
        <v>2667</v>
      </c>
      <c r="P11" s="122">
        <v>3492</v>
      </c>
      <c r="Q11" s="176">
        <v>3889</v>
      </c>
      <c r="R11" s="221">
        <v>3618</v>
      </c>
      <c r="S11" s="55">
        <f t="shared" ref="S11:V23" si="0">IFERROR(G11*1000/C11,"-")</f>
        <v>1.4096916299559472</v>
      </c>
      <c r="T11" s="125">
        <f t="shared" si="0"/>
        <v>1.7285478547854785</v>
      </c>
      <c r="U11" s="55">
        <f t="shared" si="0"/>
        <v>1.861244019138756</v>
      </c>
      <c r="V11" s="284">
        <f t="shared" si="0"/>
        <v>1.4454061251664447</v>
      </c>
      <c r="W11" s="55">
        <f t="shared" ref="W11:Z23" si="1">IFERROR(K11*1000/C11,"-")</f>
        <v>4.698678414096916</v>
      </c>
      <c r="X11" s="125">
        <f t="shared" si="1"/>
        <v>5.7623762376237622</v>
      </c>
      <c r="Y11" s="55">
        <f t="shared" si="1"/>
        <v>6.2033492822966503</v>
      </c>
      <c r="Z11" s="284">
        <f t="shared" si="1"/>
        <v>4.8182423435419439</v>
      </c>
      <c r="AA11" s="55">
        <f t="shared" ref="AA11:AD23" si="2">IFERROR(O11*1000/C11,"-")</f>
        <v>2.3497797356828194</v>
      </c>
      <c r="AB11" s="125">
        <f t="shared" si="2"/>
        <v>2.8811881188118811</v>
      </c>
      <c r="AC11" s="55">
        <f t="shared" si="2"/>
        <v>3.101275917065391</v>
      </c>
      <c r="AD11" s="284">
        <f t="shared" si="2"/>
        <v>2.4087882822902795</v>
      </c>
      <c r="AE11" s="362">
        <f>G11/$G$25</f>
        <v>4.9124961621123731E-2</v>
      </c>
      <c r="AF11" s="354">
        <f>H11/$H$25</f>
        <v>5.1628961506234902E-2</v>
      </c>
      <c r="AG11" s="344">
        <f>I11/$I$25</f>
        <v>4.5302795031055901E-2</v>
      </c>
      <c r="AH11" s="355">
        <f>J11/$J$25</f>
        <v>4.0502975690752036E-2</v>
      </c>
      <c r="AI11" s="344">
        <f>K11/$K$25</f>
        <v>0.31987763915547024</v>
      </c>
      <c r="AJ11" s="354">
        <f>L11/$L$25</f>
        <v>0.39774021595516879</v>
      </c>
      <c r="AK11" s="344">
        <f>M11/$M$25</f>
        <v>0.38846829930885701</v>
      </c>
      <c r="AL11" s="355">
        <f>N11/$N$25</f>
        <v>0.35039556885415762</v>
      </c>
      <c r="AM11" s="344">
        <f>O11/$O$25</f>
        <v>0.23899991038623533</v>
      </c>
      <c r="AN11" s="358">
        <f>P11/$P$25</f>
        <v>0.29386518555920221</v>
      </c>
      <c r="AO11" s="354">
        <f>Q11/$Q$25</f>
        <v>0.29787071078431371</v>
      </c>
      <c r="AP11" s="58">
        <f>R11/$R$25</f>
        <v>0.26181344525653089</v>
      </c>
    </row>
    <row r="12" spans="1:75" x14ac:dyDescent="0.25">
      <c r="B12" s="103" t="s">
        <v>355</v>
      </c>
      <c r="C12" s="177">
        <v>163000</v>
      </c>
      <c r="D12" s="135">
        <v>185000</v>
      </c>
      <c r="E12" s="136">
        <v>203000</v>
      </c>
      <c r="F12" s="231">
        <v>257000</v>
      </c>
      <c r="G12" s="177">
        <v>230</v>
      </c>
      <c r="H12" s="135">
        <v>320</v>
      </c>
      <c r="I12" s="136">
        <v>378</v>
      </c>
      <c r="J12" s="231">
        <v>372</v>
      </c>
      <c r="K12" s="177">
        <v>766</v>
      </c>
      <c r="L12" s="135">
        <v>1066</v>
      </c>
      <c r="M12" s="136">
        <v>1260</v>
      </c>
      <c r="N12" s="231">
        <v>1239</v>
      </c>
      <c r="O12" s="177">
        <v>383</v>
      </c>
      <c r="P12" s="135">
        <v>533</v>
      </c>
      <c r="Q12" s="136">
        <v>630</v>
      </c>
      <c r="R12" s="231">
        <v>620</v>
      </c>
      <c r="S12" s="73">
        <f t="shared" si="0"/>
        <v>1.4110429447852761</v>
      </c>
      <c r="T12" s="138">
        <f t="shared" si="0"/>
        <v>1.7297297297297298</v>
      </c>
      <c r="U12" s="73">
        <f t="shared" si="0"/>
        <v>1.8620689655172413</v>
      </c>
      <c r="V12" s="285">
        <f t="shared" si="0"/>
        <v>1.4474708171206225</v>
      </c>
      <c r="W12" s="73">
        <f t="shared" si="1"/>
        <v>4.6993865030674851</v>
      </c>
      <c r="X12" s="138">
        <f t="shared" si="1"/>
        <v>5.7621621621621619</v>
      </c>
      <c r="Y12" s="73">
        <f t="shared" si="1"/>
        <v>6.2068965517241379</v>
      </c>
      <c r="Z12" s="285">
        <f t="shared" si="1"/>
        <v>4.8210116731517507</v>
      </c>
      <c r="AA12" s="73">
        <f t="shared" si="2"/>
        <v>2.3496932515337425</v>
      </c>
      <c r="AB12" s="138">
        <f t="shared" si="2"/>
        <v>2.881081081081081</v>
      </c>
      <c r="AC12" s="73">
        <f t="shared" si="2"/>
        <v>3.103448275862069</v>
      </c>
      <c r="AD12" s="285">
        <f t="shared" si="2"/>
        <v>2.4124513618677041</v>
      </c>
      <c r="AE12" s="364">
        <f t="shared" ref="AE12:AE23" si="3">G12/$G$25</f>
        <v>7.061713233036537E-3</v>
      </c>
      <c r="AF12" s="156">
        <f t="shared" ref="AF12:AF23" si="4">H12/$H$25</f>
        <v>7.886046626250677E-3</v>
      </c>
      <c r="AG12" s="365">
        <f t="shared" ref="AG12:AG23" si="5">I12/$I$25</f>
        <v>7.3369565217391306E-3</v>
      </c>
      <c r="AH12" s="158">
        <f t="shared" ref="AH12:AH23" si="6">J12/$J$25</f>
        <v>6.9401690266972628E-3</v>
      </c>
      <c r="AI12" s="365">
        <f t="shared" ref="AI12:AI23" si="7">K12/$K$25</f>
        <v>4.5945297504798463E-2</v>
      </c>
      <c r="AJ12" s="156">
        <f t="shared" ref="AJ12:AJ23" si="8">L12/$L$25</f>
        <v>6.0708916123741401E-2</v>
      </c>
      <c r="AK12" s="365">
        <f t="shared" ref="AK12:AK23" si="9">M12/$M$25</f>
        <v>6.2921976748831446E-2</v>
      </c>
      <c r="AL12" s="158">
        <f t="shared" ref="AL12:AL23" si="10">N12/$N$25</f>
        <v>5.99889608691863E-2</v>
      </c>
      <c r="AM12" s="365">
        <f t="shared" ref="AM12:AM23" si="11">O12/$O$25</f>
        <v>3.4322071870239272E-2</v>
      </c>
      <c r="AN12" s="157">
        <f t="shared" ref="AN12:AN23" si="12">P12/$P$25</f>
        <v>4.4853993099385675E-2</v>
      </c>
      <c r="AO12" s="156">
        <f t="shared" ref="AO12:AO23" si="13">Q12/$Q$25</f>
        <v>4.8253676470588237E-2</v>
      </c>
      <c r="AP12" s="76">
        <f t="shared" ref="AP12:AP23" si="14">R12/$R$25</f>
        <v>4.4865764527100366E-2</v>
      </c>
    </row>
    <row r="13" spans="1:75" x14ac:dyDescent="0.25">
      <c r="B13" s="89" t="s">
        <v>356</v>
      </c>
      <c r="C13" s="176">
        <v>21000</v>
      </c>
      <c r="D13" s="122">
        <v>24000</v>
      </c>
      <c r="E13" s="123">
        <v>26000</v>
      </c>
      <c r="F13" s="221">
        <v>34000</v>
      </c>
      <c r="G13" s="176">
        <v>29</v>
      </c>
      <c r="H13" s="122">
        <v>42</v>
      </c>
      <c r="I13" s="123">
        <v>48</v>
      </c>
      <c r="J13" s="221">
        <v>49</v>
      </c>
      <c r="K13" s="176">
        <v>96</v>
      </c>
      <c r="L13" s="122">
        <v>139</v>
      </c>
      <c r="M13" s="123">
        <v>161</v>
      </c>
      <c r="N13" s="221">
        <v>163</v>
      </c>
      <c r="O13" s="176">
        <v>48</v>
      </c>
      <c r="P13" s="122">
        <v>70</v>
      </c>
      <c r="Q13" s="123">
        <v>81</v>
      </c>
      <c r="R13" s="221">
        <v>81</v>
      </c>
      <c r="S13" s="55">
        <f t="shared" si="0"/>
        <v>1.3809523809523809</v>
      </c>
      <c r="T13" s="125">
        <f t="shared" si="0"/>
        <v>1.75</v>
      </c>
      <c r="U13" s="55">
        <f t="shared" si="0"/>
        <v>1.8461538461538463</v>
      </c>
      <c r="V13" s="284">
        <f t="shared" si="0"/>
        <v>1.4411764705882353</v>
      </c>
      <c r="W13" s="55">
        <f t="shared" si="1"/>
        <v>4.5714285714285712</v>
      </c>
      <c r="X13" s="125">
        <f t="shared" si="1"/>
        <v>5.791666666666667</v>
      </c>
      <c r="Y13" s="55">
        <f t="shared" si="1"/>
        <v>6.1923076923076925</v>
      </c>
      <c r="Z13" s="284">
        <f t="shared" si="1"/>
        <v>4.7941176470588234</v>
      </c>
      <c r="AA13" s="55">
        <f t="shared" si="2"/>
        <v>2.2857142857142856</v>
      </c>
      <c r="AB13" s="125">
        <f t="shared" si="2"/>
        <v>2.9166666666666665</v>
      </c>
      <c r="AC13" s="55">
        <f t="shared" si="2"/>
        <v>3.1153846153846154</v>
      </c>
      <c r="AD13" s="284">
        <f t="shared" si="2"/>
        <v>2.3823529411764706</v>
      </c>
      <c r="AE13" s="362">
        <f t="shared" si="3"/>
        <v>8.9038992938286765E-4</v>
      </c>
      <c r="AF13" s="354">
        <f t="shared" si="4"/>
        <v>1.0350436196954014E-3</v>
      </c>
      <c r="AG13" s="344">
        <f t="shared" si="5"/>
        <v>9.3167701863354035E-4</v>
      </c>
      <c r="AH13" s="355">
        <f t="shared" si="6"/>
        <v>9.1416204921549967E-4</v>
      </c>
      <c r="AI13" s="344">
        <f t="shared" si="7"/>
        <v>5.7581573896353169E-3</v>
      </c>
      <c r="AJ13" s="354">
        <f t="shared" si="8"/>
        <v>7.9160781812383247E-3</v>
      </c>
      <c r="AK13" s="344">
        <f t="shared" si="9"/>
        <v>8.040030362350686E-3</v>
      </c>
      <c r="AL13" s="355">
        <f t="shared" si="10"/>
        <v>7.8920101869873836E-3</v>
      </c>
      <c r="AM13" s="344">
        <f t="shared" si="11"/>
        <v>4.3014607043641902E-3</v>
      </c>
      <c r="AN13" s="358">
        <f t="shared" si="12"/>
        <v>5.8907683244971811E-3</v>
      </c>
      <c r="AO13" s="354">
        <f t="shared" si="13"/>
        <v>6.2040441176470585E-3</v>
      </c>
      <c r="AP13" s="58">
        <f t="shared" si="14"/>
        <v>5.8614950430566611E-3</v>
      </c>
    </row>
    <row r="14" spans="1:75" x14ac:dyDescent="0.25">
      <c r="B14" s="103" t="s">
        <v>329</v>
      </c>
      <c r="C14" s="177">
        <v>922000</v>
      </c>
      <c r="D14" s="135">
        <v>935000</v>
      </c>
      <c r="E14" s="136">
        <v>941000</v>
      </c>
      <c r="F14" s="231">
        <v>930000</v>
      </c>
      <c r="G14" s="177">
        <v>7578</v>
      </c>
      <c r="H14" s="135">
        <v>13023</v>
      </c>
      <c r="I14" s="136">
        <v>16550</v>
      </c>
      <c r="J14" s="231">
        <v>15850</v>
      </c>
      <c r="K14" s="177">
        <v>987</v>
      </c>
      <c r="L14" s="135">
        <v>883</v>
      </c>
      <c r="M14" s="136">
        <v>814</v>
      </c>
      <c r="N14" s="231">
        <v>787</v>
      </c>
      <c r="O14" s="177">
        <v>987</v>
      </c>
      <c r="P14" s="135">
        <v>883</v>
      </c>
      <c r="Q14" s="136">
        <v>814</v>
      </c>
      <c r="R14" s="231">
        <v>787</v>
      </c>
      <c r="S14" s="73">
        <f t="shared" si="0"/>
        <v>8.2190889370932751</v>
      </c>
      <c r="T14" s="138">
        <f t="shared" si="0"/>
        <v>13.928342245989304</v>
      </c>
      <c r="U14" s="73">
        <f t="shared" si="0"/>
        <v>17.587672688629119</v>
      </c>
      <c r="V14" s="285">
        <f t="shared" si="0"/>
        <v>17.043010752688172</v>
      </c>
      <c r="W14" s="73">
        <f t="shared" si="1"/>
        <v>1.0704989154013016</v>
      </c>
      <c r="X14" s="138">
        <f t="shared" si="1"/>
        <v>0.94438502673796787</v>
      </c>
      <c r="Y14" s="73">
        <f t="shared" si="1"/>
        <v>0.86503719447396388</v>
      </c>
      <c r="Z14" s="285">
        <f t="shared" si="1"/>
        <v>0.84623655913978491</v>
      </c>
      <c r="AA14" s="73">
        <f t="shared" si="2"/>
        <v>1.0704989154013016</v>
      </c>
      <c r="AB14" s="138">
        <f t="shared" si="2"/>
        <v>0.94438502673796787</v>
      </c>
      <c r="AC14" s="73">
        <f t="shared" si="2"/>
        <v>0.86503719447396388</v>
      </c>
      <c r="AD14" s="285">
        <f t="shared" si="2"/>
        <v>0.84623655913978491</v>
      </c>
      <c r="AE14" s="364">
        <f t="shared" si="3"/>
        <v>0.23266809947804729</v>
      </c>
      <c r="AF14" s="156">
        <f t="shared" si="4"/>
        <v>0.32093745379269556</v>
      </c>
      <c r="AG14" s="365">
        <f t="shared" si="5"/>
        <v>0.32123447204968947</v>
      </c>
      <c r="AH14" s="158">
        <f t="shared" si="6"/>
        <v>0.29570343836868718</v>
      </c>
      <c r="AI14" s="365">
        <f t="shared" si="7"/>
        <v>5.9201055662188098E-2</v>
      </c>
      <c r="AJ14" s="156">
        <f t="shared" si="8"/>
        <v>5.0287029021823318E-2</v>
      </c>
      <c r="AK14" s="365">
        <f t="shared" si="9"/>
        <v>4.0649594502816508E-2</v>
      </c>
      <c r="AL14" s="158">
        <f t="shared" si="10"/>
        <v>3.8104368203429877E-2</v>
      </c>
      <c r="AM14" s="365">
        <f t="shared" si="11"/>
        <v>8.8448785733488661E-2</v>
      </c>
      <c r="AN14" s="157">
        <f t="shared" si="12"/>
        <v>7.430783472187158E-2</v>
      </c>
      <c r="AO14" s="156">
        <f t="shared" si="13"/>
        <v>6.2346813725490197E-2</v>
      </c>
      <c r="AP14" s="76">
        <f t="shared" si="14"/>
        <v>5.6950575294883857E-2</v>
      </c>
    </row>
    <row r="15" spans="1:75" x14ac:dyDescent="0.25">
      <c r="B15" s="89" t="s">
        <v>328</v>
      </c>
      <c r="C15" s="176">
        <v>201000</v>
      </c>
      <c r="D15" s="122">
        <v>221000</v>
      </c>
      <c r="E15" s="123">
        <v>221000</v>
      </c>
      <c r="F15" s="221">
        <v>248000</v>
      </c>
      <c r="G15" s="176">
        <v>1650</v>
      </c>
      <c r="H15" s="122">
        <v>3075</v>
      </c>
      <c r="I15" s="123">
        <v>3888</v>
      </c>
      <c r="J15" s="221">
        <v>4220</v>
      </c>
      <c r="K15" s="176">
        <v>215</v>
      </c>
      <c r="L15" s="122">
        <v>208</v>
      </c>
      <c r="M15" s="123">
        <v>191</v>
      </c>
      <c r="N15" s="221">
        <v>209</v>
      </c>
      <c r="O15" s="176">
        <v>215</v>
      </c>
      <c r="P15" s="122">
        <v>208</v>
      </c>
      <c r="Q15" s="123">
        <v>191</v>
      </c>
      <c r="R15" s="221">
        <v>209</v>
      </c>
      <c r="S15" s="55">
        <f t="shared" si="0"/>
        <v>8.2089552238805972</v>
      </c>
      <c r="T15" s="125">
        <f t="shared" si="0"/>
        <v>13.914027149321267</v>
      </c>
      <c r="U15" s="55">
        <f t="shared" si="0"/>
        <v>17.592760180995477</v>
      </c>
      <c r="V15" s="284">
        <f t="shared" si="0"/>
        <v>17.016129032258064</v>
      </c>
      <c r="W15" s="55">
        <f t="shared" si="1"/>
        <v>1.0696517412935322</v>
      </c>
      <c r="X15" s="125">
        <f t="shared" si="1"/>
        <v>0.94117647058823528</v>
      </c>
      <c r="Y15" s="55">
        <f t="shared" si="1"/>
        <v>0.86425339366515841</v>
      </c>
      <c r="Z15" s="284">
        <f t="shared" si="1"/>
        <v>0.842741935483871</v>
      </c>
      <c r="AA15" s="55">
        <f t="shared" si="2"/>
        <v>1.0696517412935322</v>
      </c>
      <c r="AB15" s="125">
        <f t="shared" si="2"/>
        <v>0.94117647058823528</v>
      </c>
      <c r="AC15" s="55">
        <f t="shared" si="2"/>
        <v>0.86425339366515841</v>
      </c>
      <c r="AD15" s="284">
        <f t="shared" si="2"/>
        <v>0.842741935483871</v>
      </c>
      <c r="AE15" s="362">
        <f t="shared" si="3"/>
        <v>5.0660116671783849E-2</v>
      </c>
      <c r="AF15" s="354">
        <f t="shared" si="4"/>
        <v>7.5779979299127609E-2</v>
      </c>
      <c r="AG15" s="344">
        <f t="shared" si="5"/>
        <v>7.5465838509316777E-2</v>
      </c>
      <c r="AH15" s="355">
        <f t="shared" si="6"/>
        <v>7.8729874442640999E-2</v>
      </c>
      <c r="AI15" s="344">
        <f t="shared" si="7"/>
        <v>1.2895873320537429E-2</v>
      </c>
      <c r="AJ15" s="354">
        <f t="shared" si="8"/>
        <v>1.1845642170486127E-2</v>
      </c>
      <c r="AK15" s="344">
        <f t="shared" si="9"/>
        <v>9.5381726658942921E-3</v>
      </c>
      <c r="AL15" s="355">
        <f t="shared" si="10"/>
        <v>1.0119203245891797E-2</v>
      </c>
      <c r="AM15" s="344">
        <f t="shared" si="11"/>
        <v>1.9266959404964604E-2</v>
      </c>
      <c r="AN15" s="358">
        <f t="shared" si="12"/>
        <v>1.7503997307077336E-2</v>
      </c>
      <c r="AO15" s="354">
        <f t="shared" si="13"/>
        <v>1.4629289215686275E-2</v>
      </c>
      <c r="AP15" s="58">
        <f t="shared" si="14"/>
        <v>1.5124104493812867E-2</v>
      </c>
    </row>
    <row r="16" spans="1:75" x14ac:dyDescent="0.25">
      <c r="B16" s="103" t="s">
        <v>357</v>
      </c>
      <c r="C16" s="177">
        <v>4000</v>
      </c>
      <c r="D16" s="135">
        <v>5000</v>
      </c>
      <c r="E16" s="136">
        <v>5000</v>
      </c>
      <c r="F16" s="231">
        <v>5000</v>
      </c>
      <c r="G16" s="177">
        <v>37</v>
      </c>
      <c r="H16" s="135">
        <v>66</v>
      </c>
      <c r="I16" s="136">
        <v>87</v>
      </c>
      <c r="J16" s="231">
        <v>82</v>
      </c>
      <c r="K16" s="177">
        <v>5</v>
      </c>
      <c r="L16" s="135">
        <v>5</v>
      </c>
      <c r="M16" s="136">
        <v>4</v>
      </c>
      <c r="N16" s="231">
        <v>4</v>
      </c>
      <c r="O16" s="177">
        <v>5</v>
      </c>
      <c r="P16" s="135">
        <v>5</v>
      </c>
      <c r="Q16" s="136">
        <v>4</v>
      </c>
      <c r="R16" s="231">
        <v>4</v>
      </c>
      <c r="S16" s="73">
        <f t="shared" si="0"/>
        <v>9.25</v>
      </c>
      <c r="T16" s="138">
        <f t="shared" si="0"/>
        <v>13.2</v>
      </c>
      <c r="U16" s="73">
        <f t="shared" si="0"/>
        <v>17.399999999999999</v>
      </c>
      <c r="V16" s="285">
        <f t="shared" si="0"/>
        <v>16.399999999999999</v>
      </c>
      <c r="W16" s="73">
        <f t="shared" si="1"/>
        <v>1.25</v>
      </c>
      <c r="X16" s="138">
        <f t="shared" si="1"/>
        <v>1</v>
      </c>
      <c r="Y16" s="73">
        <f t="shared" si="1"/>
        <v>0.8</v>
      </c>
      <c r="Z16" s="285">
        <f t="shared" si="1"/>
        <v>0.8</v>
      </c>
      <c r="AA16" s="73">
        <f t="shared" si="2"/>
        <v>1.25</v>
      </c>
      <c r="AB16" s="138">
        <f t="shared" si="2"/>
        <v>1</v>
      </c>
      <c r="AC16" s="73">
        <f t="shared" si="2"/>
        <v>0.8</v>
      </c>
      <c r="AD16" s="285">
        <f t="shared" si="2"/>
        <v>0.8</v>
      </c>
      <c r="AE16" s="364">
        <f t="shared" si="3"/>
        <v>1.1360147374884864E-3</v>
      </c>
      <c r="AF16" s="156">
        <f t="shared" si="4"/>
        <v>1.6264971166642024E-3</v>
      </c>
      <c r="AG16" s="365">
        <f t="shared" si="5"/>
        <v>1.6886645962732919E-3</v>
      </c>
      <c r="AH16" s="158">
        <f t="shared" si="6"/>
        <v>1.5298222048096117E-3</v>
      </c>
      <c r="AI16" s="365">
        <f t="shared" si="7"/>
        <v>2.9990403071017272E-4</v>
      </c>
      <c r="AJ16" s="156">
        <f t="shared" si="8"/>
        <v>2.8475101371360883E-4</v>
      </c>
      <c r="AK16" s="365">
        <f t="shared" si="9"/>
        <v>1.9975230713914746E-4</v>
      </c>
      <c r="AL16" s="158">
        <f t="shared" si="10"/>
        <v>1.9366896164386215E-4</v>
      </c>
      <c r="AM16" s="365">
        <f t="shared" si="11"/>
        <v>4.4806882337126985E-4</v>
      </c>
      <c r="AN16" s="157">
        <f t="shared" si="12"/>
        <v>4.207691660355129E-4</v>
      </c>
      <c r="AO16" s="156">
        <f t="shared" si="13"/>
        <v>3.0637254901960784E-4</v>
      </c>
      <c r="AP16" s="76">
        <f t="shared" si="14"/>
        <v>2.894565453361314E-4</v>
      </c>
    </row>
    <row r="17" spans="1:75" x14ac:dyDescent="0.25">
      <c r="B17" s="89" t="s">
        <v>67</v>
      </c>
      <c r="C17" s="176">
        <v>200000</v>
      </c>
      <c r="D17" s="122">
        <v>219000</v>
      </c>
      <c r="E17" s="123">
        <v>228000</v>
      </c>
      <c r="F17" s="221">
        <v>251000</v>
      </c>
      <c r="G17" s="176">
        <v>3244</v>
      </c>
      <c r="H17" s="122">
        <v>4652</v>
      </c>
      <c r="I17" s="123">
        <v>5611</v>
      </c>
      <c r="J17" s="221">
        <v>6538</v>
      </c>
      <c r="K17" s="176">
        <v>1925</v>
      </c>
      <c r="L17" s="122">
        <v>1907</v>
      </c>
      <c r="M17" s="123">
        <v>1891</v>
      </c>
      <c r="N17" s="221">
        <v>2575</v>
      </c>
      <c r="O17" s="176">
        <v>1925</v>
      </c>
      <c r="P17" s="122">
        <v>1907</v>
      </c>
      <c r="Q17" s="123">
        <v>1891</v>
      </c>
      <c r="R17" s="221">
        <v>2575</v>
      </c>
      <c r="S17" s="55">
        <f t="shared" si="0"/>
        <v>16.22</v>
      </c>
      <c r="T17" s="125">
        <f t="shared" si="0"/>
        <v>21.24200913242009</v>
      </c>
      <c r="U17" s="55">
        <f t="shared" si="0"/>
        <v>24.609649122807017</v>
      </c>
      <c r="V17" s="284">
        <f t="shared" si="0"/>
        <v>26.047808764940239</v>
      </c>
      <c r="W17" s="55">
        <f t="shared" si="1"/>
        <v>9.625</v>
      </c>
      <c r="X17" s="125">
        <f t="shared" si="1"/>
        <v>8.7077625570776256</v>
      </c>
      <c r="Y17" s="55">
        <f t="shared" si="1"/>
        <v>8.2938596491228065</v>
      </c>
      <c r="Z17" s="284">
        <f t="shared" si="1"/>
        <v>10.258964143426295</v>
      </c>
      <c r="AA17" s="55">
        <f t="shared" si="2"/>
        <v>9.625</v>
      </c>
      <c r="AB17" s="125">
        <f t="shared" si="2"/>
        <v>8.7077625570776256</v>
      </c>
      <c r="AC17" s="55">
        <f t="shared" si="2"/>
        <v>8.2938596491228065</v>
      </c>
      <c r="AD17" s="284">
        <f t="shared" si="2"/>
        <v>10.258964143426295</v>
      </c>
      <c r="AE17" s="362">
        <f t="shared" si="3"/>
        <v>9.9600859686828372E-2</v>
      </c>
      <c r="AF17" s="354">
        <f t="shared" si="4"/>
        <v>0.11464340282911922</v>
      </c>
      <c r="AG17" s="344">
        <f t="shared" si="5"/>
        <v>0.10890916149068323</v>
      </c>
      <c r="AH17" s="355">
        <f t="shared" si="6"/>
        <v>0.12197533628103953</v>
      </c>
      <c r="AI17" s="344">
        <f t="shared" si="7"/>
        <v>0.11546305182341651</v>
      </c>
      <c r="AJ17" s="354">
        <f t="shared" si="8"/>
        <v>0.1086040366303704</v>
      </c>
      <c r="AK17" s="344">
        <f t="shared" si="9"/>
        <v>9.4432903200031962E-2</v>
      </c>
      <c r="AL17" s="355">
        <f t="shared" si="10"/>
        <v>0.12467439405823626</v>
      </c>
      <c r="AM17" s="344">
        <f t="shared" si="11"/>
        <v>0.17250649699793888</v>
      </c>
      <c r="AN17" s="358">
        <f t="shared" si="12"/>
        <v>0.16048135992594462</v>
      </c>
      <c r="AO17" s="354">
        <f t="shared" si="13"/>
        <v>0.14483762254901961</v>
      </c>
      <c r="AP17" s="58">
        <f t="shared" si="14"/>
        <v>0.18633765106013458</v>
      </c>
    </row>
    <row r="18" spans="1:75" x14ac:dyDescent="0.25">
      <c r="B18" s="103" t="s">
        <v>343</v>
      </c>
      <c r="C18" s="177">
        <v>58000</v>
      </c>
      <c r="D18" s="135">
        <v>59000</v>
      </c>
      <c r="E18" s="136">
        <v>60000</v>
      </c>
      <c r="F18" s="231">
        <v>60000</v>
      </c>
      <c r="G18" s="177">
        <v>4202</v>
      </c>
      <c r="H18" s="135">
        <v>4081</v>
      </c>
      <c r="I18" s="136">
        <v>4337</v>
      </c>
      <c r="J18" s="231">
        <v>4633</v>
      </c>
      <c r="K18" s="177">
        <v>706</v>
      </c>
      <c r="L18" s="135">
        <v>709</v>
      </c>
      <c r="M18" s="136">
        <v>1004</v>
      </c>
      <c r="N18" s="231">
        <v>731</v>
      </c>
      <c r="O18" s="177">
        <v>1411</v>
      </c>
      <c r="P18" s="135">
        <v>1431</v>
      </c>
      <c r="Q18" s="136">
        <v>2075</v>
      </c>
      <c r="R18" s="231">
        <v>1879</v>
      </c>
      <c r="S18" s="73">
        <f t="shared" si="0"/>
        <v>72.448275862068968</v>
      </c>
      <c r="T18" s="138">
        <f t="shared" si="0"/>
        <v>69.169491525423723</v>
      </c>
      <c r="U18" s="73">
        <f t="shared" si="0"/>
        <v>72.283333333333331</v>
      </c>
      <c r="V18" s="285">
        <f t="shared" si="0"/>
        <v>77.216666666666669</v>
      </c>
      <c r="W18" s="73">
        <f t="shared" si="1"/>
        <v>12.172413793103448</v>
      </c>
      <c r="X18" s="138">
        <f t="shared" si="1"/>
        <v>12.016949152542374</v>
      </c>
      <c r="Y18" s="73">
        <f t="shared" si="1"/>
        <v>16.733333333333334</v>
      </c>
      <c r="Z18" s="285">
        <f t="shared" si="1"/>
        <v>12.183333333333334</v>
      </c>
      <c r="AA18" s="73">
        <f t="shared" si="2"/>
        <v>24.327586206896552</v>
      </c>
      <c r="AB18" s="138">
        <f t="shared" si="2"/>
        <v>24.254237288135592</v>
      </c>
      <c r="AC18" s="73">
        <f t="shared" si="2"/>
        <v>34.583333333333336</v>
      </c>
      <c r="AD18" s="285">
        <f t="shared" si="2"/>
        <v>31.316666666666666</v>
      </c>
      <c r="AE18" s="364">
        <f t="shared" si="3"/>
        <v>0.12901443045747621</v>
      </c>
      <c r="AF18" s="156">
        <f t="shared" si="4"/>
        <v>0.10057173838040318</v>
      </c>
      <c r="AG18" s="365">
        <f t="shared" si="5"/>
        <v>8.4180900621118007E-2</v>
      </c>
      <c r="AH18" s="158">
        <f t="shared" si="6"/>
        <v>8.6434954571743064E-2</v>
      </c>
      <c r="AI18" s="365">
        <f t="shared" si="7"/>
        <v>4.2346449136276394E-2</v>
      </c>
      <c r="AJ18" s="156">
        <f t="shared" si="8"/>
        <v>4.0377693744589729E-2</v>
      </c>
      <c r="AK18" s="365">
        <f t="shared" si="9"/>
        <v>5.013782909192601E-2</v>
      </c>
      <c r="AL18" s="158">
        <f t="shared" si="10"/>
        <v>3.5393002740415812E-2</v>
      </c>
      <c r="AM18" s="365">
        <f t="shared" si="11"/>
        <v>0.12644502195537236</v>
      </c>
      <c r="AN18" s="157">
        <f t="shared" si="12"/>
        <v>0.1204241353193638</v>
      </c>
      <c r="AO18" s="156">
        <f t="shared" si="13"/>
        <v>0.15893075980392157</v>
      </c>
      <c r="AP18" s="76">
        <f t="shared" si="14"/>
        <v>0.13597221217164773</v>
      </c>
    </row>
    <row r="19" spans="1:75" x14ac:dyDescent="0.25">
      <c r="B19" s="89" t="s">
        <v>358</v>
      </c>
      <c r="C19" s="176">
        <v>2000</v>
      </c>
      <c r="D19" s="122">
        <v>1000</v>
      </c>
      <c r="E19" s="123">
        <v>3000</v>
      </c>
      <c r="F19" s="221">
        <v>3000</v>
      </c>
      <c r="G19" s="176">
        <v>270</v>
      </c>
      <c r="H19" s="122">
        <v>180</v>
      </c>
      <c r="I19" s="123">
        <v>273</v>
      </c>
      <c r="J19" s="221">
        <v>270</v>
      </c>
      <c r="K19" s="176">
        <v>690</v>
      </c>
      <c r="L19" s="122">
        <v>460</v>
      </c>
      <c r="M19" s="123">
        <v>698</v>
      </c>
      <c r="N19" s="221">
        <v>690</v>
      </c>
      <c r="O19" s="176">
        <v>900</v>
      </c>
      <c r="P19" s="122">
        <v>600</v>
      </c>
      <c r="Q19" s="123">
        <v>911</v>
      </c>
      <c r="R19" s="221">
        <v>900</v>
      </c>
      <c r="S19" s="55">
        <f t="shared" si="0"/>
        <v>135</v>
      </c>
      <c r="T19" s="125">
        <f t="shared" si="0"/>
        <v>180</v>
      </c>
      <c r="U19" s="55">
        <f t="shared" si="0"/>
        <v>91</v>
      </c>
      <c r="V19" s="284">
        <f t="shared" si="0"/>
        <v>90</v>
      </c>
      <c r="W19" s="55">
        <f t="shared" si="1"/>
        <v>345</v>
      </c>
      <c r="X19" s="125">
        <f t="shared" si="1"/>
        <v>460</v>
      </c>
      <c r="Y19" s="55">
        <f t="shared" si="1"/>
        <v>232.66666666666666</v>
      </c>
      <c r="Z19" s="284">
        <f t="shared" si="1"/>
        <v>230</v>
      </c>
      <c r="AA19" s="55">
        <f t="shared" si="2"/>
        <v>450</v>
      </c>
      <c r="AB19" s="125">
        <f t="shared" si="2"/>
        <v>600</v>
      </c>
      <c r="AC19" s="55">
        <f t="shared" si="2"/>
        <v>303.66666666666669</v>
      </c>
      <c r="AD19" s="284">
        <f t="shared" si="2"/>
        <v>300</v>
      </c>
      <c r="AE19" s="362">
        <f t="shared" si="3"/>
        <v>8.2898372735646306E-3</v>
      </c>
      <c r="AF19" s="354">
        <f t="shared" si="4"/>
        <v>4.4359012272660063E-3</v>
      </c>
      <c r="AG19" s="344">
        <f t="shared" si="5"/>
        <v>5.2989130434782606E-3</v>
      </c>
      <c r="AH19" s="355">
        <f t="shared" si="6"/>
        <v>5.0372194548609171E-3</v>
      </c>
      <c r="AI19" s="344">
        <f t="shared" si="7"/>
        <v>4.1386756238003836E-2</v>
      </c>
      <c r="AJ19" s="354">
        <f t="shared" si="8"/>
        <v>2.619709326165201E-2</v>
      </c>
      <c r="AK19" s="344">
        <f t="shared" si="9"/>
        <v>3.4856777595781235E-2</v>
      </c>
      <c r="AL19" s="355">
        <f t="shared" si="10"/>
        <v>3.340789588356622E-2</v>
      </c>
      <c r="AM19" s="344">
        <f t="shared" si="11"/>
        <v>8.0652388206828574E-2</v>
      </c>
      <c r="AN19" s="358">
        <f t="shared" si="12"/>
        <v>5.0492299924261547E-2</v>
      </c>
      <c r="AO19" s="354">
        <f t="shared" si="13"/>
        <v>6.9776348039215688E-2</v>
      </c>
      <c r="AP19" s="58">
        <f t="shared" si="14"/>
        <v>6.5127722700629567E-2</v>
      </c>
    </row>
    <row r="20" spans="1:75" x14ac:dyDescent="0.25">
      <c r="B20" s="103" t="s">
        <v>359</v>
      </c>
      <c r="C20" s="177">
        <v>237000</v>
      </c>
      <c r="D20" s="135">
        <v>284000</v>
      </c>
      <c r="E20" s="136">
        <v>306000</v>
      </c>
      <c r="F20" s="231">
        <v>324000</v>
      </c>
      <c r="G20" s="177">
        <v>12483</v>
      </c>
      <c r="H20" s="135">
        <v>12129</v>
      </c>
      <c r="I20" s="136">
        <v>17137</v>
      </c>
      <c r="J20" s="231">
        <v>18604</v>
      </c>
      <c r="K20" s="177">
        <v>4459</v>
      </c>
      <c r="L20" s="135">
        <v>4101.2</v>
      </c>
      <c r="M20" s="136">
        <v>5198.8</v>
      </c>
      <c r="N20" s="231">
        <v>6017.8</v>
      </c>
      <c r="O20" s="177">
        <v>1711</v>
      </c>
      <c r="P20" s="135">
        <v>2086</v>
      </c>
      <c r="Q20" s="136">
        <v>1947</v>
      </c>
      <c r="R20" s="231">
        <v>2537</v>
      </c>
      <c r="S20" s="73">
        <f t="shared" si="0"/>
        <v>52.670886075949369</v>
      </c>
      <c r="T20" s="138">
        <f t="shared" si="0"/>
        <v>42.70774647887324</v>
      </c>
      <c r="U20" s="73">
        <f t="shared" si="0"/>
        <v>56.003267973856211</v>
      </c>
      <c r="V20" s="285">
        <f t="shared" si="0"/>
        <v>57.419753086419753</v>
      </c>
      <c r="W20" s="73">
        <f t="shared" si="1"/>
        <v>18.814345991561183</v>
      </c>
      <c r="X20" s="138">
        <f t="shared" si="1"/>
        <v>14.440845070422535</v>
      </c>
      <c r="Y20" s="73">
        <f t="shared" si="1"/>
        <v>16.989542483660131</v>
      </c>
      <c r="Z20" s="285">
        <f t="shared" si="1"/>
        <v>18.573456790123458</v>
      </c>
      <c r="AA20" s="73">
        <f t="shared" si="2"/>
        <v>7.2194092827004219</v>
      </c>
      <c r="AB20" s="138">
        <f t="shared" si="2"/>
        <v>7.345070422535211</v>
      </c>
      <c r="AC20" s="73">
        <f t="shared" si="2"/>
        <v>6.3627450980392153</v>
      </c>
      <c r="AD20" s="285">
        <f t="shared" si="2"/>
        <v>7.8302469135802468</v>
      </c>
      <c r="AE20" s="364">
        <f t="shared" si="3"/>
        <v>0.38326680994780471</v>
      </c>
      <c r="AF20" s="156">
        <f t="shared" si="4"/>
        <v>0.2989058110306077</v>
      </c>
      <c r="AG20" s="365">
        <f t="shared" si="5"/>
        <v>0.33262810559006212</v>
      </c>
      <c r="AH20" s="158">
        <f t="shared" si="6"/>
        <v>0.3470830768082685</v>
      </c>
      <c r="AI20" s="365">
        <f t="shared" si="7"/>
        <v>0.26745441458733205</v>
      </c>
      <c r="AJ20" s="156">
        <f t="shared" si="8"/>
        <v>0.23356417148845049</v>
      </c>
      <c r="AK20" s="365">
        <f t="shared" si="9"/>
        <v>0.25961807358874994</v>
      </c>
      <c r="AL20" s="158">
        <f t="shared" si="10"/>
        <v>0.29136526934510842</v>
      </c>
      <c r="AM20" s="365">
        <f t="shared" si="11"/>
        <v>0.15332915135764855</v>
      </c>
      <c r="AN20" s="157">
        <f t="shared" si="12"/>
        <v>0.175544896070016</v>
      </c>
      <c r="AO20" s="156">
        <f t="shared" si="13"/>
        <v>0.14912683823529413</v>
      </c>
      <c r="AP20" s="76">
        <f>R20/$R$25</f>
        <v>0.18358781387944134</v>
      </c>
    </row>
    <row r="21" spans="1:75" x14ac:dyDescent="0.25">
      <c r="B21" s="89" t="s">
        <v>360</v>
      </c>
      <c r="C21" s="176">
        <v>177000</v>
      </c>
      <c r="D21" s="122">
        <v>240000</v>
      </c>
      <c r="E21" s="123">
        <v>235000</v>
      </c>
      <c r="F21" s="221">
        <v>248000</v>
      </c>
      <c r="G21" s="176">
        <v>2883</v>
      </c>
      <c r="H21" s="122">
        <v>5089</v>
      </c>
      <c r="I21" s="123">
        <v>5777</v>
      </c>
      <c r="J21" s="221">
        <v>6444</v>
      </c>
      <c r="K21" s="176">
        <v>1711</v>
      </c>
      <c r="L21" s="122">
        <v>2086</v>
      </c>
      <c r="M21" s="123">
        <v>1947</v>
      </c>
      <c r="N21" s="221">
        <v>2537</v>
      </c>
      <c r="O21" s="176">
        <v>1711</v>
      </c>
      <c r="P21" s="122">
        <v>2086</v>
      </c>
      <c r="Q21" s="123">
        <v>1947</v>
      </c>
      <c r="R21" s="221">
        <v>2537</v>
      </c>
      <c r="S21" s="55">
        <f t="shared" si="0"/>
        <v>16.288135593220339</v>
      </c>
      <c r="T21" s="125">
        <f t="shared" si="0"/>
        <v>21.204166666666666</v>
      </c>
      <c r="U21" s="55">
        <f t="shared" si="0"/>
        <v>24.582978723404256</v>
      </c>
      <c r="V21" s="284">
        <f t="shared" si="0"/>
        <v>25.983870967741936</v>
      </c>
      <c r="W21" s="55">
        <f t="shared" si="1"/>
        <v>9.6666666666666661</v>
      </c>
      <c r="X21" s="125">
        <f t="shared" si="1"/>
        <v>8.6916666666666664</v>
      </c>
      <c r="Y21" s="55">
        <f t="shared" si="1"/>
        <v>8.2851063829787233</v>
      </c>
      <c r="Z21" s="284">
        <f t="shared" si="1"/>
        <v>10.22983870967742</v>
      </c>
      <c r="AA21" s="55">
        <f t="shared" si="2"/>
        <v>9.6666666666666661</v>
      </c>
      <c r="AB21" s="125">
        <f t="shared" si="2"/>
        <v>8.6916666666666664</v>
      </c>
      <c r="AC21" s="55">
        <f t="shared" si="2"/>
        <v>8.2851063829787233</v>
      </c>
      <c r="AD21" s="284">
        <f t="shared" si="2"/>
        <v>10.22983870967742</v>
      </c>
      <c r="AE21" s="362">
        <f t="shared" si="3"/>
        <v>8.8517040221062326E-2</v>
      </c>
      <c r="AF21" s="354">
        <f t="shared" si="4"/>
        <v>0.1254127852530928</v>
      </c>
      <c r="AG21" s="344">
        <f t="shared" si="5"/>
        <v>0.11213121118012423</v>
      </c>
      <c r="AH21" s="355">
        <f t="shared" si="6"/>
        <v>0.12022163765601387</v>
      </c>
      <c r="AI21" s="344">
        <f t="shared" si="7"/>
        <v>0.10262715930902111</v>
      </c>
      <c r="AJ21" s="354">
        <f t="shared" si="8"/>
        <v>0.1187981229213176</v>
      </c>
      <c r="AK21" s="344">
        <f t="shared" si="9"/>
        <v>9.7229435499980033E-2</v>
      </c>
      <c r="AL21" s="355">
        <f t="shared" si="10"/>
        <v>0.12283453892261957</v>
      </c>
      <c r="AM21" s="344">
        <f t="shared" si="11"/>
        <v>0.15332915135764855</v>
      </c>
      <c r="AN21" s="358">
        <f t="shared" si="12"/>
        <v>0.175544896070016</v>
      </c>
      <c r="AO21" s="354">
        <f t="shared" si="13"/>
        <v>0.14912683823529413</v>
      </c>
      <c r="AP21" s="58">
        <f t="shared" si="14"/>
        <v>0.18358781387944134</v>
      </c>
    </row>
    <row r="22" spans="1:75" x14ac:dyDescent="0.25">
      <c r="B22" s="103" t="s">
        <v>361</v>
      </c>
      <c r="C22" s="177">
        <v>60000</v>
      </c>
      <c r="D22" s="135">
        <v>44000</v>
      </c>
      <c r="E22" s="136">
        <v>71000</v>
      </c>
      <c r="F22" s="231">
        <v>76000</v>
      </c>
      <c r="G22" s="177">
        <v>9600</v>
      </c>
      <c r="H22" s="135">
        <v>7040</v>
      </c>
      <c r="I22" s="136">
        <v>11360</v>
      </c>
      <c r="J22" s="231">
        <v>12160</v>
      </c>
      <c r="K22" s="177">
        <v>2748</v>
      </c>
      <c r="L22" s="135">
        <v>2015.1999999999998</v>
      </c>
      <c r="M22" s="136">
        <v>3251.8</v>
      </c>
      <c r="N22" s="231">
        <v>3480.8</v>
      </c>
      <c r="O22" s="177"/>
      <c r="P22" s="135"/>
      <c r="Q22" s="136"/>
      <c r="R22" s="231"/>
      <c r="S22" s="73">
        <f t="shared" si="0"/>
        <v>160</v>
      </c>
      <c r="T22" s="138">
        <f t="shared" si="0"/>
        <v>160</v>
      </c>
      <c r="U22" s="73">
        <f t="shared" si="0"/>
        <v>160</v>
      </c>
      <c r="V22" s="285">
        <f t="shared" si="0"/>
        <v>160</v>
      </c>
      <c r="W22" s="73">
        <f t="shared" si="1"/>
        <v>45.8</v>
      </c>
      <c r="X22" s="138">
        <f t="shared" si="1"/>
        <v>45.8</v>
      </c>
      <c r="Y22" s="73">
        <f t="shared" si="1"/>
        <v>45.8</v>
      </c>
      <c r="Z22" s="285">
        <f t="shared" si="1"/>
        <v>45.8</v>
      </c>
      <c r="AA22" s="73">
        <f t="shared" si="2"/>
        <v>0</v>
      </c>
      <c r="AB22" s="138">
        <f t="shared" si="2"/>
        <v>0</v>
      </c>
      <c r="AC22" s="73">
        <f t="shared" si="2"/>
        <v>0</v>
      </c>
      <c r="AD22" s="285">
        <f t="shared" si="2"/>
        <v>0</v>
      </c>
      <c r="AE22" s="364">
        <f t="shared" si="3"/>
        <v>0.29474976972674238</v>
      </c>
      <c r="AF22" s="156">
        <f t="shared" si="4"/>
        <v>0.17349302577751491</v>
      </c>
      <c r="AG22" s="365">
        <f t="shared" si="5"/>
        <v>0.22049689440993789</v>
      </c>
      <c r="AH22" s="158">
        <f t="shared" si="6"/>
        <v>0.22686143915225462</v>
      </c>
      <c r="AI22" s="365">
        <f t="shared" si="7"/>
        <v>0.16482725527831094</v>
      </c>
      <c r="AJ22" s="156">
        <f t="shared" si="8"/>
        <v>0.11476604856713288</v>
      </c>
      <c r="AK22" s="365">
        <f t="shared" si="9"/>
        <v>0.16238863808876994</v>
      </c>
      <c r="AL22" s="158">
        <f t="shared" si="10"/>
        <v>0.16853073042248887</v>
      </c>
      <c r="AM22" s="365">
        <f t="shared" si="11"/>
        <v>0</v>
      </c>
      <c r="AN22" s="157">
        <f t="shared" si="12"/>
        <v>0</v>
      </c>
      <c r="AO22" s="156">
        <f t="shared" si="13"/>
        <v>0</v>
      </c>
      <c r="AP22" s="76">
        <f t="shared" si="14"/>
        <v>0</v>
      </c>
    </row>
    <row r="23" spans="1:75" x14ac:dyDescent="0.25">
      <c r="B23" s="89" t="s">
        <v>25</v>
      </c>
      <c r="C23" s="176">
        <v>31000</v>
      </c>
      <c r="D23" s="122">
        <v>21000</v>
      </c>
      <c r="E23" s="123">
        <v>21000</v>
      </c>
      <c r="F23" s="221">
        <v>22000</v>
      </c>
      <c r="G23" s="176">
        <v>1247</v>
      </c>
      <c r="H23" s="122">
        <v>915</v>
      </c>
      <c r="I23" s="123">
        <v>877</v>
      </c>
      <c r="J23" s="221">
        <v>812</v>
      </c>
      <c r="K23" s="176">
        <v>1490</v>
      </c>
      <c r="L23" s="122">
        <v>1097</v>
      </c>
      <c r="M23" s="123">
        <v>1024</v>
      </c>
      <c r="N23" s="221">
        <v>1001</v>
      </c>
      <c r="O23" s="176">
        <v>907</v>
      </c>
      <c r="P23" s="122">
        <v>668</v>
      </c>
      <c r="Q23" s="123">
        <v>623</v>
      </c>
      <c r="R23" s="221">
        <v>609</v>
      </c>
      <c r="S23" s="55">
        <f t="shared" si="0"/>
        <v>40.225806451612904</v>
      </c>
      <c r="T23" s="125">
        <f t="shared" si="0"/>
        <v>43.571428571428569</v>
      </c>
      <c r="U23" s="55">
        <f t="shared" si="0"/>
        <v>41.761904761904759</v>
      </c>
      <c r="V23" s="284">
        <f t="shared" si="0"/>
        <v>36.909090909090907</v>
      </c>
      <c r="W23" s="55">
        <f t="shared" si="1"/>
        <v>48.064516129032256</v>
      </c>
      <c r="X23" s="125">
        <f t="shared" si="1"/>
        <v>52.238095238095241</v>
      </c>
      <c r="Y23" s="55">
        <f t="shared" si="1"/>
        <v>48.761904761904759</v>
      </c>
      <c r="Z23" s="284">
        <f t="shared" si="1"/>
        <v>45.5</v>
      </c>
      <c r="AA23" s="55">
        <f t="shared" si="2"/>
        <v>29.258064516129032</v>
      </c>
      <c r="AB23" s="125">
        <f t="shared" si="2"/>
        <v>31.80952380952381</v>
      </c>
      <c r="AC23" s="55">
        <f t="shared" si="2"/>
        <v>29.666666666666668</v>
      </c>
      <c r="AD23" s="284">
        <f t="shared" si="2"/>
        <v>27.681818181818183</v>
      </c>
      <c r="AE23" s="362">
        <f t="shared" si="3"/>
        <v>3.8286766963463309E-2</v>
      </c>
      <c r="AF23" s="354">
        <f t="shared" si="4"/>
        <v>2.254916457193553E-2</v>
      </c>
      <c r="AG23" s="344">
        <f t="shared" si="5"/>
        <v>1.702251552795031E-2</v>
      </c>
      <c r="AH23" s="355">
        <f t="shared" si="6"/>
        <v>1.5148971101285423E-2</v>
      </c>
      <c r="AI23" s="344">
        <f t="shared" si="7"/>
        <v>8.9371401151631474E-2</v>
      </c>
      <c r="AJ23" s="354">
        <f t="shared" si="8"/>
        <v>6.2474372408765771E-2</v>
      </c>
      <c r="AK23" s="344">
        <f t="shared" si="9"/>
        <v>5.1136590627621749E-2</v>
      </c>
      <c r="AL23" s="355">
        <f t="shared" si="10"/>
        <v>4.8465657651376504E-2</v>
      </c>
      <c r="AM23" s="344">
        <f t="shared" si="11"/>
        <v>8.1279684559548343E-2</v>
      </c>
      <c r="AN23" s="358">
        <f t="shared" si="12"/>
        <v>5.6214760582344522E-2</v>
      </c>
      <c r="AO23" s="354">
        <f t="shared" si="13"/>
        <v>4.7717524509803919E-2</v>
      </c>
      <c r="AP23" s="58">
        <f t="shared" si="14"/>
        <v>4.4069759027426006E-2</v>
      </c>
    </row>
    <row r="24" spans="1:75" ht="6" customHeight="1" thickBot="1" x14ac:dyDescent="0.3">
      <c r="B24" s="89"/>
      <c r="C24" s="176"/>
      <c r="D24" s="122"/>
      <c r="E24" s="123"/>
      <c r="F24" s="221"/>
      <c r="G24" s="176"/>
      <c r="H24" s="122"/>
      <c r="I24" s="123"/>
      <c r="J24" s="221"/>
      <c r="K24" s="176"/>
      <c r="L24" s="122"/>
      <c r="M24" s="123"/>
      <c r="N24" s="221"/>
      <c r="O24" s="176"/>
      <c r="P24" s="122"/>
      <c r="Q24" s="123"/>
      <c r="R24" s="221"/>
      <c r="S24" s="124"/>
      <c r="T24" s="125"/>
      <c r="U24" s="125"/>
      <c r="V24" s="125"/>
      <c r="W24" s="125"/>
      <c r="X24" s="125"/>
      <c r="Y24" s="125"/>
      <c r="Z24" s="125"/>
      <c r="AA24" s="125"/>
      <c r="AB24" s="125"/>
      <c r="AC24" s="125"/>
      <c r="AD24" s="553"/>
      <c r="AE24" s="362"/>
      <c r="AF24" s="354"/>
      <c r="AG24" s="344"/>
      <c r="AH24" s="355"/>
      <c r="AI24" s="344"/>
      <c r="AJ24" s="354"/>
      <c r="AK24" s="344"/>
      <c r="AL24" s="355"/>
      <c r="AM24" s="344"/>
      <c r="AN24" s="358"/>
      <c r="AO24" s="354"/>
      <c r="AP24" s="58"/>
    </row>
    <row r="25" spans="1:75" ht="24.95" customHeight="1" thickTop="1" thickBot="1" x14ac:dyDescent="0.3">
      <c r="A25" s="13"/>
      <c r="B25" s="90" t="s">
        <v>13</v>
      </c>
      <c r="C25" s="160">
        <f>SUM(C11:C19,C21:C23)</f>
        <v>2974000</v>
      </c>
      <c r="D25" s="484">
        <f t="shared" ref="D25:R25" si="15">SUM(D11:D19,D21:D23)</f>
        <v>3166000</v>
      </c>
      <c r="E25" s="160">
        <f t="shared" si="15"/>
        <v>3268000</v>
      </c>
      <c r="F25" s="486">
        <f t="shared" si="15"/>
        <v>3636000</v>
      </c>
      <c r="G25" s="160">
        <f t="shared" si="15"/>
        <v>32570</v>
      </c>
      <c r="H25" s="484">
        <f t="shared" si="15"/>
        <v>40578</v>
      </c>
      <c r="I25" s="160">
        <f t="shared" si="15"/>
        <v>51520</v>
      </c>
      <c r="J25" s="486">
        <f t="shared" si="15"/>
        <v>53601</v>
      </c>
      <c r="K25" s="160">
        <f t="shared" si="15"/>
        <v>16672</v>
      </c>
      <c r="L25" s="484">
        <f t="shared" si="15"/>
        <v>17559.2</v>
      </c>
      <c r="M25" s="160">
        <f t="shared" si="15"/>
        <v>20024.8</v>
      </c>
      <c r="N25" s="486">
        <f t="shared" si="15"/>
        <v>20653.8</v>
      </c>
      <c r="O25" s="160">
        <f t="shared" si="15"/>
        <v>11159</v>
      </c>
      <c r="P25" s="484">
        <f t="shared" si="15"/>
        <v>11883</v>
      </c>
      <c r="Q25" s="160">
        <f t="shared" si="15"/>
        <v>13056</v>
      </c>
      <c r="R25" s="486">
        <f t="shared" si="15"/>
        <v>13819</v>
      </c>
      <c r="S25" s="463"/>
      <c r="T25" s="463"/>
      <c r="U25" s="463"/>
      <c r="V25" s="463"/>
      <c r="W25" s="463"/>
      <c r="X25" s="463"/>
      <c r="Y25" s="463"/>
      <c r="Z25" s="463"/>
      <c r="AA25" s="463"/>
      <c r="AB25" s="463"/>
      <c r="AC25" s="463"/>
      <c r="AD25" s="463"/>
      <c r="AE25" s="95">
        <f t="shared" ref="AE25:AP25" si="16">SUM(AE11:AE19,AE21:AE23)</f>
        <v>0.99999999999999989</v>
      </c>
      <c r="AF25" s="468">
        <f t="shared" si="16"/>
        <v>1</v>
      </c>
      <c r="AG25" s="465">
        <f t="shared" si="16"/>
        <v>1</v>
      </c>
      <c r="AH25" s="466">
        <f t="shared" si="16"/>
        <v>1.0000000000000002</v>
      </c>
      <c r="AI25" s="465">
        <f t="shared" si="16"/>
        <v>0.99999999999999989</v>
      </c>
      <c r="AJ25" s="468">
        <f t="shared" si="16"/>
        <v>1.0000000000000002</v>
      </c>
      <c r="AK25" s="465">
        <f t="shared" si="16"/>
        <v>0.99999999999999989</v>
      </c>
      <c r="AL25" s="466">
        <f t="shared" si="16"/>
        <v>1</v>
      </c>
      <c r="AM25" s="465">
        <f t="shared" si="16"/>
        <v>1</v>
      </c>
      <c r="AN25" s="467">
        <f t="shared" si="16"/>
        <v>1</v>
      </c>
      <c r="AO25" s="468">
        <f t="shared" si="16"/>
        <v>1</v>
      </c>
      <c r="AP25" s="65">
        <f t="shared" si="16"/>
        <v>1</v>
      </c>
      <c r="AQ25" s="13"/>
      <c r="AR25" s="13"/>
      <c r="AS25" s="13"/>
      <c r="AT25" s="13"/>
      <c r="AU25" s="13"/>
      <c r="AV25" s="13"/>
      <c r="AW25" s="13"/>
    </row>
    <row r="26" spans="1:75" ht="16.5" customHeight="1" thickTop="1" x14ac:dyDescent="0.25">
      <c r="B26" s="15"/>
      <c r="C26" s="246"/>
      <c r="D26" s="246"/>
      <c r="E26" s="246"/>
      <c r="F26" s="246"/>
      <c r="G26" s="246"/>
      <c r="H26" s="246"/>
      <c r="I26" s="246"/>
      <c r="J26" s="246"/>
      <c r="K26" s="246"/>
      <c r="L26" s="246"/>
      <c r="M26" s="246"/>
      <c r="N26" s="246"/>
      <c r="O26" s="246"/>
      <c r="P26" s="246"/>
      <c r="Q26" s="246"/>
      <c r="R26" s="246"/>
      <c r="S26" s="290"/>
      <c r="T26" s="290"/>
      <c r="U26" s="290"/>
      <c r="V26" s="290"/>
      <c r="W26" s="290"/>
      <c r="X26" s="290"/>
      <c r="Y26" s="290"/>
      <c r="Z26" s="290"/>
      <c r="AA26" s="290"/>
      <c r="AB26" s="290"/>
      <c r="AC26" s="290"/>
      <c r="AD26" s="290"/>
      <c r="AE26" s="290"/>
      <c r="AF26" s="290"/>
      <c r="AG26" s="290"/>
      <c r="AH26" s="290"/>
      <c r="AI26" s="290"/>
      <c r="AJ26" s="290"/>
      <c r="AK26" s="290"/>
      <c r="AL26" s="290"/>
      <c r="AM26" s="290"/>
      <c r="AN26" s="290"/>
      <c r="AO26" s="290"/>
      <c r="AP26" s="290"/>
    </row>
    <row r="28" spans="1:75" x14ac:dyDescent="0.25">
      <c r="B28" s="66" t="s">
        <v>416</v>
      </c>
      <c r="C28" s="67"/>
      <c r="D28" s="67"/>
      <c r="E28" s="67"/>
      <c r="F28" s="67"/>
      <c r="G28" s="67"/>
      <c r="H28" s="67"/>
      <c r="I28" s="67"/>
      <c r="J28" s="67"/>
      <c r="K28" s="67"/>
    </row>
    <row r="29" spans="1:75" x14ac:dyDescent="0.25">
      <c r="A29" s="21"/>
      <c r="B29" s="67" t="s">
        <v>374</v>
      </c>
      <c r="C29" s="67"/>
      <c r="D29" s="67"/>
      <c r="E29" s="67"/>
      <c r="F29" s="67"/>
      <c r="G29" s="68"/>
      <c r="H29" s="68"/>
      <c r="I29" s="68"/>
      <c r="J29" s="68"/>
      <c r="K29" s="68"/>
      <c r="L29"/>
      <c r="M29"/>
      <c r="N29"/>
      <c r="O29"/>
      <c r="P29"/>
      <c r="Q29"/>
      <c r="R29"/>
      <c r="Z29"/>
      <c r="AA29"/>
      <c r="AB29"/>
      <c r="AC29"/>
      <c r="AD29"/>
      <c r="AE29"/>
      <c r="AF29"/>
      <c r="AG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row>
    <row r="30" spans="1:75" x14ac:dyDescent="0.25">
      <c r="A30" s="21"/>
      <c r="B30" s="67" t="s">
        <v>366</v>
      </c>
      <c r="C30" s="67"/>
      <c r="D30" s="67"/>
      <c r="E30" s="67"/>
      <c r="F30" s="67"/>
      <c r="G30" s="68"/>
      <c r="H30" s="68"/>
      <c r="I30" s="68"/>
      <c r="J30" s="68"/>
      <c r="K30" s="68"/>
      <c r="L30"/>
      <c r="M30"/>
      <c r="N30"/>
      <c r="O30"/>
      <c r="P30"/>
      <c r="Q30"/>
      <c r="R30"/>
      <c r="Z30"/>
      <c r="AA30"/>
      <c r="AB30"/>
      <c r="AC30"/>
      <c r="AD30"/>
      <c r="AE30"/>
      <c r="AF30"/>
      <c r="AG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row>
    <row r="31" spans="1:75" x14ac:dyDescent="0.25">
      <c r="A31" s="21"/>
      <c r="B31" s="67"/>
      <c r="C31" s="67"/>
      <c r="D31" s="67"/>
      <c r="E31" s="67"/>
      <c r="F31" s="67"/>
      <c r="G31" s="68"/>
      <c r="H31" s="68"/>
      <c r="I31" s="68"/>
      <c r="J31" s="68"/>
      <c r="K31" s="68"/>
      <c r="L31"/>
      <c r="M31"/>
      <c r="N31"/>
      <c r="O31"/>
      <c r="P31"/>
      <c r="Q31"/>
      <c r="R31"/>
      <c r="Z31"/>
      <c r="AA31"/>
      <c r="AB31"/>
      <c r="AC31"/>
      <c r="AD31"/>
      <c r="AE31"/>
      <c r="AF31"/>
      <c r="AG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row>
    <row r="32" spans="1:75" x14ac:dyDescent="0.25">
      <c r="A32"/>
      <c r="B32" s="66" t="s">
        <v>397</v>
      </c>
      <c r="C32" s="68"/>
      <c r="D32" s="68"/>
      <c r="E32" s="68"/>
      <c r="F32" s="68"/>
      <c r="G32" s="68"/>
      <c r="H32" s="68"/>
      <c r="I32" s="68"/>
      <c r="J32" s="68"/>
      <c r="K32" s="68"/>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row>
    <row r="33" spans="1:75" x14ac:dyDescent="0.25">
      <c r="A33" s="21"/>
      <c r="B33" s="69" t="s">
        <v>362</v>
      </c>
      <c r="C33" s="69"/>
      <c r="D33" s="69"/>
      <c r="E33" s="69"/>
      <c r="F33" s="69"/>
      <c r="G33" s="69"/>
      <c r="H33" s="69"/>
      <c r="I33" s="69"/>
      <c r="J33" s="69"/>
      <c r="K33" s="69"/>
      <c r="L33" s="20"/>
      <c r="M33" s="20"/>
      <c r="N33" s="20"/>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row>
    <row r="34" spans="1:75" x14ac:dyDescent="0.25">
      <c r="B34" s="69" t="s">
        <v>382</v>
      </c>
      <c r="C34" s="67"/>
      <c r="D34" s="67"/>
      <c r="E34" s="67"/>
      <c r="F34" s="67"/>
      <c r="G34" s="67"/>
      <c r="H34" s="67"/>
      <c r="I34" s="67"/>
      <c r="J34" s="67"/>
      <c r="K34" s="67"/>
    </row>
    <row r="36" spans="1:75" x14ac:dyDescent="0.25">
      <c r="B36" s="66" t="s">
        <v>398</v>
      </c>
    </row>
  </sheetData>
  <mergeCells count="19">
    <mergeCell ref="AE8:AH8"/>
    <mergeCell ref="AI8:AL8"/>
    <mergeCell ref="AM8:AP8"/>
    <mergeCell ref="AE7:AP7"/>
    <mergeCell ref="AE6:AP6"/>
    <mergeCell ref="B7:B8"/>
    <mergeCell ref="W8:Z8"/>
    <mergeCell ref="C6:F6"/>
    <mergeCell ref="C7:F7"/>
    <mergeCell ref="G6:R6"/>
    <mergeCell ref="G7:R7"/>
    <mergeCell ref="S7:AD7"/>
    <mergeCell ref="S6:AD6"/>
    <mergeCell ref="C8:F8"/>
    <mergeCell ref="G8:J8"/>
    <mergeCell ref="K8:N8"/>
    <mergeCell ref="O8:R8"/>
    <mergeCell ref="S8:V8"/>
    <mergeCell ref="AA8:AD8"/>
  </mergeCells>
  <hyperlinks>
    <hyperlink ref="B1" location="Start!A1" display="Back to home page" xr:uid="{2733916E-FABE-4F68-97D9-6F6F56C61C7A}"/>
  </hyperlinks>
  <pageMargins left="0.7" right="0.7" top="0.75" bottom="0.75" header="0.3" footer="0.3"/>
  <pageSetup paperSize="9" orientation="portrait" horizontalDpi="4294967293" verticalDpi="0"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8612E-578F-4A8F-8671-E96190C5997B}">
  <sheetPr>
    <tabColor rgb="FF92D050"/>
  </sheetPr>
  <dimension ref="A1:Q44"/>
  <sheetViews>
    <sheetView showGridLines="0" zoomScale="80" zoomScaleNormal="80" workbookViewId="0">
      <pane xSplit="2" ySplit="9" topLeftCell="C22"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288</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172">
        <v>417710</v>
      </c>
      <c r="D11" s="53">
        <v>51378.33</v>
      </c>
      <c r="E11" s="53">
        <v>8354.2000000000007</v>
      </c>
      <c r="F11" s="53">
        <v>5430.23</v>
      </c>
      <c r="G11" s="56">
        <f>IFERROR(D11*1000/C11,"-")</f>
        <v>123</v>
      </c>
      <c r="H11" s="56">
        <f>IFERROR(E11*1000/C11,"-")</f>
        <v>20.000000000000004</v>
      </c>
      <c r="I11" s="56">
        <f>IFERROR(F11*1000/C11,"-")</f>
        <v>13</v>
      </c>
      <c r="J11" s="57">
        <f t="shared" ref="J11:J30" si="0">D11/$D$33</f>
        <v>0.40189912504702208</v>
      </c>
      <c r="K11" s="57">
        <f t="shared" ref="K11:K31" si="1">E11/$E$33</f>
        <v>0.28861238253594873</v>
      </c>
      <c r="L11" s="57">
        <f t="shared" ref="L11:L31" si="2">F11/$F$33</f>
        <v>0.3278269195475576</v>
      </c>
    </row>
    <row r="12" spans="1:17" x14ac:dyDescent="0.25">
      <c r="B12" s="103" t="s">
        <v>27</v>
      </c>
      <c r="C12" s="174">
        <v>114850</v>
      </c>
      <c r="D12" s="71">
        <v>8728.6</v>
      </c>
      <c r="E12" s="71">
        <v>3100.9500000000003</v>
      </c>
      <c r="F12" s="71">
        <v>1607.9</v>
      </c>
      <c r="G12" s="74">
        <f t="shared" ref="G12:G31" si="3">IFERROR(D12*1000/C12,"-")</f>
        <v>76</v>
      </c>
      <c r="H12" s="74">
        <f t="shared" ref="H12:H31" si="4">IFERROR(E12*1000/C12,"-")</f>
        <v>27.000000000000004</v>
      </c>
      <c r="I12" s="74">
        <f t="shared" ref="I12:I31" si="5">IFERROR(F12*1000/C12,"-")</f>
        <v>14</v>
      </c>
      <c r="J12" s="75">
        <f t="shared" si="0"/>
        <v>6.8278137940361958E-2</v>
      </c>
      <c r="K12" s="75">
        <f t="shared" si="1"/>
        <v>0.10712845845501068</v>
      </c>
      <c r="L12" s="75">
        <f t="shared" si="2"/>
        <v>9.7070087996368098E-2</v>
      </c>
    </row>
    <row r="13" spans="1:17" x14ac:dyDescent="0.25">
      <c r="B13" s="89" t="s">
        <v>28</v>
      </c>
      <c r="C13" s="172">
        <v>36150</v>
      </c>
      <c r="D13" s="53">
        <v>2169</v>
      </c>
      <c r="E13" s="53">
        <v>325.34999999999997</v>
      </c>
      <c r="F13" s="53">
        <v>180.75</v>
      </c>
      <c r="G13" s="56">
        <f t="shared" si="3"/>
        <v>60</v>
      </c>
      <c r="H13" s="56">
        <f t="shared" si="4"/>
        <v>8.9999999999999982</v>
      </c>
      <c r="I13" s="56">
        <f t="shared" si="5"/>
        <v>5</v>
      </c>
      <c r="J13" s="57">
        <f t="shared" si="0"/>
        <v>1.6966670622166793E-2</v>
      </c>
      <c r="K13" s="57">
        <f t="shared" si="1"/>
        <v>1.1239860029454752E-2</v>
      </c>
      <c r="L13" s="57">
        <f t="shared" si="2"/>
        <v>1.0912008461560752E-2</v>
      </c>
    </row>
    <row r="14" spans="1:17" x14ac:dyDescent="0.25">
      <c r="B14" s="103" t="s">
        <v>29</v>
      </c>
      <c r="C14" s="174">
        <v>183540</v>
      </c>
      <c r="D14" s="71">
        <v>20556.48</v>
      </c>
      <c r="E14" s="71">
        <v>5506.2</v>
      </c>
      <c r="F14" s="71">
        <v>2386.02</v>
      </c>
      <c r="G14" s="74">
        <f t="shared" si="3"/>
        <v>112</v>
      </c>
      <c r="H14" s="74">
        <f t="shared" si="4"/>
        <v>30</v>
      </c>
      <c r="I14" s="74">
        <f t="shared" si="5"/>
        <v>13</v>
      </c>
      <c r="J14" s="75">
        <f t="shared" si="0"/>
        <v>0.16079991946111538</v>
      </c>
      <c r="K14" s="75">
        <f t="shared" si="1"/>
        <v>0.19022258273915402</v>
      </c>
      <c r="L14" s="75">
        <f t="shared" si="2"/>
        <v>0.14404575617954737</v>
      </c>
    </row>
    <row r="15" spans="1:17" x14ac:dyDescent="0.25">
      <c r="B15" s="89" t="s">
        <v>30</v>
      </c>
      <c r="C15" s="172">
        <v>5000</v>
      </c>
      <c r="D15" s="53">
        <v>225</v>
      </c>
      <c r="E15" s="53">
        <v>50</v>
      </c>
      <c r="F15" s="53">
        <v>20</v>
      </c>
      <c r="G15" s="56">
        <f t="shared" si="3"/>
        <v>45</v>
      </c>
      <c r="H15" s="56">
        <f t="shared" si="4"/>
        <v>10</v>
      </c>
      <c r="I15" s="56">
        <f t="shared" si="5"/>
        <v>4</v>
      </c>
      <c r="J15" s="57">
        <f t="shared" si="0"/>
        <v>1.7600280728388791E-3</v>
      </c>
      <c r="K15" s="57">
        <f t="shared" si="1"/>
        <v>1.7273490132864229E-3</v>
      </c>
      <c r="L15" s="57">
        <f t="shared" si="2"/>
        <v>1.2074144909057542E-3</v>
      </c>
    </row>
    <row r="16" spans="1:17" x14ac:dyDescent="0.25">
      <c r="B16" s="103" t="s">
        <v>31</v>
      </c>
      <c r="C16" s="174">
        <v>124490</v>
      </c>
      <c r="D16" s="71">
        <v>17677.579999999998</v>
      </c>
      <c r="E16" s="71">
        <v>3485.7200000000003</v>
      </c>
      <c r="F16" s="71">
        <v>1742.8600000000001</v>
      </c>
      <c r="G16" s="74">
        <f t="shared" si="3"/>
        <v>141.99999999999997</v>
      </c>
      <c r="H16" s="74">
        <f t="shared" si="4"/>
        <v>28.000000000000004</v>
      </c>
      <c r="I16" s="74">
        <f t="shared" si="5"/>
        <v>14.000000000000002</v>
      </c>
      <c r="J16" s="75">
        <f t="shared" si="0"/>
        <v>0.13828016471046714</v>
      </c>
      <c r="K16" s="75">
        <f t="shared" si="1"/>
        <v>0.12042110005185501</v>
      </c>
      <c r="L16" s="75">
        <f t="shared" si="2"/>
        <v>0.10521772098100013</v>
      </c>
    </row>
    <row r="17" spans="2:12" x14ac:dyDescent="0.25">
      <c r="B17" s="89" t="s">
        <v>32</v>
      </c>
      <c r="C17" s="172">
        <v>118660</v>
      </c>
      <c r="D17" s="53">
        <v>9018.16</v>
      </c>
      <c r="E17" s="53">
        <v>3322.48</v>
      </c>
      <c r="F17" s="53">
        <v>1661.24</v>
      </c>
      <c r="G17" s="56">
        <f t="shared" si="3"/>
        <v>76</v>
      </c>
      <c r="H17" s="56">
        <f t="shared" si="4"/>
        <v>28</v>
      </c>
      <c r="I17" s="56">
        <f t="shared" si="5"/>
        <v>14</v>
      </c>
      <c r="J17" s="57">
        <f t="shared" si="0"/>
        <v>7.0543176734900737E-2</v>
      </c>
      <c r="K17" s="57">
        <f t="shared" si="1"/>
        <v>0.11478165099327749</v>
      </c>
      <c r="L17" s="57">
        <f t="shared" si="2"/>
        <v>0.10029026244361375</v>
      </c>
    </row>
    <row r="18" spans="2:12" x14ac:dyDescent="0.25">
      <c r="B18" s="103" t="s">
        <v>33</v>
      </c>
      <c r="C18" s="174">
        <v>12000</v>
      </c>
      <c r="D18" s="71">
        <v>420</v>
      </c>
      <c r="E18" s="71">
        <v>252</v>
      </c>
      <c r="F18" s="71">
        <v>120</v>
      </c>
      <c r="G18" s="74">
        <f t="shared" si="3"/>
        <v>35</v>
      </c>
      <c r="H18" s="74">
        <f t="shared" si="4"/>
        <v>21</v>
      </c>
      <c r="I18" s="74">
        <f t="shared" si="5"/>
        <v>10</v>
      </c>
      <c r="J18" s="75">
        <f t="shared" si="0"/>
        <v>3.2853857359659076E-3</v>
      </c>
      <c r="K18" s="75">
        <f t="shared" si="1"/>
        <v>8.7058390269635719E-3</v>
      </c>
      <c r="L18" s="75">
        <f t="shared" si="2"/>
        <v>7.2444869454345246E-3</v>
      </c>
    </row>
    <row r="19" spans="2:12" x14ac:dyDescent="0.25">
      <c r="B19" s="89" t="s">
        <v>26</v>
      </c>
      <c r="C19" s="172">
        <v>8260</v>
      </c>
      <c r="D19" s="53">
        <v>792.96</v>
      </c>
      <c r="E19" s="53">
        <v>371.7</v>
      </c>
      <c r="F19" s="53">
        <v>710.36</v>
      </c>
      <c r="G19" s="56">
        <f t="shared" si="3"/>
        <v>96</v>
      </c>
      <c r="H19" s="56">
        <f t="shared" si="4"/>
        <v>45</v>
      </c>
      <c r="I19" s="56">
        <f t="shared" si="5"/>
        <v>86</v>
      </c>
      <c r="J19" s="57">
        <f t="shared" si="0"/>
        <v>6.2028082695036336E-3</v>
      </c>
      <c r="K19" s="57">
        <f t="shared" si="1"/>
        <v>1.2841112564771268E-2</v>
      </c>
      <c r="L19" s="57">
        <f t="shared" si="2"/>
        <v>4.2884947887990577E-2</v>
      </c>
    </row>
    <row r="20" spans="2:12" x14ac:dyDescent="0.25">
      <c r="B20" s="103" t="s">
        <v>34</v>
      </c>
      <c r="C20" s="174">
        <v>21480</v>
      </c>
      <c r="D20" s="71">
        <v>2405.7599999999998</v>
      </c>
      <c r="E20" s="71">
        <v>816.24</v>
      </c>
      <c r="F20" s="71">
        <v>1009.5600000000001</v>
      </c>
      <c r="G20" s="74">
        <f t="shared" si="3"/>
        <v>111.99999999999997</v>
      </c>
      <c r="H20" s="74">
        <f t="shared" si="4"/>
        <v>38</v>
      </c>
      <c r="I20" s="74">
        <f t="shared" si="5"/>
        <v>47.000000000000007</v>
      </c>
      <c r="J20" s="75">
        <f t="shared" si="0"/>
        <v>1.8818689495612717E-2</v>
      </c>
      <c r="K20" s="75">
        <f t="shared" si="1"/>
        <v>2.8198627172098197E-2</v>
      </c>
      <c r="L20" s="75">
        <f t="shared" si="2"/>
        <v>6.0947868671940658E-2</v>
      </c>
    </row>
    <row r="21" spans="2:12" x14ac:dyDescent="0.25">
      <c r="B21" s="89" t="s">
        <v>9</v>
      </c>
      <c r="C21" s="172">
        <v>10000</v>
      </c>
      <c r="D21" s="53">
        <v>750</v>
      </c>
      <c r="E21" s="53">
        <v>450</v>
      </c>
      <c r="F21" s="53">
        <v>480</v>
      </c>
      <c r="G21" s="56">
        <f t="shared" si="3"/>
        <v>75</v>
      </c>
      <c r="H21" s="56">
        <f t="shared" si="4"/>
        <v>45</v>
      </c>
      <c r="I21" s="56">
        <f t="shared" si="5"/>
        <v>48</v>
      </c>
      <c r="J21" s="57">
        <f t="shared" si="0"/>
        <v>5.8667602427962635E-3</v>
      </c>
      <c r="K21" s="57">
        <f t="shared" si="1"/>
        <v>1.5546141119577805E-2</v>
      </c>
      <c r="L21" s="57">
        <f t="shared" si="2"/>
        <v>2.8977947781738098E-2</v>
      </c>
    </row>
    <row r="22" spans="2:12" x14ac:dyDescent="0.25">
      <c r="B22" s="103" t="s">
        <v>35</v>
      </c>
      <c r="C22" s="174">
        <v>4000</v>
      </c>
      <c r="D22" s="71">
        <v>320</v>
      </c>
      <c r="E22" s="71">
        <v>88</v>
      </c>
      <c r="F22" s="71">
        <v>64</v>
      </c>
      <c r="G22" s="74">
        <f t="shared" si="3"/>
        <v>80</v>
      </c>
      <c r="H22" s="74">
        <f t="shared" si="4"/>
        <v>22</v>
      </c>
      <c r="I22" s="74">
        <f t="shared" si="5"/>
        <v>16</v>
      </c>
      <c r="J22" s="75">
        <f t="shared" si="0"/>
        <v>2.5031510369264058E-3</v>
      </c>
      <c r="K22" s="75">
        <f t="shared" si="1"/>
        <v>3.0401342633841043E-3</v>
      </c>
      <c r="L22" s="75">
        <f t="shared" si="2"/>
        <v>3.8637263708984132E-3</v>
      </c>
    </row>
    <row r="23" spans="2:12" x14ac:dyDescent="0.25">
      <c r="B23" s="89" t="s">
        <v>36</v>
      </c>
      <c r="C23" s="172">
        <v>140000</v>
      </c>
      <c r="D23" s="53">
        <v>2800</v>
      </c>
      <c r="E23" s="53">
        <v>420</v>
      </c>
      <c r="F23" s="53">
        <v>280</v>
      </c>
      <c r="G23" s="56">
        <f t="shared" si="3"/>
        <v>20</v>
      </c>
      <c r="H23" s="56">
        <f t="shared" si="4"/>
        <v>3</v>
      </c>
      <c r="I23" s="56">
        <f t="shared" si="5"/>
        <v>2</v>
      </c>
      <c r="J23" s="57">
        <f t="shared" si="0"/>
        <v>2.1902571573106051E-2</v>
      </c>
      <c r="K23" s="57">
        <f t="shared" si="1"/>
        <v>1.4509731711605953E-2</v>
      </c>
      <c r="L23" s="57">
        <f t="shared" si="2"/>
        <v>1.6903802872680559E-2</v>
      </c>
    </row>
    <row r="24" spans="2:12" x14ac:dyDescent="0.25">
      <c r="B24" s="103" t="s">
        <v>37</v>
      </c>
      <c r="C24" s="174">
        <v>14000</v>
      </c>
      <c r="D24" s="71">
        <v>588</v>
      </c>
      <c r="E24" s="71">
        <v>42</v>
      </c>
      <c r="F24" s="71">
        <v>28</v>
      </c>
      <c r="G24" s="74">
        <f t="shared" si="3"/>
        <v>42</v>
      </c>
      <c r="H24" s="74">
        <f t="shared" si="4"/>
        <v>3</v>
      </c>
      <c r="I24" s="74">
        <f t="shared" si="5"/>
        <v>2</v>
      </c>
      <c r="J24" s="75">
        <f t="shared" si="0"/>
        <v>4.5995400303522702E-3</v>
      </c>
      <c r="K24" s="75">
        <f t="shared" si="1"/>
        <v>1.4509731711605952E-3</v>
      </c>
      <c r="L24" s="75">
        <f t="shared" si="2"/>
        <v>1.6903802872680557E-3</v>
      </c>
    </row>
    <row r="25" spans="2:12" x14ac:dyDescent="0.25">
      <c r="B25" s="89" t="s">
        <v>38</v>
      </c>
      <c r="C25" s="172">
        <v>78050</v>
      </c>
      <c r="D25" s="53">
        <v>7805</v>
      </c>
      <c r="E25" s="53">
        <v>1951.25</v>
      </c>
      <c r="F25" s="53">
        <v>624.4</v>
      </c>
      <c r="G25" s="56">
        <f t="shared" si="3"/>
        <v>100</v>
      </c>
      <c r="H25" s="56">
        <f t="shared" si="4"/>
        <v>25</v>
      </c>
      <c r="I25" s="56">
        <f t="shared" si="5"/>
        <v>8</v>
      </c>
      <c r="J25" s="57">
        <f t="shared" si="0"/>
        <v>6.1053418260033111E-2</v>
      </c>
      <c r="K25" s="57">
        <f t="shared" si="1"/>
        <v>6.7409795243502657E-2</v>
      </c>
      <c r="L25" s="57">
        <f t="shared" si="2"/>
        <v>3.769548040607764E-2</v>
      </c>
    </row>
    <row r="26" spans="2:12" x14ac:dyDescent="0.25">
      <c r="B26" s="103" t="s">
        <v>39</v>
      </c>
      <c r="C26" s="174">
        <v>1000</v>
      </c>
      <c r="D26" s="71">
        <v>15</v>
      </c>
      <c r="E26" s="71">
        <v>3</v>
      </c>
      <c r="F26" s="71">
        <v>2</v>
      </c>
      <c r="G26" s="74">
        <f t="shared" si="3"/>
        <v>15</v>
      </c>
      <c r="H26" s="74">
        <f t="shared" si="4"/>
        <v>3</v>
      </c>
      <c r="I26" s="74">
        <f t="shared" si="5"/>
        <v>2</v>
      </c>
      <c r="J26" s="75">
        <f t="shared" si="0"/>
        <v>1.1733520485592526E-4</v>
      </c>
      <c r="K26" s="75">
        <f t="shared" si="1"/>
        <v>1.0364094079718537E-4</v>
      </c>
      <c r="L26" s="75">
        <f t="shared" si="2"/>
        <v>1.2074144909057541E-4</v>
      </c>
    </row>
    <row r="27" spans="2:12" x14ac:dyDescent="0.25">
      <c r="B27" s="89" t="s">
        <v>40</v>
      </c>
      <c r="C27" s="172">
        <v>1000</v>
      </c>
      <c r="D27" s="53">
        <v>50</v>
      </c>
      <c r="E27" s="53">
        <v>5</v>
      </c>
      <c r="F27" s="53">
        <v>4</v>
      </c>
      <c r="G27" s="56">
        <f t="shared" si="3"/>
        <v>50</v>
      </c>
      <c r="H27" s="56">
        <f t="shared" si="4"/>
        <v>5</v>
      </c>
      <c r="I27" s="56">
        <f t="shared" si="5"/>
        <v>4</v>
      </c>
      <c r="J27" s="57">
        <f t="shared" si="0"/>
        <v>3.9111734951975089E-4</v>
      </c>
      <c r="K27" s="57">
        <f t="shared" si="1"/>
        <v>1.727349013286423E-4</v>
      </c>
      <c r="L27" s="57">
        <f t="shared" si="2"/>
        <v>2.4148289818115082E-4</v>
      </c>
    </row>
    <row r="28" spans="2:12" x14ac:dyDescent="0.25">
      <c r="B28" s="103" t="s">
        <v>41</v>
      </c>
      <c r="C28" s="174">
        <v>10000</v>
      </c>
      <c r="D28" s="71">
        <v>1000</v>
      </c>
      <c r="E28" s="71">
        <v>250</v>
      </c>
      <c r="F28" s="71">
        <v>80</v>
      </c>
      <c r="G28" s="74">
        <f t="shared" si="3"/>
        <v>100</v>
      </c>
      <c r="H28" s="74">
        <f t="shared" si="4"/>
        <v>25</v>
      </c>
      <c r="I28" s="74">
        <f t="shared" si="5"/>
        <v>8</v>
      </c>
      <c r="J28" s="75">
        <f t="shared" si="0"/>
        <v>7.8223469903950186E-3</v>
      </c>
      <c r="K28" s="75">
        <f t="shared" si="1"/>
        <v>8.6367450664321145E-3</v>
      </c>
      <c r="L28" s="75">
        <f t="shared" si="2"/>
        <v>4.8296579636230167E-3</v>
      </c>
    </row>
    <row r="29" spans="2:12" x14ac:dyDescent="0.25">
      <c r="B29" s="89" t="s">
        <v>42</v>
      </c>
      <c r="C29" s="172">
        <v>20000</v>
      </c>
      <c r="D29" s="53">
        <v>323</v>
      </c>
      <c r="E29" s="53">
        <v>152</v>
      </c>
      <c r="F29" s="53">
        <v>133</v>
      </c>
      <c r="G29" s="56">
        <f t="shared" si="3"/>
        <v>16.149999999999999</v>
      </c>
      <c r="H29" s="56">
        <f t="shared" si="4"/>
        <v>7.6</v>
      </c>
      <c r="I29" s="56">
        <f t="shared" si="5"/>
        <v>6.65</v>
      </c>
      <c r="J29" s="57">
        <f t="shared" si="0"/>
        <v>2.5266180778975907E-3</v>
      </c>
      <c r="K29" s="57">
        <f t="shared" si="1"/>
        <v>5.2511410003907256E-3</v>
      </c>
      <c r="L29" s="57">
        <f t="shared" si="2"/>
        <v>8.0293063645232639E-3</v>
      </c>
    </row>
    <row r="30" spans="2:12" x14ac:dyDescent="0.25">
      <c r="B30" s="103" t="s">
        <v>10</v>
      </c>
      <c r="C30" s="174">
        <v>522000</v>
      </c>
      <c r="D30" s="71">
        <v>816</v>
      </c>
      <c r="E30" s="71">
        <v>0</v>
      </c>
      <c r="F30" s="71">
        <v>0</v>
      </c>
      <c r="G30" s="74">
        <f t="shared" si="3"/>
        <v>1.5632183908045978</v>
      </c>
      <c r="H30" s="74">
        <f t="shared" si="4"/>
        <v>0</v>
      </c>
      <c r="I30" s="74">
        <f t="shared" si="5"/>
        <v>0</v>
      </c>
      <c r="J30" s="75">
        <f t="shared" si="0"/>
        <v>6.3830351441623344E-3</v>
      </c>
      <c r="K30" s="75">
        <f t="shared" si="1"/>
        <v>0</v>
      </c>
      <c r="L30" s="75">
        <f t="shared" si="2"/>
        <v>0</v>
      </c>
    </row>
    <row r="31" spans="2:12" x14ac:dyDescent="0.25">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1842190</v>
      </c>
      <c r="D33" s="63">
        <f>SUM(D11:D31)</f>
        <v>127838.87000000001</v>
      </c>
      <c r="E33" s="62">
        <f t="shared" ref="E33:F33" si="7">SUM(E11:E31)</f>
        <v>28946.090000000004</v>
      </c>
      <c r="F33" s="102">
        <f t="shared" si="7"/>
        <v>16564.32</v>
      </c>
      <c r="G33" s="94"/>
      <c r="H33" s="94"/>
      <c r="I33" s="94"/>
      <c r="J33" s="95">
        <f t="shared" ref="J33:L33" si="8">SUM(J11:J31)</f>
        <v>1</v>
      </c>
      <c r="K33" s="64">
        <f t="shared" si="8"/>
        <v>1</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290</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81FDB4D9-9F83-4431-9593-D92EA417A9A1}"/>
  </hyperlinks>
  <pageMargins left="0.7" right="0.7" top="0.75" bottom="0.75" header="0.3" footer="0.3"/>
  <pageSetup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6E43-E5E8-4E72-B118-6A0320A31CB9}">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287</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27822</v>
      </c>
      <c r="D11" s="53">
        <v>3338.64</v>
      </c>
      <c r="E11" s="53">
        <v>984.89879999999994</v>
      </c>
      <c r="F11" s="53">
        <v>1363.278</v>
      </c>
      <c r="G11" s="56">
        <f>IFERROR(D11*1000/C11,"-")</f>
        <v>120</v>
      </c>
      <c r="H11" s="56">
        <f>IFERROR(E11*1000/C11,"-")</f>
        <v>35.4</v>
      </c>
      <c r="I11" s="56">
        <f>IFERROR(F11*1000/C11,"-")</f>
        <v>49</v>
      </c>
      <c r="J11" s="57">
        <f t="shared" ref="J11:J30" si="0">D11/$D$33</f>
        <v>0.13165362108323289</v>
      </c>
      <c r="K11" s="57">
        <f t="shared" ref="K11:K31" si="1">E11/$E$33</f>
        <v>0.11621788109800059</v>
      </c>
      <c r="L11" s="57">
        <f t="shared" ref="L11:L31" si="2">F11/$F$33</f>
        <v>0.14169915000341754</v>
      </c>
    </row>
    <row r="12" spans="1:17" x14ac:dyDescent="0.25">
      <c r="B12" s="103" t="s">
        <v>27</v>
      </c>
      <c r="C12" s="71">
        <v>20994</v>
      </c>
      <c r="D12" s="71">
        <v>1574.55</v>
      </c>
      <c r="E12" s="71">
        <v>629.82000000000005</v>
      </c>
      <c r="F12" s="71">
        <v>734.79000000000008</v>
      </c>
      <c r="G12" s="74">
        <f t="shared" ref="G12:G31" si="3">IFERROR(D12*1000/C12,"-")</f>
        <v>75</v>
      </c>
      <c r="H12" s="74">
        <f t="shared" ref="H12:H31" si="4">IFERROR(E12*1000/C12,"-")</f>
        <v>30</v>
      </c>
      <c r="I12" s="74">
        <f t="shared" ref="I12:I31" si="5">IFERROR(F12*1000/C12,"-")</f>
        <v>35.000000000000007</v>
      </c>
      <c r="J12" s="75">
        <f t="shared" si="0"/>
        <v>6.2089715895276024E-2</v>
      </c>
      <c r="K12" s="75">
        <f t="shared" si="1"/>
        <v>7.4318646619472725E-2</v>
      </c>
      <c r="L12" s="75">
        <f t="shared" si="2"/>
        <v>7.6374091293933577E-2</v>
      </c>
    </row>
    <row r="13" spans="1:17" x14ac:dyDescent="0.25">
      <c r="B13" s="89" t="s">
        <v>28</v>
      </c>
      <c r="C13" s="53">
        <v>8214</v>
      </c>
      <c r="D13" s="53">
        <v>616.04999999999995</v>
      </c>
      <c r="E13" s="53">
        <v>197.136</v>
      </c>
      <c r="F13" s="53">
        <v>216.84960000000001</v>
      </c>
      <c r="G13" s="56">
        <f t="shared" si="3"/>
        <v>75</v>
      </c>
      <c r="H13" s="56">
        <f t="shared" si="4"/>
        <v>24</v>
      </c>
      <c r="I13" s="56">
        <f t="shared" si="5"/>
        <v>26.400000000000002</v>
      </c>
      <c r="J13" s="57">
        <f t="shared" si="0"/>
        <v>2.4292889700095133E-2</v>
      </c>
      <c r="K13" s="57">
        <f t="shared" si="1"/>
        <v>2.3262012511473713E-2</v>
      </c>
      <c r="L13" s="57">
        <f t="shared" si="2"/>
        <v>2.253935294091234E-2</v>
      </c>
    </row>
    <row r="14" spans="1:17" x14ac:dyDescent="0.25">
      <c r="B14" s="103" t="s">
        <v>29</v>
      </c>
      <c r="C14" s="71">
        <v>37079</v>
      </c>
      <c r="D14" s="71">
        <v>4264.085</v>
      </c>
      <c r="E14" s="71">
        <v>1631.4759999999999</v>
      </c>
      <c r="F14" s="71">
        <v>1853.95</v>
      </c>
      <c r="G14" s="74">
        <f t="shared" si="3"/>
        <v>115</v>
      </c>
      <c r="H14" s="74">
        <f t="shared" si="4"/>
        <v>44</v>
      </c>
      <c r="I14" s="74">
        <f t="shared" si="5"/>
        <v>50</v>
      </c>
      <c r="J14" s="75">
        <f t="shared" si="0"/>
        <v>0.16814697926601765</v>
      </c>
      <c r="K14" s="75">
        <f t="shared" si="1"/>
        <v>0.19251387430083333</v>
      </c>
      <c r="L14" s="75">
        <f t="shared" si="2"/>
        <v>0.19269961016669818</v>
      </c>
    </row>
    <row r="15" spans="1:17" x14ac:dyDescent="0.25">
      <c r="B15" s="89" t="s">
        <v>30</v>
      </c>
      <c r="C15" s="53">
        <v>4136</v>
      </c>
      <c r="D15" s="53">
        <v>128.21600000000001</v>
      </c>
      <c r="E15" s="53">
        <v>63.280799999999999</v>
      </c>
      <c r="F15" s="53">
        <v>80.238399999999999</v>
      </c>
      <c r="G15" s="56">
        <f t="shared" si="3"/>
        <v>31.000000000000004</v>
      </c>
      <c r="H15" s="56">
        <f t="shared" si="4"/>
        <v>15.3</v>
      </c>
      <c r="I15" s="56">
        <f t="shared" si="5"/>
        <v>19.399999999999999</v>
      </c>
      <c r="J15" s="57">
        <f t="shared" si="0"/>
        <v>5.0559810823592212E-3</v>
      </c>
      <c r="K15" s="57">
        <f t="shared" si="1"/>
        <v>7.4671230081571381E-3</v>
      </c>
      <c r="L15" s="57">
        <f t="shared" si="2"/>
        <v>8.3399813373605507E-3</v>
      </c>
    </row>
    <row r="16" spans="1:17" x14ac:dyDescent="0.25">
      <c r="B16" s="103" t="s">
        <v>31</v>
      </c>
      <c r="C16" s="71">
        <v>3397</v>
      </c>
      <c r="D16" s="71">
        <v>390.65499999999997</v>
      </c>
      <c r="E16" s="71">
        <v>129.08600000000001</v>
      </c>
      <c r="F16" s="71">
        <v>230.99600000000001</v>
      </c>
      <c r="G16" s="74">
        <f t="shared" si="3"/>
        <v>115</v>
      </c>
      <c r="H16" s="74">
        <f t="shared" si="4"/>
        <v>38.000000000000007</v>
      </c>
      <c r="I16" s="74">
        <f t="shared" si="5"/>
        <v>68</v>
      </c>
      <c r="J16" s="75">
        <f t="shared" si="0"/>
        <v>1.5404819131224195E-2</v>
      </c>
      <c r="K16" s="75">
        <f t="shared" si="1"/>
        <v>1.5232124761870464E-2</v>
      </c>
      <c r="L16" s="75">
        <f t="shared" si="2"/>
        <v>2.4009730116813621E-2</v>
      </c>
    </row>
    <row r="17" spans="2:12" x14ac:dyDescent="0.25">
      <c r="B17" s="89" t="s">
        <v>32</v>
      </c>
      <c r="C17" s="53">
        <v>2056</v>
      </c>
      <c r="D17" s="53">
        <v>102.8</v>
      </c>
      <c r="E17" s="53">
        <v>52.633600000000001</v>
      </c>
      <c r="F17" s="53">
        <v>56.128799999999998</v>
      </c>
      <c r="G17" s="56">
        <f t="shared" si="3"/>
        <v>50</v>
      </c>
      <c r="H17" s="56">
        <f t="shared" si="4"/>
        <v>25.599999999999998</v>
      </c>
      <c r="I17" s="56">
        <f t="shared" si="5"/>
        <v>27.299999999999997</v>
      </c>
      <c r="J17" s="57">
        <f t="shared" si="0"/>
        <v>4.0537441135780859E-3</v>
      </c>
      <c r="K17" s="57">
        <f t="shared" si="1"/>
        <v>6.2107553248716765E-3</v>
      </c>
      <c r="L17" s="57">
        <f t="shared" si="2"/>
        <v>5.8340288999835857E-3</v>
      </c>
    </row>
    <row r="18" spans="2:12" x14ac:dyDescent="0.25">
      <c r="B18" s="103" t="s">
        <v>33</v>
      </c>
      <c r="C18" s="71">
        <v>1100</v>
      </c>
      <c r="D18" s="71">
        <v>31.9</v>
      </c>
      <c r="E18" s="71">
        <v>28.16</v>
      </c>
      <c r="F18" s="71">
        <v>30.03</v>
      </c>
      <c r="G18" s="74">
        <f t="shared" si="3"/>
        <v>29</v>
      </c>
      <c r="H18" s="74">
        <f t="shared" si="4"/>
        <v>25.6</v>
      </c>
      <c r="I18" s="74">
        <f t="shared" si="5"/>
        <v>27.3</v>
      </c>
      <c r="J18" s="75">
        <f t="shared" si="0"/>
        <v>1.2579225410811377E-3</v>
      </c>
      <c r="K18" s="75">
        <f t="shared" si="1"/>
        <v>3.3228749306220056E-3</v>
      </c>
      <c r="L18" s="75">
        <f t="shared" si="2"/>
        <v>3.1213189639990001E-3</v>
      </c>
    </row>
    <row r="19" spans="2:12" x14ac:dyDescent="0.25">
      <c r="B19" s="89" t="s">
        <v>26</v>
      </c>
      <c r="C19" s="53">
        <v>2812</v>
      </c>
      <c r="D19" s="53">
        <v>253.08000000000004</v>
      </c>
      <c r="E19" s="53">
        <v>154.66</v>
      </c>
      <c r="F19" s="53">
        <v>284.012</v>
      </c>
      <c r="G19" s="56">
        <f t="shared" si="3"/>
        <v>90.000000000000014</v>
      </c>
      <c r="H19" s="56">
        <f t="shared" si="4"/>
        <v>55</v>
      </c>
      <c r="I19" s="56">
        <f t="shared" si="5"/>
        <v>101</v>
      </c>
      <c r="J19" s="57">
        <f t="shared" si="0"/>
        <v>9.9797817146336787E-3</v>
      </c>
      <c r="K19" s="57">
        <f t="shared" si="1"/>
        <v>1.8249852158025548E-2</v>
      </c>
      <c r="L19" s="57">
        <f t="shared" si="2"/>
        <v>2.9520214505603864E-2</v>
      </c>
    </row>
    <row r="20" spans="2:12" x14ac:dyDescent="0.25">
      <c r="B20" s="103" t="s">
        <v>34</v>
      </c>
      <c r="C20" s="71">
        <v>0</v>
      </c>
      <c r="D20" s="71">
        <v>0</v>
      </c>
      <c r="E20" s="71">
        <v>0</v>
      </c>
      <c r="F20" s="71">
        <v>0</v>
      </c>
      <c r="G20" s="74" t="str">
        <f t="shared" si="3"/>
        <v>-</v>
      </c>
      <c r="H20" s="74" t="str">
        <f t="shared" si="4"/>
        <v>-</v>
      </c>
      <c r="I20" s="74" t="str">
        <f t="shared" si="5"/>
        <v>-</v>
      </c>
      <c r="J20" s="75">
        <f t="shared" si="0"/>
        <v>0</v>
      </c>
      <c r="K20" s="75">
        <f t="shared" si="1"/>
        <v>0</v>
      </c>
      <c r="L20" s="75">
        <f t="shared" si="2"/>
        <v>0</v>
      </c>
    </row>
    <row r="21" spans="2:12" x14ac:dyDescent="0.25">
      <c r="B21" s="89" t="s">
        <v>9</v>
      </c>
      <c r="C21" s="53">
        <v>5200</v>
      </c>
      <c r="D21" s="53">
        <v>431.59999999999997</v>
      </c>
      <c r="E21" s="53">
        <v>218.4</v>
      </c>
      <c r="F21" s="53">
        <v>520</v>
      </c>
      <c r="G21" s="56">
        <f t="shared" si="3"/>
        <v>82.999999999999986</v>
      </c>
      <c r="H21" s="56">
        <f t="shared" si="4"/>
        <v>42</v>
      </c>
      <c r="I21" s="56">
        <f t="shared" si="5"/>
        <v>100</v>
      </c>
      <c r="J21" s="57">
        <f t="shared" si="0"/>
        <v>1.7019415947668304E-2</v>
      </c>
      <c r="K21" s="57">
        <f t="shared" si="1"/>
        <v>2.5771160683517261E-2</v>
      </c>
      <c r="L21" s="57">
        <f t="shared" si="2"/>
        <v>5.4048813229419915E-2</v>
      </c>
    </row>
    <row r="22" spans="2:12" x14ac:dyDescent="0.25">
      <c r="B22" s="103" t="s">
        <v>35</v>
      </c>
      <c r="C22" s="71">
        <v>5780</v>
      </c>
      <c r="D22" s="71">
        <v>578</v>
      </c>
      <c r="E22" s="71">
        <v>219.64000000000001</v>
      </c>
      <c r="F22" s="71">
        <v>289</v>
      </c>
      <c r="G22" s="74">
        <f t="shared" si="3"/>
        <v>100</v>
      </c>
      <c r="H22" s="74">
        <f t="shared" si="4"/>
        <v>38.000000000000007</v>
      </c>
      <c r="I22" s="74">
        <f t="shared" si="5"/>
        <v>50</v>
      </c>
      <c r="J22" s="75">
        <f t="shared" si="0"/>
        <v>2.2792452311752275E-2</v>
      </c>
      <c r="K22" s="75">
        <f t="shared" si="1"/>
        <v>2.5917480460291811E-2</v>
      </c>
      <c r="L22" s="75">
        <f t="shared" si="2"/>
        <v>3.0038667352504531E-2</v>
      </c>
    </row>
    <row r="23" spans="2:12" x14ac:dyDescent="0.25">
      <c r="B23" s="89" t="s">
        <v>36</v>
      </c>
      <c r="C23" s="53">
        <v>25081</v>
      </c>
      <c r="D23" s="53">
        <v>1254.0500000000002</v>
      </c>
      <c r="E23" s="53">
        <v>376.21500000000003</v>
      </c>
      <c r="F23" s="53">
        <v>326.053</v>
      </c>
      <c r="G23" s="56">
        <f t="shared" si="3"/>
        <v>50.000000000000007</v>
      </c>
      <c r="H23" s="56">
        <f t="shared" si="4"/>
        <v>15.000000000000002</v>
      </c>
      <c r="I23" s="56">
        <f t="shared" si="5"/>
        <v>13</v>
      </c>
      <c r="J23" s="57">
        <f t="shared" si="0"/>
        <v>4.9451340521717894E-2</v>
      </c>
      <c r="K23" s="57">
        <f t="shared" si="1"/>
        <v>4.4393302273578052E-2</v>
      </c>
      <c r="L23" s="57">
        <f t="shared" si="2"/>
        <v>3.3889957115177019E-2</v>
      </c>
    </row>
    <row r="24" spans="2:12" x14ac:dyDescent="0.25">
      <c r="B24" s="103" t="s">
        <v>37</v>
      </c>
      <c r="C24" s="71">
        <v>10777</v>
      </c>
      <c r="D24" s="71">
        <v>1239.355</v>
      </c>
      <c r="E24" s="71">
        <v>161.655</v>
      </c>
      <c r="F24" s="71">
        <v>161.655</v>
      </c>
      <c r="G24" s="74">
        <f t="shared" si="3"/>
        <v>115</v>
      </c>
      <c r="H24" s="74">
        <f t="shared" si="4"/>
        <v>15</v>
      </c>
      <c r="I24" s="74">
        <f t="shared" si="5"/>
        <v>15</v>
      </c>
      <c r="J24" s="75">
        <f t="shared" si="0"/>
        <v>4.8871868053342114E-2</v>
      </c>
      <c r="K24" s="75">
        <f t="shared" si="1"/>
        <v>1.9075260898781973E-2</v>
      </c>
      <c r="L24" s="75">
        <f t="shared" si="2"/>
        <v>1.6802424812695917E-2</v>
      </c>
    </row>
    <row r="25" spans="2:12" x14ac:dyDescent="0.25">
      <c r="B25" s="89" t="s">
        <v>38</v>
      </c>
      <c r="C25" s="53">
        <v>29820</v>
      </c>
      <c r="D25" s="53">
        <v>3578.3999999999996</v>
      </c>
      <c r="E25" s="53">
        <v>1192.8000000000002</v>
      </c>
      <c r="F25" s="53">
        <v>1133.1599999999999</v>
      </c>
      <c r="G25" s="56">
        <f t="shared" si="3"/>
        <v>119.99999999999999</v>
      </c>
      <c r="H25" s="56">
        <f t="shared" si="4"/>
        <v>40.000000000000007</v>
      </c>
      <c r="I25" s="56">
        <f t="shared" si="5"/>
        <v>37.999999999999993</v>
      </c>
      <c r="J25" s="57">
        <f t="shared" si="0"/>
        <v>0.14110815112867531</v>
      </c>
      <c r="K25" s="57">
        <f t="shared" si="1"/>
        <v>0.14075018527151736</v>
      </c>
      <c r="L25" s="57">
        <f t="shared" si="2"/>
        <v>0.11778067922894127</v>
      </c>
    </row>
    <row r="26" spans="2:12" x14ac:dyDescent="0.25">
      <c r="B26" s="103" t="s">
        <v>39</v>
      </c>
      <c r="C26" s="71">
        <v>0</v>
      </c>
      <c r="D26" s="71">
        <v>0</v>
      </c>
      <c r="E26" s="71">
        <v>0</v>
      </c>
      <c r="F26" s="71">
        <v>0</v>
      </c>
      <c r="G26" s="74" t="str">
        <f t="shared" si="3"/>
        <v>-</v>
      </c>
      <c r="H26" s="74" t="str">
        <f t="shared" si="4"/>
        <v>-</v>
      </c>
      <c r="I26" s="74" t="str">
        <f t="shared" si="5"/>
        <v>-</v>
      </c>
      <c r="J26" s="75">
        <f t="shared" si="0"/>
        <v>0</v>
      </c>
      <c r="K26" s="75">
        <f t="shared" si="1"/>
        <v>0</v>
      </c>
      <c r="L26" s="75">
        <f t="shared" si="2"/>
        <v>0</v>
      </c>
    </row>
    <row r="27" spans="2:12" x14ac:dyDescent="0.25">
      <c r="B27" s="89" t="s">
        <v>40</v>
      </c>
      <c r="C27" s="53">
        <v>0</v>
      </c>
      <c r="D27" s="53">
        <v>0</v>
      </c>
      <c r="E27" s="53">
        <v>0</v>
      </c>
      <c r="F27" s="53">
        <v>0</v>
      </c>
      <c r="G27" s="56" t="str">
        <f t="shared" si="3"/>
        <v>-</v>
      </c>
      <c r="H27" s="56" t="str">
        <f t="shared" si="4"/>
        <v>-</v>
      </c>
      <c r="I27" s="56" t="str">
        <f t="shared" si="5"/>
        <v>-</v>
      </c>
      <c r="J27" s="57">
        <f t="shared" si="0"/>
        <v>0</v>
      </c>
      <c r="K27" s="57">
        <f t="shared" si="1"/>
        <v>0</v>
      </c>
      <c r="L27" s="57">
        <f t="shared" si="2"/>
        <v>0</v>
      </c>
    </row>
    <row r="28" spans="2:12" x14ac:dyDescent="0.25">
      <c r="B28" s="103" t="s">
        <v>41</v>
      </c>
      <c r="C28" s="71">
        <v>0</v>
      </c>
      <c r="D28" s="71">
        <v>0</v>
      </c>
      <c r="E28" s="71">
        <v>0</v>
      </c>
      <c r="F28" s="71">
        <v>0</v>
      </c>
      <c r="G28" s="74" t="str">
        <f t="shared" si="3"/>
        <v>-</v>
      </c>
      <c r="H28" s="74" t="str">
        <f t="shared" si="4"/>
        <v>-</v>
      </c>
      <c r="I28" s="74" t="str">
        <f t="shared" si="5"/>
        <v>-</v>
      </c>
      <c r="J28" s="75">
        <f t="shared" si="0"/>
        <v>0</v>
      </c>
      <c r="K28" s="75">
        <f t="shared" si="1"/>
        <v>0</v>
      </c>
      <c r="L28" s="75">
        <f t="shared" si="2"/>
        <v>0</v>
      </c>
    </row>
    <row r="29" spans="2:12" x14ac:dyDescent="0.25">
      <c r="B29" s="89" t="s">
        <v>42</v>
      </c>
      <c r="C29" s="53">
        <v>27783</v>
      </c>
      <c r="D29" s="53">
        <v>602.89110000000005</v>
      </c>
      <c r="E29" s="53">
        <v>444.52799999999996</v>
      </c>
      <c r="F29" s="53">
        <v>666.79200000000003</v>
      </c>
      <c r="G29" s="56">
        <f t="shared" si="3"/>
        <v>21.700000000000003</v>
      </c>
      <c r="H29" s="56">
        <f t="shared" si="4"/>
        <v>15.999999999999998</v>
      </c>
      <c r="I29" s="56">
        <f t="shared" si="5"/>
        <v>24</v>
      </c>
      <c r="J29" s="57">
        <f t="shared" si="0"/>
        <v>2.3773990736902895E-2</v>
      </c>
      <c r="K29" s="57">
        <f t="shared" si="1"/>
        <v>5.2454223975835899E-2</v>
      </c>
      <c r="L29" s="57">
        <f t="shared" si="2"/>
        <v>6.9306377443983394E-2</v>
      </c>
    </row>
    <row r="30" spans="2:12" x14ac:dyDescent="0.25">
      <c r="B30" s="103" t="s">
        <v>10</v>
      </c>
      <c r="C30" s="71">
        <v>277237</v>
      </c>
      <c r="D30" s="71">
        <v>6975</v>
      </c>
      <c r="E30" s="71">
        <v>1990.2</v>
      </c>
      <c r="F30" s="71">
        <v>1674</v>
      </c>
      <c r="G30" s="74">
        <f t="shared" si="3"/>
        <v>25.158979501293118</v>
      </c>
      <c r="H30" s="74">
        <f t="shared" si="4"/>
        <v>7.1786954843689692</v>
      </c>
      <c r="I30" s="74">
        <f t="shared" si="5"/>
        <v>6.0381550803103483</v>
      </c>
      <c r="J30" s="75">
        <f t="shared" si="0"/>
        <v>0.27504732677244309</v>
      </c>
      <c r="K30" s="75">
        <f t="shared" si="1"/>
        <v>0.23484324172315044</v>
      </c>
      <c r="L30" s="75">
        <f t="shared" si="2"/>
        <v>0.17399560258855565</v>
      </c>
    </row>
    <row r="31" spans="2:12" x14ac:dyDescent="0.25">
      <c r="B31" s="89" t="s">
        <v>43</v>
      </c>
      <c r="C31" s="53">
        <v>0</v>
      </c>
      <c r="D31" s="53">
        <v>0</v>
      </c>
      <c r="E31" s="53">
        <v>0</v>
      </c>
      <c r="F31" s="53">
        <v>0</v>
      </c>
      <c r="G31" s="56" t="str">
        <f t="shared" si="3"/>
        <v>-</v>
      </c>
      <c r="H31" s="56" t="str">
        <f t="shared" si="4"/>
        <v>-</v>
      </c>
      <c r="I31" s="56" t="str">
        <f t="shared" si="5"/>
        <v>-</v>
      </c>
      <c r="J31" s="57">
        <f>D31/$D$33</f>
        <v>0</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489288</v>
      </c>
      <c r="D33" s="63">
        <f>SUM(D11:D31)</f>
        <v>25359.272100000002</v>
      </c>
      <c r="E33" s="62">
        <f t="shared" ref="E33:F33" si="7">SUM(E11:E31)</f>
        <v>8474.5892000000003</v>
      </c>
      <c r="F33" s="102">
        <f t="shared" si="7"/>
        <v>9620.9328000000005</v>
      </c>
      <c r="G33" s="94"/>
      <c r="H33" s="94"/>
      <c r="I33" s="94"/>
      <c r="J33" s="95">
        <f t="shared" ref="J33:L33" si="8">SUM(J11:J31)</f>
        <v>0.99999999999999978</v>
      </c>
      <c r="K33" s="64">
        <f t="shared" si="8"/>
        <v>1.0000000000000002</v>
      </c>
      <c r="L33" s="65">
        <f t="shared" si="8"/>
        <v>0.99999999999999989</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289</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8AE77FAE-CBB2-417D-BEA1-79828F09F096}"/>
  </hyperlinks>
  <pageMargins left="0.7" right="0.7" top="0.75" bottom="0.75" header="0.3" footer="0.3"/>
  <pageSetup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3712D-B708-4677-9AE5-A90B637F3352}">
  <sheetPr>
    <tabColor rgb="FF92D050"/>
  </sheetPr>
  <dimension ref="A1:AY42"/>
  <sheetViews>
    <sheetView showGridLines="0" zoomScale="80" zoomScaleNormal="80" workbookViewId="0">
      <pane xSplit="2" ySplit="9" topLeftCell="C13"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customWidth="1"/>
    <col min="2" max="2" width="45.7109375" style="7" customWidth="1"/>
    <col min="3" max="22" width="12.7109375" style="7" customWidth="1"/>
    <col min="23" max="51" width="8.7109375" style="7"/>
  </cols>
  <sheetData>
    <row r="1" spans="1:51" x14ac:dyDescent="0.25">
      <c r="A1" s="21"/>
      <c r="B1" s="546" t="s">
        <v>432</v>
      </c>
      <c r="E1"/>
      <c r="F1"/>
      <c r="G1"/>
      <c r="H1"/>
      <c r="I1"/>
      <c r="J1"/>
      <c r="R1"/>
      <c r="S1"/>
      <c r="T1"/>
      <c r="U1"/>
      <c r="V1"/>
      <c r="W1"/>
      <c r="Y1"/>
      <c r="Z1"/>
      <c r="AA1"/>
      <c r="AB1"/>
      <c r="AC1"/>
      <c r="AD1"/>
      <c r="AE1"/>
      <c r="AF1"/>
      <c r="AG1"/>
      <c r="AH1"/>
      <c r="AI1"/>
      <c r="AJ1"/>
      <c r="AK1"/>
      <c r="AL1"/>
      <c r="AM1"/>
      <c r="AN1"/>
      <c r="AO1"/>
      <c r="AP1"/>
      <c r="AQ1"/>
      <c r="AR1"/>
      <c r="AS1"/>
      <c r="AT1"/>
      <c r="AU1"/>
      <c r="AV1"/>
      <c r="AW1"/>
      <c r="AX1"/>
      <c r="AY1"/>
    </row>
    <row r="2" spans="1:51" x14ac:dyDescent="0.25">
      <c r="A2" s="21"/>
      <c r="E2"/>
      <c r="F2"/>
      <c r="G2"/>
      <c r="H2"/>
      <c r="I2"/>
      <c r="J2"/>
      <c r="R2"/>
      <c r="S2"/>
      <c r="T2"/>
      <c r="U2"/>
      <c r="V2"/>
      <c r="W2"/>
      <c r="Y2"/>
      <c r="Z2"/>
      <c r="AA2"/>
      <c r="AB2"/>
      <c r="AC2"/>
      <c r="AD2"/>
      <c r="AE2"/>
      <c r="AF2"/>
      <c r="AG2"/>
      <c r="AH2"/>
      <c r="AI2"/>
      <c r="AJ2"/>
      <c r="AK2"/>
      <c r="AL2"/>
      <c r="AM2"/>
      <c r="AN2"/>
      <c r="AO2"/>
      <c r="AP2"/>
      <c r="AQ2"/>
      <c r="AR2"/>
      <c r="AS2"/>
      <c r="AT2"/>
      <c r="AU2"/>
      <c r="AV2"/>
      <c r="AW2"/>
      <c r="AX2"/>
      <c r="AY2"/>
    </row>
    <row r="3" spans="1:51" x14ac:dyDescent="0.25">
      <c r="A3" s="21"/>
      <c r="E3"/>
      <c r="F3"/>
      <c r="G3"/>
      <c r="H3"/>
      <c r="I3"/>
      <c r="J3"/>
      <c r="R3"/>
      <c r="S3"/>
      <c r="T3"/>
      <c r="U3"/>
      <c r="V3"/>
      <c r="W3"/>
      <c r="Y3"/>
      <c r="Z3"/>
      <c r="AA3"/>
      <c r="AB3"/>
      <c r="AC3"/>
      <c r="AD3"/>
      <c r="AE3"/>
      <c r="AF3"/>
      <c r="AG3"/>
      <c r="AH3"/>
      <c r="AI3"/>
      <c r="AJ3"/>
      <c r="AK3"/>
      <c r="AL3"/>
      <c r="AM3"/>
      <c r="AN3"/>
      <c r="AO3"/>
      <c r="AP3"/>
      <c r="AQ3"/>
      <c r="AR3"/>
      <c r="AS3"/>
      <c r="AT3"/>
      <c r="AU3"/>
      <c r="AV3"/>
      <c r="AW3"/>
      <c r="AX3"/>
      <c r="AY3"/>
    </row>
    <row r="4" spans="1:51" x14ac:dyDescent="0.25">
      <c r="A4" s="21"/>
      <c r="E4"/>
      <c r="F4"/>
      <c r="G4"/>
      <c r="H4"/>
      <c r="I4"/>
      <c r="J4"/>
      <c r="R4"/>
      <c r="S4"/>
      <c r="T4"/>
      <c r="U4"/>
      <c r="V4"/>
      <c r="W4"/>
      <c r="Y4"/>
      <c r="Z4"/>
      <c r="AA4"/>
      <c r="AB4"/>
      <c r="AC4"/>
      <c r="AD4"/>
      <c r="AE4"/>
      <c r="AF4"/>
      <c r="AG4"/>
      <c r="AH4"/>
      <c r="AI4"/>
      <c r="AJ4"/>
      <c r="AK4"/>
      <c r="AL4"/>
      <c r="AM4"/>
      <c r="AN4"/>
      <c r="AO4"/>
      <c r="AP4"/>
      <c r="AQ4"/>
      <c r="AR4"/>
      <c r="AS4"/>
      <c r="AT4"/>
      <c r="AU4"/>
      <c r="AV4"/>
      <c r="AW4"/>
      <c r="AX4"/>
      <c r="AY4"/>
    </row>
    <row r="5" spans="1:51" ht="15.75" thickBot="1" x14ac:dyDescent="0.3">
      <c r="J5"/>
      <c r="T5" s="18"/>
      <c r="U5" s="19"/>
      <c r="V5" s="19"/>
      <c r="W5" s="20"/>
      <c r="AA5"/>
      <c r="AB5"/>
      <c r="AC5"/>
      <c r="AD5"/>
      <c r="AE5"/>
      <c r="AF5"/>
      <c r="AG5"/>
      <c r="AH5"/>
      <c r="AI5"/>
      <c r="AJ5"/>
      <c r="AK5"/>
      <c r="AL5"/>
      <c r="AM5"/>
      <c r="AN5"/>
      <c r="AO5"/>
      <c r="AP5"/>
      <c r="AQ5"/>
      <c r="AR5"/>
      <c r="AS5"/>
      <c r="AT5"/>
      <c r="AU5"/>
      <c r="AV5"/>
      <c r="AW5"/>
      <c r="AX5"/>
      <c r="AY5"/>
    </row>
    <row r="6" spans="1:51" ht="30" customHeight="1" thickTop="1" x14ac:dyDescent="0.3">
      <c r="B6" s="38" t="s">
        <v>387</v>
      </c>
      <c r="C6" s="592" t="s">
        <v>390</v>
      </c>
      <c r="D6" s="592"/>
      <c r="E6" s="592" t="s">
        <v>389</v>
      </c>
      <c r="F6" s="592"/>
      <c r="G6" s="592"/>
      <c r="H6" s="592"/>
      <c r="I6" s="592"/>
      <c r="J6" s="592"/>
      <c r="K6" s="589" t="s">
        <v>392</v>
      </c>
      <c r="L6" s="589"/>
      <c r="M6" s="589"/>
      <c r="N6" s="589"/>
      <c r="O6" s="589"/>
      <c r="P6" s="589"/>
      <c r="Q6" s="589" t="s">
        <v>414</v>
      </c>
      <c r="R6" s="589"/>
      <c r="S6" s="589"/>
      <c r="T6" s="589"/>
      <c r="U6" s="589"/>
      <c r="V6" s="589"/>
      <c r="W6" s="35"/>
    </row>
    <row r="7" spans="1:51" ht="25.15" customHeight="1" thickBot="1" x14ac:dyDescent="0.3">
      <c r="B7" s="596" t="s">
        <v>185</v>
      </c>
      <c r="C7" s="593" t="s">
        <v>405</v>
      </c>
      <c r="D7" s="593"/>
      <c r="E7" s="591" t="s">
        <v>14</v>
      </c>
      <c r="F7" s="591"/>
      <c r="G7" s="591"/>
      <c r="H7" s="591"/>
      <c r="I7" s="591"/>
      <c r="J7" s="591"/>
      <c r="K7" s="593" t="s">
        <v>415</v>
      </c>
      <c r="L7" s="593"/>
      <c r="M7" s="593"/>
      <c r="N7" s="593"/>
      <c r="O7" s="593"/>
      <c r="P7" s="593"/>
      <c r="Q7" s="591" t="s">
        <v>0</v>
      </c>
      <c r="R7" s="591"/>
      <c r="S7" s="591"/>
      <c r="T7" s="591"/>
      <c r="U7" s="591"/>
      <c r="V7" s="591"/>
      <c r="W7" s="35"/>
    </row>
    <row r="8" spans="1:51" ht="34.15" customHeight="1" thickTop="1" thickBot="1" x14ac:dyDescent="0.3">
      <c r="B8" s="596"/>
      <c r="C8" s="624"/>
      <c r="D8" s="624"/>
      <c r="E8" s="618" t="s">
        <v>388</v>
      </c>
      <c r="F8" s="618"/>
      <c r="G8" s="618" t="s">
        <v>394</v>
      </c>
      <c r="H8" s="618"/>
      <c r="I8" s="618" t="s">
        <v>395</v>
      </c>
      <c r="J8" s="618"/>
      <c r="K8" s="620" t="s">
        <v>388</v>
      </c>
      <c r="L8" s="620"/>
      <c r="M8" s="620" t="s">
        <v>394</v>
      </c>
      <c r="N8" s="620"/>
      <c r="O8" s="620" t="s">
        <v>395</v>
      </c>
      <c r="P8" s="620"/>
      <c r="Q8" s="618" t="s">
        <v>388</v>
      </c>
      <c r="R8" s="618"/>
      <c r="S8" s="618" t="s">
        <v>394</v>
      </c>
      <c r="T8" s="618"/>
      <c r="U8" s="618" t="s">
        <v>395</v>
      </c>
      <c r="V8" s="618"/>
      <c r="W8" s="35"/>
    </row>
    <row r="9" spans="1:51" ht="34.15" customHeight="1" thickTop="1" thickBot="1" x14ac:dyDescent="0.3">
      <c r="B9" s="328" t="s">
        <v>393</v>
      </c>
      <c r="C9" s="50">
        <v>2017</v>
      </c>
      <c r="D9" s="110">
        <v>2018</v>
      </c>
      <c r="E9" s="50">
        <v>2017</v>
      </c>
      <c r="F9" s="110">
        <v>2018</v>
      </c>
      <c r="G9" s="51">
        <v>2017</v>
      </c>
      <c r="H9" s="110">
        <v>2018</v>
      </c>
      <c r="I9" s="51">
        <v>2017</v>
      </c>
      <c r="J9" s="110">
        <v>2018</v>
      </c>
      <c r="K9" s="51">
        <v>2017</v>
      </c>
      <c r="L9" s="109">
        <v>2018</v>
      </c>
      <c r="M9" s="108">
        <v>2017</v>
      </c>
      <c r="N9" s="110">
        <v>2018</v>
      </c>
      <c r="O9" s="51">
        <v>2017</v>
      </c>
      <c r="P9" s="109">
        <v>2018</v>
      </c>
      <c r="Q9" s="108" t="s">
        <v>1</v>
      </c>
      <c r="R9" s="110" t="s">
        <v>2</v>
      </c>
      <c r="S9" s="51" t="s">
        <v>1</v>
      </c>
      <c r="T9" s="110" t="s">
        <v>2</v>
      </c>
      <c r="U9" s="51" t="s">
        <v>1</v>
      </c>
      <c r="V9" s="110" t="s">
        <v>2</v>
      </c>
      <c r="W9" s="35"/>
    </row>
    <row r="10" spans="1:51" ht="6" customHeight="1" thickTop="1" x14ac:dyDescent="0.25">
      <c r="B10" s="326"/>
      <c r="C10" s="330"/>
      <c r="D10" s="331"/>
      <c r="E10" s="46"/>
      <c r="F10" s="332"/>
      <c r="G10" s="46"/>
      <c r="H10" s="332"/>
      <c r="I10" s="46"/>
      <c r="J10" s="334"/>
      <c r="K10" s="329"/>
      <c r="L10" s="340"/>
      <c r="M10" s="394"/>
      <c r="N10" s="332"/>
      <c r="O10" s="46"/>
      <c r="P10" s="340"/>
      <c r="Q10" s="394"/>
      <c r="R10" s="332"/>
      <c r="S10" s="46"/>
      <c r="T10" s="332"/>
      <c r="U10" s="46"/>
      <c r="V10" s="332"/>
      <c r="W10" s="35"/>
    </row>
    <row r="11" spans="1:51" x14ac:dyDescent="0.25">
      <c r="B11" s="366" t="s">
        <v>3</v>
      </c>
      <c r="C11" s="220">
        <v>491600</v>
      </c>
      <c r="D11" s="221">
        <v>508350</v>
      </c>
      <c r="E11" s="220">
        <v>14748</v>
      </c>
      <c r="F11" s="221">
        <v>15251</v>
      </c>
      <c r="G11" s="220">
        <v>19300</v>
      </c>
      <c r="H11" s="221">
        <v>19300</v>
      </c>
      <c r="I11" s="54">
        <v>2458</v>
      </c>
      <c r="J11" s="221">
        <v>2542</v>
      </c>
      <c r="K11" s="335">
        <f t="shared" ref="K11:L26" si="0">IFERROR(E11*1000/C11,"-")</f>
        <v>30</v>
      </c>
      <c r="L11" s="302">
        <f t="shared" si="0"/>
        <v>30.000983574309039</v>
      </c>
      <c r="M11" s="335">
        <f t="shared" ref="M11:N26" si="1">IFERROR(G11*1000/C11,"-")</f>
        <v>39.259560618388932</v>
      </c>
      <c r="N11" s="284">
        <f t="shared" si="1"/>
        <v>37.965968328907252</v>
      </c>
      <c r="O11" s="55">
        <f t="shared" ref="O11:P26" si="2">IFERROR(I11*1000/C11,"-")</f>
        <v>5</v>
      </c>
      <c r="P11" s="302">
        <f t="shared" si="2"/>
        <v>5.0004917871545196</v>
      </c>
      <c r="Q11" s="395">
        <f t="shared" ref="Q11:Q26" si="3">E11/$E$28</f>
        <v>3.1381928367152388E-2</v>
      </c>
      <c r="R11" s="301">
        <f t="shared" ref="R11:R26" si="4">F11/$F$28</f>
        <v>3.9985946844463556E-2</v>
      </c>
      <c r="S11" s="289">
        <f t="shared" ref="S11:S26" si="5">G11/$G$28</f>
        <v>7.2071130097725464E-2</v>
      </c>
      <c r="T11" s="301">
        <f t="shared" ref="T11:T26" si="6">H11/$H$28</f>
        <v>7.7513153138680263E-2</v>
      </c>
      <c r="U11" s="289">
        <f t="shared" ref="U11:U26" si="7">I11/$I$28</f>
        <v>1.8067019970745835E-2</v>
      </c>
      <c r="V11" s="301">
        <f t="shared" ref="V11:V26" si="8">J11/$J$28</f>
        <v>1.9200410897857137E-2</v>
      </c>
      <c r="W11" s="35"/>
    </row>
    <row r="12" spans="1:51" x14ac:dyDescent="0.25">
      <c r="B12" s="368" t="s">
        <v>67</v>
      </c>
      <c r="C12" s="230">
        <v>2628600</v>
      </c>
      <c r="D12" s="231">
        <v>2318850</v>
      </c>
      <c r="E12" s="230">
        <v>319597</v>
      </c>
      <c r="F12" s="231">
        <v>231885</v>
      </c>
      <c r="G12" s="230">
        <v>122400</v>
      </c>
      <c r="H12" s="231">
        <v>104348</v>
      </c>
      <c r="I12" s="72">
        <v>26286</v>
      </c>
      <c r="J12" s="231">
        <v>23189</v>
      </c>
      <c r="K12" s="153">
        <f t="shared" si="0"/>
        <v>121.58449364680818</v>
      </c>
      <c r="L12" s="154">
        <f t="shared" si="0"/>
        <v>100</v>
      </c>
      <c r="M12" s="153">
        <f t="shared" si="1"/>
        <v>46.564711253138555</v>
      </c>
      <c r="N12" s="285">
        <f t="shared" si="1"/>
        <v>44.999892187937988</v>
      </c>
      <c r="O12" s="73">
        <f t="shared" si="2"/>
        <v>10</v>
      </c>
      <c r="P12" s="154">
        <f t="shared" si="2"/>
        <v>10.000215624124028</v>
      </c>
      <c r="Q12" s="555">
        <f t="shared" si="3"/>
        <v>0.68006307027100643</v>
      </c>
      <c r="R12" s="307">
        <f t="shared" si="4"/>
        <v>0.60796939768070501</v>
      </c>
      <c r="S12" s="308">
        <f t="shared" si="5"/>
        <v>0.45707286652650764</v>
      </c>
      <c r="T12" s="307">
        <f t="shared" si="6"/>
        <v>0.41908510381943048</v>
      </c>
      <c r="U12" s="308">
        <f t="shared" si="7"/>
        <v>0.19320979941050651</v>
      </c>
      <c r="V12" s="307">
        <f t="shared" si="8"/>
        <v>0.17515276487427583</v>
      </c>
      <c r="W12" s="35"/>
    </row>
    <row r="13" spans="1:51" x14ac:dyDescent="0.25">
      <c r="B13" s="366" t="s">
        <v>5</v>
      </c>
      <c r="C13" s="220">
        <v>133730</v>
      </c>
      <c r="D13" s="221">
        <v>147800</v>
      </c>
      <c r="E13" s="220">
        <v>5070</v>
      </c>
      <c r="F13" s="221">
        <v>5154</v>
      </c>
      <c r="G13" s="220">
        <v>5200</v>
      </c>
      <c r="H13" s="221">
        <v>5200</v>
      </c>
      <c r="I13" s="54">
        <v>881</v>
      </c>
      <c r="J13" s="241">
        <v>883</v>
      </c>
      <c r="K13" s="335">
        <f t="shared" si="0"/>
        <v>37.912211171764</v>
      </c>
      <c r="L13" s="302">
        <f t="shared" si="0"/>
        <v>34.871447902571042</v>
      </c>
      <c r="M13" s="335">
        <f t="shared" si="1"/>
        <v>38.884319150527183</v>
      </c>
      <c r="N13" s="284">
        <f t="shared" si="1"/>
        <v>35.182679296346414</v>
      </c>
      <c r="O13" s="55">
        <f t="shared" si="2"/>
        <v>6.5879009945412399</v>
      </c>
      <c r="P13" s="302">
        <f t="shared" si="2"/>
        <v>5.974289580514208</v>
      </c>
      <c r="Q13" s="395">
        <f t="shared" si="3"/>
        <v>1.0788335830042217E-2</v>
      </c>
      <c r="R13" s="301">
        <f t="shared" si="4"/>
        <v>1.3513052916947424E-2</v>
      </c>
      <c r="S13" s="289">
        <f t="shared" si="5"/>
        <v>1.9418128316485619E-2</v>
      </c>
      <c r="T13" s="301">
        <f t="shared" si="6"/>
        <v>2.0884372866380174E-2</v>
      </c>
      <c r="U13" s="289">
        <f t="shared" si="7"/>
        <v>6.4756080529809112E-3</v>
      </c>
      <c r="V13" s="301">
        <f t="shared" si="8"/>
        <v>6.6695369090510829E-3</v>
      </c>
      <c r="W13" s="35"/>
    </row>
    <row r="14" spans="1:51" x14ac:dyDescent="0.25">
      <c r="B14" s="368" t="s">
        <v>6</v>
      </c>
      <c r="C14" s="230">
        <v>573950</v>
      </c>
      <c r="D14" s="231">
        <v>787200</v>
      </c>
      <c r="E14" s="230">
        <v>5740</v>
      </c>
      <c r="F14" s="231">
        <v>7872</v>
      </c>
      <c r="G14" s="230">
        <v>13000</v>
      </c>
      <c r="H14" s="231">
        <v>13000</v>
      </c>
      <c r="I14" s="72">
        <v>4592</v>
      </c>
      <c r="J14" s="231">
        <v>6298</v>
      </c>
      <c r="K14" s="153">
        <f t="shared" si="0"/>
        <v>10.000871156024044</v>
      </c>
      <c r="L14" s="154">
        <f t="shared" si="0"/>
        <v>10</v>
      </c>
      <c r="M14" s="153">
        <f t="shared" si="1"/>
        <v>22.650056625141563</v>
      </c>
      <c r="N14" s="285">
        <f t="shared" si="1"/>
        <v>16.514227642276424</v>
      </c>
      <c r="O14" s="73">
        <f t="shared" si="2"/>
        <v>8.0006969248192359</v>
      </c>
      <c r="P14" s="154">
        <f t="shared" si="2"/>
        <v>8.0005081300813004</v>
      </c>
      <c r="Q14" s="555">
        <f t="shared" si="3"/>
        <v>1.2214013346043851E-2</v>
      </c>
      <c r="R14" s="307">
        <f t="shared" si="4"/>
        <v>2.063926126546568E-2</v>
      </c>
      <c r="S14" s="308">
        <f t="shared" si="5"/>
        <v>4.8545320791214042E-2</v>
      </c>
      <c r="T14" s="307">
        <f t="shared" si="6"/>
        <v>5.2210932165950442E-2</v>
      </c>
      <c r="U14" s="308">
        <f t="shared" si="7"/>
        <v>3.37525450389198E-2</v>
      </c>
      <c r="V14" s="307">
        <f t="shared" si="8"/>
        <v>4.7570490886980427E-2</v>
      </c>
      <c r="W14" s="35"/>
    </row>
    <row r="15" spans="1:51" x14ac:dyDescent="0.25">
      <c r="B15" s="366" t="s">
        <v>56</v>
      </c>
      <c r="C15" s="220">
        <v>84000</v>
      </c>
      <c r="D15" s="221">
        <v>77000</v>
      </c>
      <c r="E15" s="220">
        <v>1260</v>
      </c>
      <c r="F15" s="221">
        <v>1155</v>
      </c>
      <c r="G15" s="220">
        <v>1600</v>
      </c>
      <c r="H15" s="221">
        <v>1600</v>
      </c>
      <c r="I15" s="54">
        <v>168</v>
      </c>
      <c r="J15" s="241">
        <v>154</v>
      </c>
      <c r="K15" s="335">
        <f t="shared" si="0"/>
        <v>15</v>
      </c>
      <c r="L15" s="302">
        <f t="shared" si="0"/>
        <v>15</v>
      </c>
      <c r="M15" s="335">
        <f t="shared" si="1"/>
        <v>19.047619047619047</v>
      </c>
      <c r="N15" s="284">
        <f t="shared" si="1"/>
        <v>20.779220779220779</v>
      </c>
      <c r="O15" s="55">
        <f t="shared" si="2"/>
        <v>2</v>
      </c>
      <c r="P15" s="302">
        <f t="shared" si="2"/>
        <v>2</v>
      </c>
      <c r="Q15" s="395">
        <f t="shared" si="3"/>
        <v>2.681124880838894E-3</v>
      </c>
      <c r="R15" s="301">
        <f t="shared" si="4"/>
        <v>3.0282452695138289E-3</v>
      </c>
      <c r="S15" s="289">
        <f t="shared" si="5"/>
        <v>5.9748087127648054E-3</v>
      </c>
      <c r="T15" s="301">
        <f t="shared" si="6"/>
        <v>6.4259608819631307E-3</v>
      </c>
      <c r="U15" s="289">
        <f t="shared" si="7"/>
        <v>1.2348492087409684E-3</v>
      </c>
      <c r="V15" s="301">
        <f t="shared" si="8"/>
        <v>1.1632034926317856E-3</v>
      </c>
      <c r="W15" s="35"/>
    </row>
    <row r="16" spans="1:51" x14ac:dyDescent="0.25">
      <c r="B16" s="368" t="s">
        <v>19</v>
      </c>
      <c r="C16" s="230">
        <v>691750</v>
      </c>
      <c r="D16" s="231">
        <v>657800</v>
      </c>
      <c r="E16" s="230">
        <v>10096</v>
      </c>
      <c r="F16" s="231">
        <v>9586</v>
      </c>
      <c r="G16" s="230">
        <v>13881</v>
      </c>
      <c r="H16" s="231">
        <v>13132</v>
      </c>
      <c r="I16" s="72">
        <v>3179</v>
      </c>
      <c r="J16" s="231">
        <v>3008</v>
      </c>
      <c r="K16" s="153">
        <f t="shared" si="0"/>
        <v>14.594868088182146</v>
      </c>
      <c r="L16" s="154">
        <f t="shared" si="0"/>
        <v>14.572818485861964</v>
      </c>
      <c r="M16" s="153">
        <f t="shared" si="1"/>
        <v>20.066498012287678</v>
      </c>
      <c r="N16" s="285">
        <f t="shared" si="1"/>
        <v>19.96351474612344</v>
      </c>
      <c r="O16" s="73">
        <f t="shared" si="2"/>
        <v>4.5955908926635347</v>
      </c>
      <c r="P16" s="154">
        <f t="shared" si="2"/>
        <v>4.5728184858619638</v>
      </c>
      <c r="Q16" s="555">
        <f t="shared" si="3"/>
        <v>2.1483045076944027E-2</v>
      </c>
      <c r="R16" s="307">
        <f t="shared" si="4"/>
        <v>2.5133124808276678E-2</v>
      </c>
      <c r="S16" s="308">
        <f t="shared" si="5"/>
        <v>5.1835199838680165E-2</v>
      </c>
      <c r="T16" s="307">
        <f t="shared" si="6"/>
        <v>5.2741073938712399E-2</v>
      </c>
      <c r="U16" s="308">
        <f t="shared" si="7"/>
        <v>2.3366581158259157E-2</v>
      </c>
      <c r="V16" s="307">
        <f t="shared" si="8"/>
        <v>2.2720234453483191E-2</v>
      </c>
      <c r="W16" s="35"/>
    </row>
    <row r="17" spans="1:51" x14ac:dyDescent="0.25">
      <c r="B17" s="366" t="s">
        <v>25</v>
      </c>
      <c r="C17" s="220">
        <v>18000</v>
      </c>
      <c r="D17" s="221">
        <v>15000</v>
      </c>
      <c r="E17" s="220">
        <v>648</v>
      </c>
      <c r="F17" s="221">
        <v>540</v>
      </c>
      <c r="G17" s="220">
        <v>330</v>
      </c>
      <c r="H17" s="221">
        <v>330</v>
      </c>
      <c r="I17" s="54">
        <v>54</v>
      </c>
      <c r="J17" s="241">
        <v>45</v>
      </c>
      <c r="K17" s="335">
        <f t="shared" si="0"/>
        <v>36</v>
      </c>
      <c r="L17" s="302">
        <f t="shared" si="0"/>
        <v>36</v>
      </c>
      <c r="M17" s="335">
        <f t="shared" si="1"/>
        <v>18.333333333333332</v>
      </c>
      <c r="N17" s="284">
        <f t="shared" si="1"/>
        <v>22</v>
      </c>
      <c r="O17" s="55">
        <f t="shared" si="2"/>
        <v>3</v>
      </c>
      <c r="P17" s="302">
        <f t="shared" si="2"/>
        <v>3</v>
      </c>
      <c r="Q17" s="395">
        <f t="shared" si="3"/>
        <v>1.3788642244314314E-3</v>
      </c>
      <c r="R17" s="301">
        <f t="shared" si="4"/>
        <v>1.4158029831493227E-3</v>
      </c>
      <c r="S17" s="289">
        <f t="shared" si="5"/>
        <v>1.2323042970077411E-3</v>
      </c>
      <c r="T17" s="301">
        <f t="shared" si="6"/>
        <v>1.3253544319048957E-3</v>
      </c>
      <c r="U17" s="289">
        <f t="shared" si="7"/>
        <v>3.9691581709531124E-4</v>
      </c>
      <c r="V17" s="301">
        <f t="shared" si="8"/>
        <v>3.3989712447032698E-4</v>
      </c>
      <c r="W17" s="35"/>
    </row>
    <row r="18" spans="1:51" x14ac:dyDescent="0.25">
      <c r="B18" s="368" t="s">
        <v>55</v>
      </c>
      <c r="C18" s="230">
        <v>362000</v>
      </c>
      <c r="D18" s="231">
        <v>361000</v>
      </c>
      <c r="E18" s="230">
        <v>33304</v>
      </c>
      <c r="F18" s="231">
        <v>33212</v>
      </c>
      <c r="G18" s="230">
        <v>21800</v>
      </c>
      <c r="H18" s="231">
        <v>21800</v>
      </c>
      <c r="I18" s="72">
        <v>48146</v>
      </c>
      <c r="J18" s="231">
        <v>48013</v>
      </c>
      <c r="K18" s="153">
        <f t="shared" si="0"/>
        <v>92</v>
      </c>
      <c r="L18" s="154">
        <f t="shared" si="0"/>
        <v>92</v>
      </c>
      <c r="M18" s="153">
        <f t="shared" si="1"/>
        <v>60.22099447513812</v>
      </c>
      <c r="N18" s="285">
        <f t="shared" si="1"/>
        <v>60.387811634349028</v>
      </c>
      <c r="O18" s="73">
        <f t="shared" si="2"/>
        <v>133</v>
      </c>
      <c r="P18" s="154">
        <f t="shared" si="2"/>
        <v>133</v>
      </c>
      <c r="Q18" s="555">
        <f t="shared" si="3"/>
        <v>7.086681192972899E-2</v>
      </c>
      <c r="R18" s="307">
        <f t="shared" si="4"/>
        <v>8.7077127178435743E-2</v>
      </c>
      <c r="S18" s="308">
        <f t="shared" si="5"/>
        <v>8.1406768711420469E-2</v>
      </c>
      <c r="T18" s="307">
        <f t="shared" si="6"/>
        <v>8.7553717016747662E-2</v>
      </c>
      <c r="U18" s="308">
        <f t="shared" si="7"/>
        <v>0.35388720240501587</v>
      </c>
      <c r="V18" s="307">
        <f t="shared" si="8"/>
        <v>0.36265512527097354</v>
      </c>
      <c r="W18" s="35"/>
    </row>
    <row r="19" spans="1:51" x14ac:dyDescent="0.25">
      <c r="B19" s="366" t="s">
        <v>8</v>
      </c>
      <c r="C19" s="220">
        <v>51000</v>
      </c>
      <c r="D19" s="221">
        <v>51000</v>
      </c>
      <c r="E19" s="220">
        <v>11517</v>
      </c>
      <c r="F19" s="221">
        <v>8670</v>
      </c>
      <c r="G19" s="220">
        <v>8160</v>
      </c>
      <c r="H19" s="221">
        <v>8160</v>
      </c>
      <c r="I19" s="54">
        <v>8130</v>
      </c>
      <c r="J19" s="221">
        <v>6120</v>
      </c>
      <c r="K19" s="335">
        <f t="shared" si="0"/>
        <v>225.8235294117647</v>
      </c>
      <c r="L19" s="302">
        <f t="shared" si="0"/>
        <v>170</v>
      </c>
      <c r="M19" s="335">
        <f t="shared" si="1"/>
        <v>160</v>
      </c>
      <c r="N19" s="284">
        <f t="shared" si="1"/>
        <v>160</v>
      </c>
      <c r="O19" s="55">
        <f t="shared" si="2"/>
        <v>159.41176470588235</v>
      </c>
      <c r="P19" s="302">
        <f t="shared" si="2"/>
        <v>120</v>
      </c>
      <c r="Q19" s="395">
        <f t="shared" si="3"/>
        <v>2.4506758137001226E-2</v>
      </c>
      <c r="R19" s="301">
        <f t="shared" si="4"/>
        <v>2.2731503451675236E-2</v>
      </c>
      <c r="S19" s="289">
        <f t="shared" si="5"/>
        <v>3.0471524435100508E-2</v>
      </c>
      <c r="T19" s="301">
        <f t="shared" si="6"/>
        <v>3.2772400498011965E-2</v>
      </c>
      <c r="U19" s="289">
        <f t="shared" si="7"/>
        <v>5.9757881351571861E-2</v>
      </c>
      <c r="V19" s="301">
        <f t="shared" si="8"/>
        <v>4.6226008927964468E-2</v>
      </c>
      <c r="W19" s="35"/>
    </row>
    <row r="20" spans="1:51" x14ac:dyDescent="0.25">
      <c r="B20" s="368" t="s">
        <v>20</v>
      </c>
      <c r="C20" s="230">
        <v>167000</v>
      </c>
      <c r="D20" s="231">
        <v>167000</v>
      </c>
      <c r="E20" s="230">
        <v>20010</v>
      </c>
      <c r="F20" s="231">
        <v>20010</v>
      </c>
      <c r="G20" s="230">
        <v>13720</v>
      </c>
      <c r="H20" s="231">
        <v>13720</v>
      </c>
      <c r="I20" s="72">
        <v>20285</v>
      </c>
      <c r="J20" s="231">
        <v>20285</v>
      </c>
      <c r="K20" s="153">
        <f t="shared" si="0"/>
        <v>119.82035928143712</v>
      </c>
      <c r="L20" s="154">
        <f t="shared" si="0"/>
        <v>119.82035928143712</v>
      </c>
      <c r="M20" s="153">
        <f t="shared" si="1"/>
        <v>82.155688622754496</v>
      </c>
      <c r="N20" s="285">
        <f t="shared" si="1"/>
        <v>82.155688622754496</v>
      </c>
      <c r="O20" s="73">
        <f t="shared" si="2"/>
        <v>121.46706586826348</v>
      </c>
      <c r="P20" s="154">
        <f t="shared" si="2"/>
        <v>121.46706586826348</v>
      </c>
      <c r="Q20" s="555">
        <f t="shared" si="3"/>
        <v>4.2578816559989102E-2</v>
      </c>
      <c r="R20" s="307">
        <f t="shared" si="4"/>
        <v>5.2463366097811014E-2</v>
      </c>
      <c r="S20" s="308">
        <f t="shared" si="5"/>
        <v>5.1233984711958204E-2</v>
      </c>
      <c r="T20" s="307">
        <f t="shared" si="6"/>
        <v>5.510261456283385E-2</v>
      </c>
      <c r="U20" s="308">
        <f t="shared" si="7"/>
        <v>0.14910069166256276</v>
      </c>
      <c r="V20" s="307">
        <f t="shared" si="8"/>
        <v>0.15321807044179073</v>
      </c>
      <c r="W20" s="35"/>
    </row>
    <row r="21" spans="1:51" x14ac:dyDescent="0.25">
      <c r="B21" s="366" t="s">
        <v>9</v>
      </c>
      <c r="C21" s="220">
        <v>95000</v>
      </c>
      <c r="D21" s="221">
        <v>95000</v>
      </c>
      <c r="E21" s="220">
        <v>16150</v>
      </c>
      <c r="F21" s="221">
        <v>16150</v>
      </c>
      <c r="G21" s="220">
        <v>15100</v>
      </c>
      <c r="H21" s="221">
        <v>15100</v>
      </c>
      <c r="I21" s="54">
        <v>11400</v>
      </c>
      <c r="J21" s="221">
        <v>11400</v>
      </c>
      <c r="K21" s="335">
        <f t="shared" si="0"/>
        <v>170</v>
      </c>
      <c r="L21" s="302">
        <f t="shared" si="0"/>
        <v>170</v>
      </c>
      <c r="M21" s="335">
        <f t="shared" si="1"/>
        <v>158.94736842105263</v>
      </c>
      <c r="N21" s="284">
        <f t="shared" si="1"/>
        <v>158.94736842105263</v>
      </c>
      <c r="O21" s="55">
        <f t="shared" si="2"/>
        <v>120</v>
      </c>
      <c r="P21" s="302">
        <f t="shared" si="2"/>
        <v>120</v>
      </c>
      <c r="Q21" s="395">
        <f t="shared" si="3"/>
        <v>3.4365211766308051E-2</v>
      </c>
      <c r="R21" s="301">
        <f t="shared" si="4"/>
        <v>4.2342996625669559E-2</v>
      </c>
      <c r="S21" s="289">
        <f t="shared" si="5"/>
        <v>5.6387257226717849E-2</v>
      </c>
      <c r="T21" s="301">
        <f t="shared" si="6"/>
        <v>6.0645005823527047E-2</v>
      </c>
      <c r="U21" s="289">
        <f t="shared" si="7"/>
        <v>8.3793339164565703E-2</v>
      </c>
      <c r="V21" s="301">
        <f t="shared" si="8"/>
        <v>8.6107271532482835E-2</v>
      </c>
      <c r="W21" s="35"/>
    </row>
    <row r="22" spans="1:51" x14ac:dyDescent="0.25">
      <c r="B22" s="370" t="s">
        <v>21</v>
      </c>
      <c r="C22" s="230">
        <v>45050</v>
      </c>
      <c r="D22" s="231">
        <v>53360</v>
      </c>
      <c r="E22" s="230">
        <v>676</v>
      </c>
      <c r="F22" s="231">
        <v>800</v>
      </c>
      <c r="G22" s="230">
        <v>900</v>
      </c>
      <c r="H22" s="231">
        <v>900</v>
      </c>
      <c r="I22" s="72">
        <v>90</v>
      </c>
      <c r="J22" s="369">
        <v>107</v>
      </c>
      <c r="K22" s="153">
        <f t="shared" si="0"/>
        <v>15.005549389567147</v>
      </c>
      <c r="L22" s="154">
        <f t="shared" si="0"/>
        <v>14.992503748125937</v>
      </c>
      <c r="M22" s="153">
        <f t="shared" si="1"/>
        <v>19.977802441731409</v>
      </c>
      <c r="N22" s="285">
        <f t="shared" si="1"/>
        <v>16.866566716641678</v>
      </c>
      <c r="O22" s="73">
        <f t="shared" si="2"/>
        <v>1.9977802441731409</v>
      </c>
      <c r="P22" s="154">
        <f t="shared" si="2"/>
        <v>2.0052473763118441</v>
      </c>
      <c r="Q22" s="555">
        <f t="shared" si="3"/>
        <v>1.4384447773389622E-3</v>
      </c>
      <c r="R22" s="307">
        <f t="shared" si="4"/>
        <v>2.0974859009619596E-3</v>
      </c>
      <c r="S22" s="308">
        <f t="shared" si="5"/>
        <v>3.3608299009302029E-3</v>
      </c>
      <c r="T22" s="307">
        <f t="shared" si="6"/>
        <v>3.6146029961042613E-3</v>
      </c>
      <c r="U22" s="308">
        <f t="shared" si="7"/>
        <v>6.6152636182551872E-4</v>
      </c>
      <c r="V22" s="307">
        <f t="shared" si="8"/>
        <v>8.0819982929611085E-4</v>
      </c>
      <c r="W22" s="35"/>
    </row>
    <row r="23" spans="1:51" x14ac:dyDescent="0.25">
      <c r="B23" s="367" t="s">
        <v>10</v>
      </c>
      <c r="C23" s="220">
        <v>420000</v>
      </c>
      <c r="D23" s="221">
        <v>420000</v>
      </c>
      <c r="E23" s="220">
        <v>21000</v>
      </c>
      <c r="F23" s="221">
        <v>21000</v>
      </c>
      <c r="G23" s="220">
        <v>16000</v>
      </c>
      <c r="H23" s="221">
        <v>16000</v>
      </c>
      <c r="I23" s="54">
        <v>2940</v>
      </c>
      <c r="J23" s="221">
        <v>2940</v>
      </c>
      <c r="K23" s="335">
        <f t="shared" si="0"/>
        <v>50</v>
      </c>
      <c r="L23" s="302">
        <f t="shared" si="0"/>
        <v>50</v>
      </c>
      <c r="M23" s="335">
        <f t="shared" si="1"/>
        <v>38.095238095238095</v>
      </c>
      <c r="N23" s="284">
        <f t="shared" si="1"/>
        <v>38.095238095238095</v>
      </c>
      <c r="O23" s="55">
        <f t="shared" si="2"/>
        <v>7</v>
      </c>
      <c r="P23" s="302">
        <f t="shared" si="2"/>
        <v>7</v>
      </c>
      <c r="Q23" s="395">
        <f t="shared" si="3"/>
        <v>4.4685414680648239E-2</v>
      </c>
      <c r="R23" s="301">
        <f t="shared" si="4"/>
        <v>5.5059004900251438E-2</v>
      </c>
      <c r="S23" s="289">
        <f t="shared" si="5"/>
        <v>5.9748087127648057E-2</v>
      </c>
      <c r="T23" s="301">
        <f t="shared" si="6"/>
        <v>6.4259608819631317E-2</v>
      </c>
      <c r="U23" s="289">
        <f t="shared" si="7"/>
        <v>2.1609861152966946E-2</v>
      </c>
      <c r="V23" s="301">
        <f t="shared" si="8"/>
        <v>2.2206612132061362E-2</v>
      </c>
      <c r="W23" s="35"/>
    </row>
    <row r="24" spans="1:51" x14ac:dyDescent="0.25">
      <c r="B24" s="370" t="s">
        <v>65</v>
      </c>
      <c r="C24" s="230">
        <v>160000</v>
      </c>
      <c r="D24" s="231">
        <v>160000</v>
      </c>
      <c r="E24" s="230">
        <v>8000</v>
      </c>
      <c r="F24" s="231">
        <v>8000</v>
      </c>
      <c r="G24" s="230">
        <v>5700</v>
      </c>
      <c r="H24" s="231">
        <v>5700</v>
      </c>
      <c r="I24" s="72">
        <v>3840</v>
      </c>
      <c r="J24" s="231">
        <v>3840</v>
      </c>
      <c r="K24" s="153">
        <f t="shared" si="0"/>
        <v>50</v>
      </c>
      <c r="L24" s="154">
        <f t="shared" si="0"/>
        <v>50</v>
      </c>
      <c r="M24" s="153">
        <f t="shared" si="1"/>
        <v>35.625</v>
      </c>
      <c r="N24" s="285">
        <f t="shared" si="1"/>
        <v>35.625</v>
      </c>
      <c r="O24" s="73">
        <f t="shared" si="2"/>
        <v>24</v>
      </c>
      <c r="P24" s="154">
        <f t="shared" si="2"/>
        <v>24</v>
      </c>
      <c r="Q24" s="555">
        <f t="shared" si="3"/>
        <v>1.7023015116437425E-2</v>
      </c>
      <c r="R24" s="307">
        <f t="shared" si="4"/>
        <v>2.0974859009619595E-2</v>
      </c>
      <c r="S24" s="308">
        <f t="shared" si="5"/>
        <v>2.1285256039224619E-2</v>
      </c>
      <c r="T24" s="307">
        <f t="shared" si="6"/>
        <v>2.2892485641993653E-2</v>
      </c>
      <c r="U24" s="308">
        <f t="shared" si="7"/>
        <v>2.8225124771222132E-2</v>
      </c>
      <c r="V24" s="307">
        <f t="shared" si="8"/>
        <v>2.9004554621467903E-2</v>
      </c>
      <c r="W24" s="35"/>
    </row>
    <row r="25" spans="1:51" x14ac:dyDescent="0.25">
      <c r="B25" s="367" t="s">
        <v>66</v>
      </c>
      <c r="C25" s="220">
        <v>130000</v>
      </c>
      <c r="D25" s="221">
        <v>130000</v>
      </c>
      <c r="E25" s="220">
        <v>1950</v>
      </c>
      <c r="F25" s="221">
        <v>1950</v>
      </c>
      <c r="G25" s="220">
        <v>10000</v>
      </c>
      <c r="H25" s="221">
        <v>10000</v>
      </c>
      <c r="I25" s="54">
        <v>3120</v>
      </c>
      <c r="J25" s="221">
        <v>3120</v>
      </c>
      <c r="K25" s="335">
        <f t="shared" si="0"/>
        <v>15</v>
      </c>
      <c r="L25" s="302">
        <f t="shared" si="0"/>
        <v>15</v>
      </c>
      <c r="M25" s="335">
        <f t="shared" si="1"/>
        <v>76.92307692307692</v>
      </c>
      <c r="N25" s="284">
        <f t="shared" si="1"/>
        <v>76.92307692307692</v>
      </c>
      <c r="O25" s="55">
        <f t="shared" si="2"/>
        <v>24</v>
      </c>
      <c r="P25" s="302">
        <f t="shared" si="2"/>
        <v>24</v>
      </c>
      <c r="Q25" s="395">
        <f t="shared" si="3"/>
        <v>4.1493599346316221E-3</v>
      </c>
      <c r="R25" s="301">
        <f t="shared" si="4"/>
        <v>5.1126218835947758E-3</v>
      </c>
      <c r="S25" s="289">
        <f t="shared" si="5"/>
        <v>3.7342554454780033E-2</v>
      </c>
      <c r="T25" s="301">
        <f t="shared" si="6"/>
        <v>4.0162255512269568E-2</v>
      </c>
      <c r="U25" s="289">
        <f t="shared" si="7"/>
        <v>2.2932913876617982E-2</v>
      </c>
      <c r="V25" s="301">
        <f t="shared" si="8"/>
        <v>2.356620062994267E-2</v>
      </c>
      <c r="W25" s="35"/>
    </row>
    <row r="26" spans="1:51" x14ac:dyDescent="0.25">
      <c r="B26" s="370" t="s">
        <v>12</v>
      </c>
      <c r="C26" s="230">
        <v>4900</v>
      </c>
      <c r="D26" s="231">
        <v>4600</v>
      </c>
      <c r="E26" s="230">
        <v>186</v>
      </c>
      <c r="F26" s="231">
        <v>174</v>
      </c>
      <c r="G26" s="230">
        <v>700</v>
      </c>
      <c r="H26" s="231">
        <v>700</v>
      </c>
      <c r="I26" s="230">
        <v>480</v>
      </c>
      <c r="J26" s="369">
        <v>449</v>
      </c>
      <c r="K26" s="153">
        <f t="shared" si="0"/>
        <v>37.95918367346939</v>
      </c>
      <c r="L26" s="154">
        <f t="shared" si="0"/>
        <v>37.826086956521742</v>
      </c>
      <c r="M26" s="153">
        <f t="shared" si="1"/>
        <v>142.85714285714286</v>
      </c>
      <c r="N26" s="285">
        <f t="shared" si="1"/>
        <v>152.17391304347825</v>
      </c>
      <c r="O26" s="73">
        <f t="shared" si="2"/>
        <v>97.959183673469383</v>
      </c>
      <c r="P26" s="154">
        <f t="shared" si="2"/>
        <v>97.608695652173907</v>
      </c>
      <c r="Q26" s="555">
        <f t="shared" si="3"/>
        <v>3.9578510145717009E-4</v>
      </c>
      <c r="R26" s="307">
        <f t="shared" si="4"/>
        <v>4.5620318345922619E-4</v>
      </c>
      <c r="S26" s="308">
        <f t="shared" si="5"/>
        <v>2.6139788118346025E-3</v>
      </c>
      <c r="T26" s="307">
        <f t="shared" si="6"/>
        <v>2.8113578858588698E-3</v>
      </c>
      <c r="U26" s="308">
        <f t="shared" si="7"/>
        <v>3.5281405964027665E-3</v>
      </c>
      <c r="V26" s="307">
        <f t="shared" si="8"/>
        <v>3.3914179752705959E-3</v>
      </c>
      <c r="W26" s="35"/>
    </row>
    <row r="27" spans="1:51" ht="6" customHeight="1" thickBot="1" x14ac:dyDescent="0.3">
      <c r="B27" s="327"/>
      <c r="C27" s="220"/>
      <c r="D27" s="221"/>
      <c r="E27" s="176"/>
      <c r="F27" s="221"/>
      <c r="G27" s="176"/>
      <c r="H27" s="221"/>
      <c r="I27" s="176"/>
      <c r="J27" s="241"/>
      <c r="K27" s="124"/>
      <c r="L27" s="302"/>
      <c r="M27" s="554"/>
      <c r="N27" s="284"/>
      <c r="O27" s="55"/>
      <c r="P27" s="302"/>
      <c r="Q27" s="556"/>
      <c r="R27" s="301"/>
      <c r="S27" s="289"/>
      <c r="T27" s="301"/>
      <c r="U27" s="289"/>
      <c r="V27" s="301"/>
      <c r="W27" s="35"/>
    </row>
    <row r="28" spans="1:51" ht="24.95" customHeight="1" thickTop="1" thickBot="1" x14ac:dyDescent="0.3">
      <c r="B28" s="61" t="s">
        <v>13</v>
      </c>
      <c r="C28" s="457">
        <f>SUM(C11:C26)</f>
        <v>6056580</v>
      </c>
      <c r="D28" s="460">
        <f>SUM(D11:D26)</f>
        <v>5953960</v>
      </c>
      <c r="E28" s="458">
        <f>SUM(E11:E26)</f>
        <v>469952</v>
      </c>
      <c r="F28" s="460">
        <f>SUM(F11:F26)</f>
        <v>381409</v>
      </c>
      <c r="G28" s="458">
        <f t="shared" ref="G28:J28" si="9">SUM(G11:G26)</f>
        <v>267791</v>
      </c>
      <c r="H28" s="460">
        <f>SUM(H11:H26)</f>
        <v>248990</v>
      </c>
      <c r="I28" s="458">
        <f t="shared" si="9"/>
        <v>136049</v>
      </c>
      <c r="J28" s="460">
        <f t="shared" si="9"/>
        <v>132393</v>
      </c>
      <c r="K28" s="498"/>
      <c r="L28" s="498"/>
      <c r="M28" s="498"/>
      <c r="N28" s="498"/>
      <c r="O28" s="498"/>
      <c r="P28" s="498"/>
      <c r="Q28" s="464">
        <f>SUM(Q11:Q26)</f>
        <v>1</v>
      </c>
      <c r="R28" s="466">
        <f t="shared" ref="R28:V28" si="10">SUM(R11:R26)</f>
        <v>0.99999999999999978</v>
      </c>
      <c r="S28" s="465">
        <f t="shared" si="10"/>
        <v>0.99999999999999989</v>
      </c>
      <c r="T28" s="466">
        <f t="shared" si="10"/>
        <v>1</v>
      </c>
      <c r="U28" s="465">
        <f t="shared" si="10"/>
        <v>1.0000000000000002</v>
      </c>
      <c r="V28" s="466">
        <f t="shared" si="10"/>
        <v>1</v>
      </c>
      <c r="W28" s="35"/>
    </row>
    <row r="29" spans="1:51" ht="15.75" thickTop="1" x14ac:dyDescent="0.25">
      <c r="C29" s="35"/>
      <c r="D29" s="35"/>
      <c r="E29" s="35"/>
      <c r="F29" s="35"/>
      <c r="G29" s="35"/>
      <c r="H29" s="35"/>
      <c r="I29" s="35"/>
      <c r="J29" s="35"/>
      <c r="K29" s="35"/>
      <c r="L29" s="35"/>
      <c r="M29" s="35"/>
      <c r="N29" s="35"/>
      <c r="O29" s="35"/>
      <c r="P29" s="35"/>
      <c r="Q29" s="35"/>
      <c r="R29" s="35"/>
      <c r="S29" s="35"/>
      <c r="T29" s="35"/>
      <c r="U29" s="35"/>
      <c r="V29" s="35"/>
      <c r="W29" s="35"/>
    </row>
    <row r="31" spans="1:51" x14ac:dyDescent="0.25">
      <c r="B31" s="66" t="s">
        <v>396</v>
      </c>
      <c r="C31" s="67"/>
      <c r="D31" s="67"/>
      <c r="E31" s="67"/>
      <c r="F31" s="67"/>
      <c r="G31" s="67"/>
      <c r="H31" s="67"/>
      <c r="I31" s="67"/>
      <c r="J31" s="67"/>
      <c r="K31" s="67"/>
      <c r="L31" s="67"/>
      <c r="M31" s="67"/>
    </row>
    <row r="32" spans="1:51" x14ac:dyDescent="0.25">
      <c r="A32" s="21"/>
      <c r="B32" s="67" t="s">
        <v>186</v>
      </c>
      <c r="C32" s="67"/>
      <c r="D32" s="67"/>
      <c r="E32" s="68"/>
      <c r="F32" s="68"/>
      <c r="G32" s="68"/>
      <c r="H32" s="68"/>
      <c r="I32" s="68"/>
      <c r="J32" s="68"/>
      <c r="K32" s="67"/>
      <c r="L32" s="67"/>
      <c r="M32" s="67"/>
      <c r="R32"/>
      <c r="S32"/>
      <c r="T32"/>
      <c r="U32"/>
      <c r="V32"/>
      <c r="W32"/>
      <c r="Y32"/>
      <c r="Z32"/>
      <c r="AA32"/>
      <c r="AB32"/>
      <c r="AC32"/>
      <c r="AD32"/>
      <c r="AE32"/>
      <c r="AF32"/>
      <c r="AG32"/>
      <c r="AH32"/>
      <c r="AI32"/>
      <c r="AJ32"/>
      <c r="AK32"/>
      <c r="AL32"/>
      <c r="AM32"/>
      <c r="AN32"/>
      <c r="AO32"/>
      <c r="AP32"/>
      <c r="AQ32"/>
      <c r="AR32"/>
      <c r="AS32"/>
      <c r="AT32"/>
      <c r="AU32"/>
      <c r="AV32"/>
      <c r="AW32"/>
      <c r="AX32"/>
      <c r="AY32"/>
    </row>
    <row r="33" spans="1:51" x14ac:dyDescent="0.25">
      <c r="A33" s="21"/>
      <c r="B33" s="67"/>
      <c r="C33" s="67"/>
      <c r="D33" s="67"/>
      <c r="E33" s="68"/>
      <c r="F33" s="68"/>
      <c r="G33" s="68"/>
      <c r="H33" s="68"/>
      <c r="I33" s="68"/>
      <c r="J33" s="68"/>
      <c r="K33" s="67"/>
      <c r="L33" s="67"/>
      <c r="M33" s="67"/>
      <c r="R33"/>
      <c r="S33"/>
      <c r="T33"/>
      <c r="U33"/>
      <c r="V33"/>
      <c r="W33"/>
      <c r="Y33"/>
      <c r="Z33"/>
      <c r="AA33"/>
      <c r="AB33"/>
      <c r="AC33"/>
      <c r="AD33"/>
      <c r="AE33"/>
      <c r="AF33"/>
      <c r="AG33"/>
      <c r="AH33"/>
      <c r="AI33"/>
      <c r="AJ33"/>
      <c r="AK33"/>
      <c r="AL33"/>
      <c r="AM33"/>
      <c r="AN33"/>
      <c r="AO33"/>
      <c r="AP33"/>
      <c r="AQ33"/>
      <c r="AR33"/>
      <c r="AS33"/>
      <c r="AT33"/>
      <c r="AU33"/>
      <c r="AV33"/>
      <c r="AW33"/>
      <c r="AX33"/>
      <c r="AY33"/>
    </row>
    <row r="34" spans="1:51" x14ac:dyDescent="0.25">
      <c r="B34" s="79" t="s">
        <v>397</v>
      </c>
      <c r="C34" s="67"/>
      <c r="D34" s="68"/>
      <c r="E34" s="68"/>
      <c r="F34" s="68"/>
      <c r="G34" s="68"/>
      <c r="H34" s="68"/>
      <c r="I34" s="68"/>
      <c r="J34" s="68"/>
      <c r="K34" s="68"/>
      <c r="L34" s="68"/>
      <c r="M34" s="68"/>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1:51" x14ac:dyDescent="0.25">
      <c r="A35" s="21"/>
      <c r="B35" s="68" t="s">
        <v>176</v>
      </c>
      <c r="C35" s="67"/>
      <c r="D35" s="68"/>
      <c r="E35" s="68"/>
      <c r="F35" s="68"/>
      <c r="G35" s="68"/>
      <c r="H35" s="68"/>
      <c r="I35" s="68"/>
      <c r="J35" s="68"/>
      <c r="K35" s="68"/>
      <c r="L35" s="68"/>
      <c r="M35" s="68"/>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row>
    <row r="36" spans="1:51" ht="14.45" customHeight="1" x14ac:dyDescent="0.25">
      <c r="A36" s="7"/>
      <c r="B36" s="69" t="s">
        <v>382</v>
      </c>
      <c r="C36" s="67"/>
      <c r="D36" s="333"/>
      <c r="E36" s="67"/>
      <c r="F36" s="67"/>
      <c r="G36" s="67"/>
      <c r="H36" s="67"/>
      <c r="I36" s="67"/>
      <c r="J36" s="68"/>
      <c r="K36" s="67"/>
      <c r="L36" s="67"/>
      <c r="M36" s="67"/>
      <c r="T36" s="8"/>
      <c r="U36" s="8"/>
      <c r="V36" s="8"/>
      <c r="AA36"/>
      <c r="AB36"/>
      <c r="AC36"/>
      <c r="AD36"/>
      <c r="AE36"/>
      <c r="AF36"/>
      <c r="AG36"/>
      <c r="AH36"/>
      <c r="AI36"/>
      <c r="AJ36"/>
      <c r="AK36"/>
      <c r="AL36"/>
      <c r="AM36"/>
      <c r="AN36"/>
      <c r="AO36"/>
      <c r="AP36"/>
      <c r="AQ36"/>
      <c r="AR36"/>
      <c r="AS36"/>
      <c r="AT36"/>
      <c r="AU36"/>
      <c r="AV36"/>
      <c r="AW36"/>
      <c r="AX36"/>
      <c r="AY36"/>
    </row>
    <row r="37" spans="1:51" x14ac:dyDescent="0.25">
      <c r="B37" s="67"/>
      <c r="C37" s="67"/>
      <c r="D37" s="67"/>
      <c r="E37" s="67"/>
      <c r="F37" s="67"/>
      <c r="G37" s="67"/>
      <c r="H37" s="67"/>
      <c r="I37" s="67"/>
      <c r="J37" s="67"/>
      <c r="K37" s="67"/>
      <c r="L37" s="67"/>
      <c r="M37" s="67"/>
    </row>
    <row r="38" spans="1:51" x14ac:dyDescent="0.25">
      <c r="B38" s="66" t="s">
        <v>398</v>
      </c>
      <c r="C38" s="67"/>
      <c r="D38" s="67"/>
      <c r="E38" s="67"/>
      <c r="F38" s="67"/>
      <c r="G38" s="67"/>
      <c r="H38" s="67"/>
      <c r="I38" s="67"/>
      <c r="J38" s="67"/>
      <c r="K38" s="67"/>
      <c r="L38" s="67"/>
      <c r="M38" s="67"/>
    </row>
    <row r="39" spans="1:51" x14ac:dyDescent="0.25">
      <c r="B39" s="67"/>
      <c r="C39" s="67"/>
      <c r="D39" s="67"/>
      <c r="E39" s="67"/>
      <c r="F39" s="67"/>
      <c r="G39" s="67"/>
      <c r="H39" s="67"/>
      <c r="I39" s="67"/>
      <c r="J39" s="67"/>
      <c r="K39" s="67"/>
      <c r="L39" s="67"/>
      <c r="M39" s="67"/>
    </row>
    <row r="40" spans="1:51" x14ac:dyDescent="0.25">
      <c r="B40" s="67"/>
      <c r="C40" s="67"/>
      <c r="D40" s="67"/>
      <c r="E40" s="67"/>
      <c r="F40" s="67"/>
      <c r="G40" s="67"/>
      <c r="H40" s="67"/>
      <c r="I40" s="67"/>
      <c r="J40" s="67"/>
      <c r="K40" s="67"/>
      <c r="L40" s="67"/>
      <c r="M40" s="67"/>
    </row>
    <row r="41" spans="1:51" x14ac:dyDescent="0.25">
      <c r="B41" s="67"/>
      <c r="C41" s="67"/>
      <c r="D41" s="67"/>
      <c r="E41" s="67"/>
      <c r="F41" s="67"/>
      <c r="G41" s="67"/>
      <c r="H41" s="67"/>
      <c r="I41" s="67"/>
      <c r="J41" s="67"/>
      <c r="K41" s="67"/>
      <c r="L41" s="67"/>
      <c r="M41" s="67"/>
    </row>
    <row r="42" spans="1:51" x14ac:dyDescent="0.25">
      <c r="B42" s="67"/>
      <c r="C42" s="67"/>
      <c r="D42" s="67"/>
      <c r="E42" s="67"/>
      <c r="F42" s="67"/>
      <c r="G42" s="67"/>
      <c r="H42" s="67"/>
      <c r="I42" s="67"/>
      <c r="J42" s="67"/>
      <c r="K42" s="67"/>
      <c r="L42" s="67"/>
      <c r="M42" s="67"/>
    </row>
  </sheetData>
  <mergeCells count="19">
    <mergeCell ref="Q6:V6"/>
    <mergeCell ref="B7:B8"/>
    <mergeCell ref="C7:D7"/>
    <mergeCell ref="E7:J7"/>
    <mergeCell ref="K7:P7"/>
    <mergeCell ref="Q7:V7"/>
    <mergeCell ref="C8:D8"/>
    <mergeCell ref="Q8:R8"/>
    <mergeCell ref="S8:T8"/>
    <mergeCell ref="U8:V8"/>
    <mergeCell ref="E8:F8"/>
    <mergeCell ref="G8:H8"/>
    <mergeCell ref="I8:J8"/>
    <mergeCell ref="K8:L8"/>
    <mergeCell ref="M8:N8"/>
    <mergeCell ref="O8:P8"/>
    <mergeCell ref="C6:D6"/>
    <mergeCell ref="E6:J6"/>
    <mergeCell ref="K6:P6"/>
  </mergeCells>
  <hyperlinks>
    <hyperlink ref="B1" location="Start!A1" display="Back to home page" xr:uid="{1CA26955-4ECE-4476-8DEA-99A5482EF628}"/>
  </hyperlinks>
  <pageMargins left="0.7" right="0.7" top="0.75" bottom="0.75" header="0.3" footer="0.3"/>
  <pageSetup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28DAC-C67A-4A8D-8F71-D4AAD726DF1F}">
  <sheetPr>
    <tabColor rgb="FF92D050"/>
  </sheetPr>
  <dimension ref="A1:Q40"/>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169</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175"/>
      <c r="D10" s="98"/>
      <c r="E10" s="98"/>
      <c r="F10" s="97"/>
      <c r="G10" s="98"/>
      <c r="H10" s="98"/>
      <c r="I10" s="98"/>
      <c r="J10" s="98"/>
      <c r="K10" s="98"/>
      <c r="L10" s="98"/>
    </row>
    <row r="11" spans="1:17" x14ac:dyDescent="0.25">
      <c r="B11" s="89" t="s">
        <v>3</v>
      </c>
      <c r="C11" s="172">
        <v>2063000</v>
      </c>
      <c r="D11" s="191">
        <v>237245</v>
      </c>
      <c r="E11" s="191">
        <v>86646</v>
      </c>
      <c r="F11" s="190">
        <v>88709</v>
      </c>
      <c r="G11" s="56">
        <f>IFERROR(D11*1000/C11,"-")</f>
        <v>115</v>
      </c>
      <c r="H11" s="56">
        <f>IFERROR(E11*1000/C11,"-")</f>
        <v>42</v>
      </c>
      <c r="I11" s="56">
        <f>IFERROR(F11*1000/C11,"-")</f>
        <v>43</v>
      </c>
      <c r="J11" s="57">
        <f t="shared" ref="J11:J27" si="0">D11/$D$29</f>
        <v>0.22113282043729762</v>
      </c>
      <c r="K11" s="57">
        <f t="shared" ref="K11:K27" si="1">E11/$E$29</f>
        <v>0.20476571971442548</v>
      </c>
      <c r="L11" s="57">
        <f t="shared" ref="L11:L27" si="2">F11/$F$29</f>
        <v>0.22443712982383346</v>
      </c>
    </row>
    <row r="12" spans="1:17" x14ac:dyDescent="0.25">
      <c r="B12" s="103" t="s">
        <v>27</v>
      </c>
      <c r="C12" s="174">
        <v>2562000</v>
      </c>
      <c r="D12" s="71">
        <v>269010</v>
      </c>
      <c r="E12" s="71">
        <v>89670</v>
      </c>
      <c r="F12" s="166">
        <v>84546</v>
      </c>
      <c r="G12" s="74">
        <f t="shared" ref="G12:G27" si="3">IFERROR(D12*1000/C12,"-")</f>
        <v>105</v>
      </c>
      <c r="H12" s="74">
        <f t="shared" ref="H12:H27" si="4">IFERROR(E12*1000/C12,"-")</f>
        <v>35</v>
      </c>
      <c r="I12" s="74">
        <f t="shared" ref="I12:I27" si="5">IFERROR(F12*1000/C12,"-")</f>
        <v>33</v>
      </c>
      <c r="J12" s="75">
        <f t="shared" si="0"/>
        <v>0.25074054258609213</v>
      </c>
      <c r="K12" s="75">
        <f t="shared" si="1"/>
        <v>0.21191217236563181</v>
      </c>
      <c r="L12" s="75">
        <f t="shared" si="2"/>
        <v>0.2139045821515948</v>
      </c>
    </row>
    <row r="13" spans="1:17" x14ac:dyDescent="0.25">
      <c r="B13" s="89" t="s">
        <v>28</v>
      </c>
      <c r="C13" s="172">
        <v>1009000</v>
      </c>
      <c r="D13" s="191">
        <v>70630</v>
      </c>
      <c r="E13" s="191">
        <v>20180</v>
      </c>
      <c r="F13" s="190">
        <v>20180</v>
      </c>
      <c r="G13" s="56">
        <f t="shared" si="3"/>
        <v>70</v>
      </c>
      <c r="H13" s="56">
        <f t="shared" si="4"/>
        <v>20</v>
      </c>
      <c r="I13" s="56">
        <f t="shared" si="5"/>
        <v>20</v>
      </c>
      <c r="J13" s="57">
        <f t="shared" si="0"/>
        <v>6.5833257212950039E-2</v>
      </c>
      <c r="K13" s="57">
        <f t="shared" si="1"/>
        <v>4.7690282573195603E-2</v>
      </c>
      <c r="L13" s="57">
        <f t="shared" si="2"/>
        <v>5.1056164310779729E-2</v>
      </c>
    </row>
    <row r="14" spans="1:17" x14ac:dyDescent="0.25">
      <c r="B14" s="103" t="s">
        <v>29</v>
      </c>
      <c r="C14" s="174">
        <v>329000</v>
      </c>
      <c r="D14" s="71">
        <v>64155</v>
      </c>
      <c r="E14" s="71">
        <v>24675</v>
      </c>
      <c r="F14" s="166">
        <v>24017</v>
      </c>
      <c r="G14" s="74">
        <f t="shared" si="3"/>
        <v>195</v>
      </c>
      <c r="H14" s="74">
        <f t="shared" si="4"/>
        <v>75</v>
      </c>
      <c r="I14" s="74">
        <f t="shared" si="5"/>
        <v>73</v>
      </c>
      <c r="J14" s="75">
        <f t="shared" si="0"/>
        <v>5.9797998251406054E-2</v>
      </c>
      <c r="K14" s="75">
        <f t="shared" si="1"/>
        <v>5.8313068508107115E-2</v>
      </c>
      <c r="L14" s="75">
        <f t="shared" si="2"/>
        <v>6.0763919635876948E-2</v>
      </c>
    </row>
    <row r="15" spans="1:17" x14ac:dyDescent="0.25">
      <c r="B15" s="89" t="s">
        <v>31</v>
      </c>
      <c r="C15" s="172">
        <v>87000</v>
      </c>
      <c r="D15" s="191">
        <v>9570</v>
      </c>
      <c r="E15" s="191">
        <v>4350</v>
      </c>
      <c r="F15" s="190">
        <v>4263</v>
      </c>
      <c r="G15" s="56">
        <f t="shared" si="3"/>
        <v>110</v>
      </c>
      <c r="H15" s="56">
        <f t="shared" si="4"/>
        <v>50</v>
      </c>
      <c r="I15" s="56">
        <f t="shared" si="5"/>
        <v>49</v>
      </c>
      <c r="J15" s="57">
        <f t="shared" si="0"/>
        <v>8.9200661408457005E-3</v>
      </c>
      <c r="K15" s="57">
        <f t="shared" si="1"/>
        <v>1.0280115420882105E-2</v>
      </c>
      <c r="L15" s="57">
        <f t="shared" si="2"/>
        <v>1.0785551459705351E-2</v>
      </c>
    </row>
    <row r="16" spans="1:17" x14ac:dyDescent="0.25">
      <c r="B16" s="103" t="s">
        <v>32</v>
      </c>
      <c r="C16" s="174">
        <v>690000</v>
      </c>
      <c r="D16" s="71">
        <v>6900</v>
      </c>
      <c r="E16" s="71">
        <v>1380</v>
      </c>
      <c r="F16" s="166">
        <v>690</v>
      </c>
      <c r="G16" s="74">
        <f t="shared" si="3"/>
        <v>10</v>
      </c>
      <c r="H16" s="74">
        <f t="shared" si="4"/>
        <v>2</v>
      </c>
      <c r="I16" s="74">
        <f t="shared" si="5"/>
        <v>1</v>
      </c>
      <c r="J16" s="75">
        <f t="shared" si="0"/>
        <v>6.4313956501395337E-3</v>
      </c>
      <c r="K16" s="75">
        <f t="shared" si="1"/>
        <v>3.2612779955901849E-3</v>
      </c>
      <c r="L16" s="75">
        <f t="shared" si="2"/>
        <v>1.7457261335202187E-3</v>
      </c>
    </row>
    <row r="17" spans="1:17" x14ac:dyDescent="0.25">
      <c r="B17" s="89" t="s">
        <v>33</v>
      </c>
      <c r="C17" s="172">
        <v>510000</v>
      </c>
      <c r="D17" s="191">
        <v>2550</v>
      </c>
      <c r="E17" s="191">
        <v>2550</v>
      </c>
      <c r="F17" s="190">
        <v>2550</v>
      </c>
      <c r="G17" s="56">
        <f t="shared" si="3"/>
        <v>5</v>
      </c>
      <c r="H17" s="56">
        <f t="shared" si="4"/>
        <v>5</v>
      </c>
      <c r="I17" s="56">
        <f t="shared" si="5"/>
        <v>5</v>
      </c>
      <c r="J17" s="57">
        <f t="shared" si="0"/>
        <v>2.3768201315733056E-3</v>
      </c>
      <c r="K17" s="57">
        <f t="shared" si="1"/>
        <v>6.0262745570688198E-3</v>
      </c>
      <c r="L17" s="57">
        <f t="shared" si="2"/>
        <v>6.4515965804008086E-3</v>
      </c>
    </row>
    <row r="18" spans="1:17" x14ac:dyDescent="0.25">
      <c r="B18" s="103" t="s">
        <v>26</v>
      </c>
      <c r="C18" s="174">
        <v>67000</v>
      </c>
      <c r="D18" s="71">
        <v>8039.9999999999991</v>
      </c>
      <c r="E18" s="71">
        <v>3015</v>
      </c>
      <c r="F18" s="166">
        <v>4019.9999999999995</v>
      </c>
      <c r="G18" s="74">
        <f t="shared" si="3"/>
        <v>119.99999999999999</v>
      </c>
      <c r="H18" s="74">
        <f t="shared" si="4"/>
        <v>45</v>
      </c>
      <c r="I18" s="74">
        <f t="shared" si="5"/>
        <v>59.999999999999993</v>
      </c>
      <c r="J18" s="75">
        <f t="shared" si="0"/>
        <v>7.493974061901716E-3</v>
      </c>
      <c r="K18" s="75">
        <f t="shared" si="1"/>
        <v>7.1251834468872522E-3</v>
      </c>
      <c r="L18" s="75">
        <f t="shared" si="2"/>
        <v>1.0170752256161274E-2</v>
      </c>
    </row>
    <row r="19" spans="1:17" x14ac:dyDescent="0.25">
      <c r="B19" s="89" t="s">
        <v>34</v>
      </c>
      <c r="C19" s="172">
        <v>35000</v>
      </c>
      <c r="D19" s="191">
        <v>5600</v>
      </c>
      <c r="E19" s="191">
        <v>2275</v>
      </c>
      <c r="F19" s="190">
        <v>2450</v>
      </c>
      <c r="G19" s="56">
        <f t="shared" si="3"/>
        <v>160</v>
      </c>
      <c r="H19" s="56">
        <f t="shared" si="4"/>
        <v>65</v>
      </c>
      <c r="I19" s="56">
        <f t="shared" si="5"/>
        <v>70</v>
      </c>
      <c r="J19" s="57">
        <f t="shared" si="0"/>
        <v>5.2196834262002011E-3</v>
      </c>
      <c r="K19" s="57">
        <f t="shared" si="1"/>
        <v>5.3763822028751237E-3</v>
      </c>
      <c r="L19" s="57">
        <f t="shared" si="2"/>
        <v>6.19859279293411E-3</v>
      </c>
    </row>
    <row r="20" spans="1:17" x14ac:dyDescent="0.25">
      <c r="B20" s="103" t="s">
        <v>9</v>
      </c>
      <c r="C20" s="174">
        <v>385000</v>
      </c>
      <c r="D20" s="71">
        <v>75075</v>
      </c>
      <c r="E20" s="71">
        <v>30800</v>
      </c>
      <c r="F20" s="166">
        <v>32725</v>
      </c>
      <c r="G20" s="74">
        <f t="shared" si="3"/>
        <v>195</v>
      </c>
      <c r="H20" s="74">
        <f t="shared" si="4"/>
        <v>80</v>
      </c>
      <c r="I20" s="74">
        <f t="shared" si="5"/>
        <v>85</v>
      </c>
      <c r="J20" s="75">
        <f t="shared" si="0"/>
        <v>6.9976380932496446E-2</v>
      </c>
      <c r="K20" s="75">
        <f t="shared" si="1"/>
        <v>7.2787943669693989E-2</v>
      </c>
      <c r="L20" s="75">
        <f t="shared" si="2"/>
        <v>8.2795489448477047E-2</v>
      </c>
    </row>
    <row r="21" spans="1:17" x14ac:dyDescent="0.25">
      <c r="B21" s="89" t="s">
        <v>35</v>
      </c>
      <c r="C21" s="172">
        <v>102000</v>
      </c>
      <c r="D21" s="191">
        <v>15300</v>
      </c>
      <c r="E21" s="191">
        <v>8364</v>
      </c>
      <c r="F21" s="190">
        <v>7140</v>
      </c>
      <c r="G21" s="56">
        <f t="shared" si="3"/>
        <v>150</v>
      </c>
      <c r="H21" s="56">
        <f t="shared" si="4"/>
        <v>82</v>
      </c>
      <c r="I21" s="56">
        <f t="shared" si="5"/>
        <v>70</v>
      </c>
      <c r="J21" s="57">
        <f t="shared" si="0"/>
        <v>1.4260920789439835E-2</v>
      </c>
      <c r="K21" s="57">
        <f t="shared" si="1"/>
        <v>1.9766180547185729E-2</v>
      </c>
      <c r="L21" s="57">
        <f t="shared" si="2"/>
        <v>1.8064470425122263E-2</v>
      </c>
    </row>
    <row r="22" spans="1:17" x14ac:dyDescent="0.25">
      <c r="B22" s="103" t="s">
        <v>36</v>
      </c>
      <c r="C22" s="174">
        <v>403000</v>
      </c>
      <c r="D22" s="71">
        <v>2015.0000000000002</v>
      </c>
      <c r="E22" s="71">
        <v>7657</v>
      </c>
      <c r="F22" s="166">
        <v>9672</v>
      </c>
      <c r="G22" s="74">
        <f t="shared" si="3"/>
        <v>5.0000000000000009</v>
      </c>
      <c r="H22" s="74">
        <f t="shared" si="4"/>
        <v>19</v>
      </c>
      <c r="I22" s="74">
        <f t="shared" si="5"/>
        <v>24</v>
      </c>
      <c r="J22" s="75">
        <f t="shared" si="0"/>
        <v>1.8781539471059653E-3</v>
      </c>
      <c r="K22" s="75">
        <f t="shared" si="1"/>
        <v>1.8095366385676846E-2</v>
      </c>
      <c r="L22" s="75">
        <f t="shared" si="2"/>
        <v>2.4470526323779065E-2</v>
      </c>
    </row>
    <row r="23" spans="1:17" x14ac:dyDescent="0.25">
      <c r="B23" s="89" t="s">
        <v>37</v>
      </c>
      <c r="C23" s="172">
        <v>385000</v>
      </c>
      <c r="D23" s="191">
        <v>5775</v>
      </c>
      <c r="E23" s="191">
        <v>13090</v>
      </c>
      <c r="F23" s="190">
        <v>4620</v>
      </c>
      <c r="G23" s="56">
        <f t="shared" si="3"/>
        <v>15</v>
      </c>
      <c r="H23" s="56">
        <f t="shared" si="4"/>
        <v>34</v>
      </c>
      <c r="I23" s="56">
        <f t="shared" si="5"/>
        <v>12</v>
      </c>
      <c r="J23" s="57">
        <f t="shared" si="0"/>
        <v>5.382798533268957E-3</v>
      </c>
      <c r="K23" s="57">
        <f t="shared" si="1"/>
        <v>3.0934876059619944E-2</v>
      </c>
      <c r="L23" s="57">
        <f t="shared" si="2"/>
        <v>1.1688774980961466E-2</v>
      </c>
    </row>
    <row r="24" spans="1:17" x14ac:dyDescent="0.25">
      <c r="B24" s="103" t="s">
        <v>38</v>
      </c>
      <c r="C24" s="174">
        <v>107000</v>
      </c>
      <c r="D24" s="71">
        <v>5885</v>
      </c>
      <c r="E24" s="71">
        <v>3210</v>
      </c>
      <c r="F24" s="166">
        <v>1605</v>
      </c>
      <c r="G24" s="74">
        <f t="shared" si="3"/>
        <v>55</v>
      </c>
      <c r="H24" s="74">
        <f t="shared" si="4"/>
        <v>30</v>
      </c>
      <c r="I24" s="74">
        <f t="shared" si="5"/>
        <v>15</v>
      </c>
      <c r="J24" s="75">
        <f t="shared" si="0"/>
        <v>5.4853280291407465E-3</v>
      </c>
      <c r="K24" s="75">
        <f t="shared" si="1"/>
        <v>7.5860162071336914E-3</v>
      </c>
      <c r="L24" s="75">
        <f t="shared" si="2"/>
        <v>4.0607107888405089E-3</v>
      </c>
    </row>
    <row r="25" spans="1:17" x14ac:dyDescent="0.25">
      <c r="B25" s="89" t="s">
        <v>42</v>
      </c>
      <c r="C25" s="172">
        <v>4777000</v>
      </c>
      <c r="D25" s="191">
        <v>286620</v>
      </c>
      <c r="E25" s="191">
        <v>119425</v>
      </c>
      <c r="F25" s="190">
        <v>105094</v>
      </c>
      <c r="G25" s="56">
        <f t="shared" si="3"/>
        <v>60</v>
      </c>
      <c r="H25" s="56">
        <f t="shared" si="4"/>
        <v>25</v>
      </c>
      <c r="I25" s="56">
        <f t="shared" si="5"/>
        <v>22</v>
      </c>
      <c r="J25" s="57">
        <f t="shared" si="0"/>
        <v>0.26715458278883958</v>
      </c>
      <c r="K25" s="57">
        <f t="shared" si="1"/>
        <v>0.28223052508938973</v>
      </c>
      <c r="L25" s="57">
        <f t="shared" si="2"/>
        <v>0.26589180040025201</v>
      </c>
    </row>
    <row r="26" spans="1:17" x14ac:dyDescent="0.25">
      <c r="B26" s="103" t="s">
        <v>10</v>
      </c>
      <c r="C26" s="174">
        <v>6761000</v>
      </c>
      <c r="D26" s="71">
        <v>8092.0000000000009</v>
      </c>
      <c r="E26" s="71">
        <v>5780</v>
      </c>
      <c r="F26" s="166">
        <v>2890</v>
      </c>
      <c r="G26" s="74">
        <f t="shared" si="3"/>
        <v>1.1968643691761576</v>
      </c>
      <c r="H26" s="74">
        <f t="shared" si="4"/>
        <v>0.85490312084011244</v>
      </c>
      <c r="I26" s="74">
        <f t="shared" si="5"/>
        <v>0.42745156042005622</v>
      </c>
      <c r="J26" s="75">
        <f t="shared" si="0"/>
        <v>7.5424425508592912E-3</v>
      </c>
      <c r="K26" s="75">
        <f t="shared" si="1"/>
        <v>1.3659555662689326E-2</v>
      </c>
      <c r="L26" s="75">
        <f t="shared" si="2"/>
        <v>7.3118094577875829E-3</v>
      </c>
    </row>
    <row r="27" spans="1:17" x14ac:dyDescent="0.25">
      <c r="B27" s="89" t="s">
        <v>43</v>
      </c>
      <c r="C27" s="172">
        <v>40000</v>
      </c>
      <c r="D27" s="191">
        <v>400</v>
      </c>
      <c r="E27" s="191">
        <v>80</v>
      </c>
      <c r="F27" s="190">
        <v>80</v>
      </c>
      <c r="G27" s="56">
        <f t="shared" si="3"/>
        <v>10</v>
      </c>
      <c r="H27" s="56">
        <f t="shared" si="4"/>
        <v>2</v>
      </c>
      <c r="I27" s="56">
        <f t="shared" si="5"/>
        <v>2</v>
      </c>
      <c r="J27" s="57">
        <f t="shared" si="0"/>
        <v>3.7283453044287149E-4</v>
      </c>
      <c r="K27" s="57">
        <f t="shared" si="1"/>
        <v>1.8905959394725709E-4</v>
      </c>
      <c r="L27" s="57">
        <f t="shared" si="2"/>
        <v>2.0240302997335871E-4</v>
      </c>
    </row>
    <row r="28" spans="1:17" s="7" customFormat="1" ht="6" customHeight="1" thickBot="1" x14ac:dyDescent="0.3">
      <c r="B28" s="89"/>
      <c r="C28" s="99"/>
      <c r="D28" s="99"/>
      <c r="E28" s="93"/>
      <c r="F28" s="92"/>
      <c r="G28" s="100"/>
      <c r="H28" s="84"/>
      <c r="I28" s="101"/>
      <c r="J28" s="85"/>
      <c r="K28" s="85"/>
      <c r="L28" s="85"/>
    </row>
    <row r="29" spans="1:17" s="12" customFormat="1" ht="24.95" customHeight="1" thickTop="1" thickBot="1" x14ac:dyDescent="0.3">
      <c r="A29" s="13"/>
      <c r="B29" s="90" t="s">
        <v>13</v>
      </c>
      <c r="C29" s="63">
        <f>SUM(C11:C27)</f>
        <v>20312000</v>
      </c>
      <c r="D29" s="63">
        <f>SUM(D11:D27)</f>
        <v>1072862</v>
      </c>
      <c r="E29" s="62">
        <f>SUM(E11:E27)</f>
        <v>423147</v>
      </c>
      <c r="F29" s="102">
        <f>SUM(F11:F27)</f>
        <v>395251</v>
      </c>
      <c r="G29" s="94"/>
      <c r="H29" s="94"/>
      <c r="I29" s="94"/>
      <c r="J29" s="95">
        <f>SUM(J11:J27)</f>
        <v>1</v>
      </c>
      <c r="K29" s="64">
        <f>SUM(K11:K27)</f>
        <v>1.0000000000000002</v>
      </c>
      <c r="L29" s="65">
        <f>SUM(L11:L27)</f>
        <v>0.99999999999999989</v>
      </c>
      <c r="M29" s="13"/>
      <c r="N29" s="13"/>
      <c r="O29" s="13"/>
      <c r="P29" s="13"/>
      <c r="Q29" s="13"/>
    </row>
    <row r="30" spans="1:17" ht="15.75" thickTop="1" x14ac:dyDescent="0.25">
      <c r="B30" s="15"/>
    </row>
    <row r="31" spans="1:17" x14ac:dyDescent="0.25">
      <c r="B31" s="15"/>
    </row>
    <row r="32" spans="1:17" x14ac:dyDescent="0.25">
      <c r="B32" s="66" t="s">
        <v>396</v>
      </c>
      <c r="C32" s="67"/>
      <c r="D32" s="67"/>
      <c r="E32" s="67"/>
      <c r="F32" s="67"/>
    </row>
    <row r="33" spans="1:17" x14ac:dyDescent="0.25">
      <c r="A33" s="21"/>
      <c r="B33" s="67" t="s">
        <v>252</v>
      </c>
      <c r="C33" s="68"/>
      <c r="D33" s="68"/>
      <c r="E33" s="68"/>
      <c r="F33" s="68"/>
      <c r="G33" s="87"/>
      <c r="H33" s="88"/>
      <c r="I33"/>
      <c r="J33"/>
      <c r="K33"/>
      <c r="L33"/>
      <c r="M33"/>
      <c r="N33"/>
      <c r="O33"/>
      <c r="P33"/>
      <c r="Q33"/>
    </row>
    <row r="34" spans="1:17" ht="14.45" customHeight="1" x14ac:dyDescent="0.25">
      <c r="A34" s="21"/>
      <c r="B34" s="67"/>
      <c r="C34" s="68"/>
      <c r="D34" s="68"/>
      <c r="E34" s="68"/>
      <c r="F34" s="68"/>
      <c r="G34" s="87"/>
      <c r="H34" s="88"/>
      <c r="I34"/>
      <c r="J34"/>
      <c r="K34"/>
      <c r="L34"/>
      <c r="M34"/>
      <c r="N34"/>
      <c r="O34"/>
      <c r="P34"/>
      <c r="Q34"/>
    </row>
    <row r="35" spans="1:17" x14ac:dyDescent="0.25">
      <c r="A35"/>
      <c r="B35" s="79" t="s">
        <v>397</v>
      </c>
      <c r="C35" s="68"/>
      <c r="D35" s="68"/>
      <c r="E35" s="68"/>
      <c r="F35" s="68"/>
      <c r="G35" s="88"/>
      <c r="H35" s="88"/>
      <c r="I35"/>
      <c r="J35"/>
      <c r="K35"/>
      <c r="L35"/>
      <c r="M35"/>
      <c r="N35"/>
      <c r="O35"/>
      <c r="P35"/>
      <c r="Q35"/>
    </row>
    <row r="36" spans="1:17" x14ac:dyDescent="0.25">
      <c r="A36" s="21"/>
      <c r="B36" s="69" t="s">
        <v>170</v>
      </c>
      <c r="C36" s="68"/>
      <c r="D36" s="68"/>
      <c r="E36" s="68"/>
      <c r="F36" s="68"/>
      <c r="G36" s="88"/>
      <c r="H36" s="88"/>
      <c r="I36"/>
      <c r="J36"/>
      <c r="K36"/>
      <c r="L36"/>
      <c r="M36"/>
      <c r="N36"/>
      <c r="O36"/>
      <c r="P36"/>
      <c r="Q36"/>
    </row>
    <row r="37" spans="1:17" x14ac:dyDescent="0.25">
      <c r="B37" s="67" t="s">
        <v>179</v>
      </c>
      <c r="C37" s="67"/>
      <c r="D37" s="67"/>
      <c r="E37" s="67"/>
      <c r="F37" s="67"/>
      <c r="G37" s="87"/>
      <c r="H37" s="87"/>
    </row>
    <row r="38" spans="1:17" x14ac:dyDescent="0.25">
      <c r="B38" s="69" t="s">
        <v>382</v>
      </c>
      <c r="C38" s="67"/>
      <c r="D38" s="67"/>
      <c r="E38" s="67"/>
      <c r="F38" s="67"/>
      <c r="G38" s="87"/>
      <c r="H38" s="87"/>
    </row>
    <row r="39" spans="1:17" x14ac:dyDescent="0.25">
      <c r="B39" s="87"/>
      <c r="C39" s="87"/>
      <c r="D39" s="87"/>
      <c r="E39" s="87"/>
      <c r="F39" s="87"/>
      <c r="G39" s="87"/>
      <c r="H39" s="87"/>
    </row>
    <row r="40" spans="1:17" x14ac:dyDescent="0.25">
      <c r="B40" s="66" t="s">
        <v>398</v>
      </c>
    </row>
  </sheetData>
  <mergeCells count="8">
    <mergeCell ref="C6:C7"/>
    <mergeCell ref="D6:F6"/>
    <mergeCell ref="G6:I6"/>
    <mergeCell ref="J6:L6"/>
    <mergeCell ref="B7:B8"/>
    <mergeCell ref="D7:F7"/>
    <mergeCell ref="G7:I7"/>
    <mergeCell ref="J7:L7"/>
  </mergeCells>
  <hyperlinks>
    <hyperlink ref="B1" location="Start!A1" display="Back to home page" xr:uid="{7986BA0E-0E23-4A0C-AF38-DA97BEF51E09}"/>
  </hyperlinks>
  <pageMargins left="0.7" right="0.7" top="0.75" bottom="0.75" header="0.3" footer="0.3"/>
  <pageSetup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622FB-A738-4118-A1CC-5884DF7F59A7}">
  <sheetPr>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268</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7"/>
      <c r="D10" s="98"/>
      <c r="E10" s="98"/>
      <c r="F10" s="98"/>
      <c r="G10" s="98"/>
      <c r="H10" s="98"/>
      <c r="I10" s="98"/>
      <c r="J10" s="98"/>
      <c r="K10" s="98"/>
      <c r="L10" s="98"/>
    </row>
    <row r="11" spans="1:17" x14ac:dyDescent="0.25">
      <c r="B11" s="89" t="s">
        <v>3</v>
      </c>
      <c r="C11" s="53">
        <v>381100</v>
      </c>
      <c r="D11" s="53">
        <v>47637.5</v>
      </c>
      <c r="E11" s="53">
        <v>7622</v>
      </c>
      <c r="F11" s="53">
        <v>4573.2</v>
      </c>
      <c r="G11" s="56">
        <f>IFERROR(D11*1000/C11,"-")</f>
        <v>125</v>
      </c>
      <c r="H11" s="56">
        <f>IFERROR(E11*1000/C11,"-")</f>
        <v>20</v>
      </c>
      <c r="I11" s="56">
        <f>IFERROR(F11*1000/C11,"-")</f>
        <v>12</v>
      </c>
      <c r="J11" s="57">
        <f t="shared" ref="J11:J30" si="0">D11/$D$33</f>
        <v>0.28072426370924131</v>
      </c>
      <c r="K11" s="57">
        <f t="shared" ref="K11:K31" si="1">E11/$E$33</f>
        <v>0.22365196069441504</v>
      </c>
      <c r="L11" s="57">
        <f t="shared" ref="L11:L31" si="2">F11/$F$33</f>
        <v>0.15696156566175731</v>
      </c>
    </row>
    <row r="12" spans="1:17" x14ac:dyDescent="0.25">
      <c r="B12" s="103" t="s">
        <v>27</v>
      </c>
      <c r="C12" s="71">
        <v>397200</v>
      </c>
      <c r="D12" s="71">
        <v>30187.200000000001</v>
      </c>
      <c r="E12" s="71">
        <v>7944</v>
      </c>
      <c r="F12" s="71">
        <v>5958</v>
      </c>
      <c r="G12" s="74">
        <f t="shared" ref="G12:G31" si="3">IFERROR(D12*1000/C12,"-")</f>
        <v>76</v>
      </c>
      <c r="H12" s="74">
        <f t="shared" ref="H12:H31" si="4">IFERROR(E12*1000/C12,"-")</f>
        <v>20</v>
      </c>
      <c r="I12" s="74">
        <f t="shared" ref="I12:I31" si="5">IFERROR(F12*1000/C12,"-")</f>
        <v>15</v>
      </c>
      <c r="J12" s="75">
        <f t="shared" si="0"/>
        <v>0.17789093662437383</v>
      </c>
      <c r="K12" s="75">
        <f t="shared" si="1"/>
        <v>0.23310039041674532</v>
      </c>
      <c r="L12" s="75">
        <f t="shared" si="2"/>
        <v>0.20449073038851354</v>
      </c>
    </row>
    <row r="13" spans="1:17" x14ac:dyDescent="0.25">
      <c r="B13" s="89" t="s">
        <v>28</v>
      </c>
      <c r="C13" s="53">
        <v>213440</v>
      </c>
      <c r="D13" s="53">
        <v>15794.560000000001</v>
      </c>
      <c r="E13" s="53">
        <v>4268.7999999999993</v>
      </c>
      <c r="F13" s="53">
        <v>3201.6</v>
      </c>
      <c r="G13" s="56">
        <f t="shared" si="3"/>
        <v>74.000000000000014</v>
      </c>
      <c r="H13" s="56">
        <f t="shared" si="4"/>
        <v>19.999999999999996</v>
      </c>
      <c r="I13" s="56">
        <f t="shared" si="5"/>
        <v>15</v>
      </c>
      <c r="J13" s="57">
        <f t="shared" si="0"/>
        <v>9.3076173741515278E-2</v>
      </c>
      <c r="K13" s="57">
        <f t="shared" si="1"/>
        <v>0.12525918260460756</v>
      </c>
      <c r="L13" s="57">
        <f t="shared" si="2"/>
        <v>0.10988545189860102</v>
      </c>
    </row>
    <row r="14" spans="1:17" x14ac:dyDescent="0.25">
      <c r="B14" s="103" t="s">
        <v>29</v>
      </c>
      <c r="C14" s="71">
        <v>1000</v>
      </c>
      <c r="D14" s="71">
        <v>125</v>
      </c>
      <c r="E14" s="71">
        <v>45</v>
      </c>
      <c r="F14" s="71">
        <v>15</v>
      </c>
      <c r="G14" s="74">
        <f t="shared" si="3"/>
        <v>125</v>
      </c>
      <c r="H14" s="74">
        <f t="shared" si="4"/>
        <v>45</v>
      </c>
      <c r="I14" s="74">
        <f t="shared" si="5"/>
        <v>15</v>
      </c>
      <c r="J14" s="75">
        <f t="shared" si="0"/>
        <v>7.3661575363222589E-4</v>
      </c>
      <c r="K14" s="75">
        <f t="shared" si="1"/>
        <v>1.3204327251703852E-3</v>
      </c>
      <c r="L14" s="75">
        <f t="shared" si="2"/>
        <v>5.1483064045446504E-4</v>
      </c>
    </row>
    <row r="15" spans="1:17" x14ac:dyDescent="0.25">
      <c r="B15" s="89" t="s">
        <v>30</v>
      </c>
      <c r="C15" s="53">
        <v>0</v>
      </c>
      <c r="D15" s="53">
        <v>0</v>
      </c>
      <c r="E15" s="53">
        <v>0</v>
      </c>
      <c r="F15" s="53">
        <v>0</v>
      </c>
      <c r="G15" s="56" t="str">
        <f t="shared" si="3"/>
        <v>-</v>
      </c>
      <c r="H15" s="56" t="str">
        <f t="shared" si="4"/>
        <v>-</v>
      </c>
      <c r="I15" s="56" t="str">
        <f t="shared" si="5"/>
        <v>-</v>
      </c>
      <c r="J15" s="57">
        <f t="shared" si="0"/>
        <v>0</v>
      </c>
      <c r="K15" s="57">
        <f t="shared" si="1"/>
        <v>0</v>
      </c>
      <c r="L15" s="57">
        <f t="shared" si="2"/>
        <v>0</v>
      </c>
    </row>
    <row r="16" spans="1:17" x14ac:dyDescent="0.25">
      <c r="B16" s="103" t="s">
        <v>31</v>
      </c>
      <c r="C16" s="71">
        <v>99389</v>
      </c>
      <c r="D16" s="71">
        <v>14113.238000000001</v>
      </c>
      <c r="E16" s="71">
        <v>3776.7819999999997</v>
      </c>
      <c r="F16" s="71">
        <v>2087.1689999999999</v>
      </c>
      <c r="G16" s="74">
        <f t="shared" si="3"/>
        <v>142.00000000000003</v>
      </c>
      <c r="H16" s="74">
        <f t="shared" si="4"/>
        <v>37.999999999999993</v>
      </c>
      <c r="I16" s="74">
        <f t="shared" si="5"/>
        <v>20.999999999999996</v>
      </c>
      <c r="J16" s="75">
        <f t="shared" si="0"/>
        <v>8.3168267564487752E-2</v>
      </c>
      <c r="K16" s="75">
        <f t="shared" si="1"/>
        <v>0.11082192330298794</v>
      </c>
      <c r="L16" s="75">
        <f t="shared" si="2"/>
        <v>7.1635903533780354E-2</v>
      </c>
    </row>
    <row r="17" spans="2:12" x14ac:dyDescent="0.25">
      <c r="B17" s="89" t="s">
        <v>32</v>
      </c>
      <c r="C17" s="53">
        <v>3620</v>
      </c>
      <c r="D17" s="53">
        <v>217.20000000000002</v>
      </c>
      <c r="E17" s="53">
        <v>54.300000000000004</v>
      </c>
      <c r="F17" s="53">
        <v>54.300000000000004</v>
      </c>
      <c r="G17" s="56">
        <f t="shared" si="3"/>
        <v>60.000000000000007</v>
      </c>
      <c r="H17" s="56">
        <f t="shared" si="4"/>
        <v>15.000000000000002</v>
      </c>
      <c r="I17" s="56">
        <f t="shared" si="5"/>
        <v>15.000000000000002</v>
      </c>
      <c r="J17" s="57">
        <f t="shared" si="0"/>
        <v>1.2799435335113557E-3</v>
      </c>
      <c r="K17" s="57">
        <f t="shared" si="1"/>
        <v>1.5933221550389317E-3</v>
      </c>
      <c r="L17" s="57">
        <f t="shared" si="2"/>
        <v>1.8636869184451637E-3</v>
      </c>
    </row>
    <row r="18" spans="2:12" x14ac:dyDescent="0.25">
      <c r="B18" s="103" t="s">
        <v>33</v>
      </c>
      <c r="C18" s="71">
        <v>56630</v>
      </c>
      <c r="D18" s="71">
        <v>0</v>
      </c>
      <c r="E18" s="71">
        <v>1132.6000000000001</v>
      </c>
      <c r="F18" s="71">
        <v>1132.6000000000001</v>
      </c>
      <c r="G18" s="74">
        <f t="shared" si="3"/>
        <v>0</v>
      </c>
      <c r="H18" s="74">
        <f t="shared" si="4"/>
        <v>20.000000000000004</v>
      </c>
      <c r="I18" s="74">
        <f t="shared" si="5"/>
        <v>20.000000000000004</v>
      </c>
      <c r="J18" s="75">
        <f t="shared" si="0"/>
        <v>0</v>
      </c>
      <c r="K18" s="75">
        <f t="shared" si="1"/>
        <v>3.3233824545066189E-2</v>
      </c>
      <c r="L18" s="75">
        <f t="shared" si="2"/>
        <v>3.8873145558581811E-2</v>
      </c>
    </row>
    <row r="19" spans="2:12" x14ac:dyDescent="0.25">
      <c r="B19" s="89" t="s">
        <v>26</v>
      </c>
      <c r="C19" s="53">
        <v>23917</v>
      </c>
      <c r="D19" s="53">
        <v>2200.364</v>
      </c>
      <c r="E19" s="53">
        <v>1793.7749999999999</v>
      </c>
      <c r="F19" s="53">
        <v>4185.4750000000004</v>
      </c>
      <c r="G19" s="56">
        <f t="shared" si="3"/>
        <v>92</v>
      </c>
      <c r="H19" s="56">
        <f t="shared" si="4"/>
        <v>74.999999999999986</v>
      </c>
      <c r="I19" s="56">
        <f t="shared" si="5"/>
        <v>175.00000000000003</v>
      </c>
      <c r="J19" s="57">
        <f t="shared" si="0"/>
        <v>1.2966582289001752E-2</v>
      </c>
      <c r="K19" s="57">
        <f t="shared" si="1"/>
        <v>5.2634649146500165E-2</v>
      </c>
      <c r="L19" s="57">
        <f t="shared" si="2"/>
        <v>0.14365405165707681</v>
      </c>
    </row>
    <row r="20" spans="2:12" x14ac:dyDescent="0.25">
      <c r="B20" s="103" t="s">
        <v>34</v>
      </c>
      <c r="C20" s="71">
        <v>30737</v>
      </c>
      <c r="D20" s="71">
        <v>2920.0149999999999</v>
      </c>
      <c r="E20" s="71">
        <v>1075.7950000000001</v>
      </c>
      <c r="F20" s="71">
        <v>1014.321</v>
      </c>
      <c r="G20" s="74">
        <f t="shared" si="3"/>
        <v>95</v>
      </c>
      <c r="H20" s="74">
        <f t="shared" si="4"/>
        <v>35</v>
      </c>
      <c r="I20" s="74">
        <f t="shared" si="5"/>
        <v>33</v>
      </c>
      <c r="J20" s="75">
        <f t="shared" si="0"/>
        <v>1.7207432398739231E-2</v>
      </c>
      <c r="K20" s="75">
        <f t="shared" si="1"/>
        <v>3.1566998301659439E-2</v>
      </c>
      <c r="L20" s="75">
        <f t="shared" si="2"/>
        <v>3.4813568670427564E-2</v>
      </c>
    </row>
    <row r="21" spans="2:12" x14ac:dyDescent="0.25">
      <c r="B21" s="89" t="s">
        <v>9</v>
      </c>
      <c r="C21" s="53">
        <v>14671</v>
      </c>
      <c r="D21" s="53">
        <v>1100.325</v>
      </c>
      <c r="E21" s="53">
        <v>660.19499999999994</v>
      </c>
      <c r="F21" s="53">
        <v>1613.81</v>
      </c>
      <c r="G21" s="56">
        <f t="shared" si="3"/>
        <v>75</v>
      </c>
      <c r="H21" s="56">
        <f t="shared" si="4"/>
        <v>44.999999999999993</v>
      </c>
      <c r="I21" s="56">
        <f t="shared" si="5"/>
        <v>110</v>
      </c>
      <c r="J21" s="57">
        <f t="shared" si="0"/>
        <v>6.4841338329230313E-3</v>
      </c>
      <c r="K21" s="57">
        <f t="shared" si="1"/>
        <v>1.937206851097472E-2</v>
      </c>
      <c r="L21" s="57">
        <f t="shared" si="2"/>
        <v>5.5389255724788013E-2</v>
      </c>
    </row>
    <row r="22" spans="2:12" x14ac:dyDescent="0.25">
      <c r="B22" s="103" t="s">
        <v>35</v>
      </c>
      <c r="C22" s="71">
        <v>17599</v>
      </c>
      <c r="D22" s="71">
        <v>879.95</v>
      </c>
      <c r="E22" s="71">
        <v>175.99</v>
      </c>
      <c r="F22" s="71">
        <v>263.98500000000001</v>
      </c>
      <c r="G22" s="74">
        <f t="shared" si="3"/>
        <v>50</v>
      </c>
      <c r="H22" s="74">
        <f t="shared" si="4"/>
        <v>10</v>
      </c>
      <c r="I22" s="74">
        <f t="shared" si="5"/>
        <v>15</v>
      </c>
      <c r="J22" s="75">
        <f t="shared" si="0"/>
        <v>5.1854802592694177E-3</v>
      </c>
      <c r="K22" s="75">
        <f t="shared" si="1"/>
        <v>5.1640656733941354E-3</v>
      </c>
      <c r="L22" s="75">
        <f t="shared" si="2"/>
        <v>9.0605044413581311E-3</v>
      </c>
    </row>
    <row r="23" spans="2:12" x14ac:dyDescent="0.25">
      <c r="B23" s="89" t="s">
        <v>36</v>
      </c>
      <c r="C23" s="53">
        <v>0</v>
      </c>
      <c r="D23" s="53">
        <v>0</v>
      </c>
      <c r="E23" s="53">
        <v>0</v>
      </c>
      <c r="F23" s="53">
        <v>0</v>
      </c>
      <c r="G23" s="56" t="str">
        <f t="shared" si="3"/>
        <v>-</v>
      </c>
      <c r="H23" s="56" t="str">
        <f t="shared" si="4"/>
        <v>-</v>
      </c>
      <c r="I23" s="56" t="str">
        <f t="shared" si="5"/>
        <v>-</v>
      </c>
      <c r="J23" s="57">
        <f t="shared" si="0"/>
        <v>0</v>
      </c>
      <c r="K23" s="57">
        <f t="shared" si="1"/>
        <v>0</v>
      </c>
      <c r="L23" s="57">
        <f t="shared" si="2"/>
        <v>0</v>
      </c>
    </row>
    <row r="24" spans="2:12" x14ac:dyDescent="0.25">
      <c r="B24" s="103" t="s">
        <v>37</v>
      </c>
      <c r="C24" s="71">
        <v>53302</v>
      </c>
      <c r="D24" s="71">
        <v>1439.154</v>
      </c>
      <c r="E24" s="71">
        <v>533.0200000000001</v>
      </c>
      <c r="F24" s="71">
        <v>799.53</v>
      </c>
      <c r="G24" s="74">
        <f t="shared" si="3"/>
        <v>27</v>
      </c>
      <c r="H24" s="74">
        <f t="shared" si="4"/>
        <v>10.000000000000002</v>
      </c>
      <c r="I24" s="74">
        <f t="shared" si="5"/>
        <v>15</v>
      </c>
      <c r="J24" s="75">
        <f t="shared" si="0"/>
        <v>8.4808280664226583E-3</v>
      </c>
      <c r="K24" s="75">
        <f t="shared" si="1"/>
        <v>1.5640378914895975E-2</v>
      </c>
      <c r="L24" s="75">
        <f t="shared" si="2"/>
        <v>2.7441502797503896E-2</v>
      </c>
    </row>
    <row r="25" spans="2:12" x14ac:dyDescent="0.25">
      <c r="B25" s="89" t="s">
        <v>38</v>
      </c>
      <c r="C25" s="53">
        <v>16400</v>
      </c>
      <c r="D25" s="53">
        <v>1066</v>
      </c>
      <c r="E25" s="53">
        <v>738</v>
      </c>
      <c r="F25" s="53">
        <v>246</v>
      </c>
      <c r="G25" s="56">
        <f t="shared" si="3"/>
        <v>65</v>
      </c>
      <c r="H25" s="56">
        <f t="shared" si="4"/>
        <v>45</v>
      </c>
      <c r="I25" s="56">
        <f t="shared" si="5"/>
        <v>15</v>
      </c>
      <c r="J25" s="57">
        <f t="shared" si="0"/>
        <v>6.2818591469756225E-3</v>
      </c>
      <c r="K25" s="57">
        <f t="shared" si="1"/>
        <v>2.1655096692794317E-2</v>
      </c>
      <c r="L25" s="57">
        <f t="shared" si="2"/>
        <v>8.4432225034532273E-3</v>
      </c>
    </row>
    <row r="26" spans="2:12" x14ac:dyDescent="0.25">
      <c r="B26" s="103" t="s">
        <v>39</v>
      </c>
      <c r="C26" s="71">
        <v>9987</v>
      </c>
      <c r="D26" s="71">
        <v>399.48</v>
      </c>
      <c r="E26" s="71">
        <v>399.48</v>
      </c>
      <c r="F26" s="71">
        <v>149.80500000000001</v>
      </c>
      <c r="G26" s="74">
        <f t="shared" si="3"/>
        <v>40</v>
      </c>
      <c r="H26" s="74">
        <f t="shared" si="4"/>
        <v>40</v>
      </c>
      <c r="I26" s="74">
        <f t="shared" si="5"/>
        <v>15</v>
      </c>
      <c r="J26" s="75">
        <f t="shared" si="0"/>
        <v>2.3541060900880129E-3</v>
      </c>
      <c r="K26" s="75">
        <f t="shared" si="1"/>
        <v>1.1721921445579233E-2</v>
      </c>
      <c r="L26" s="75">
        <f t="shared" si="2"/>
        <v>5.1416136062187425E-3</v>
      </c>
    </row>
    <row r="27" spans="2:12" x14ac:dyDescent="0.25">
      <c r="B27" s="89" t="s">
        <v>40</v>
      </c>
      <c r="C27" s="53">
        <v>1000</v>
      </c>
      <c r="D27" s="53">
        <v>0</v>
      </c>
      <c r="E27" s="53">
        <v>0</v>
      </c>
      <c r="F27" s="53">
        <v>0</v>
      </c>
      <c r="G27" s="56">
        <f t="shared" si="3"/>
        <v>0</v>
      </c>
      <c r="H27" s="56">
        <f t="shared" si="4"/>
        <v>0</v>
      </c>
      <c r="I27" s="56">
        <f t="shared" si="5"/>
        <v>0</v>
      </c>
      <c r="J27" s="57">
        <f t="shared" si="0"/>
        <v>0</v>
      </c>
      <c r="K27" s="57">
        <f t="shared" si="1"/>
        <v>0</v>
      </c>
      <c r="L27" s="57">
        <f t="shared" si="2"/>
        <v>0</v>
      </c>
    </row>
    <row r="28" spans="2:12" x14ac:dyDescent="0.25">
      <c r="B28" s="103" t="s">
        <v>41</v>
      </c>
      <c r="C28" s="71">
        <v>1000</v>
      </c>
      <c r="D28" s="71">
        <v>65</v>
      </c>
      <c r="E28" s="71">
        <v>40</v>
      </c>
      <c r="F28" s="71">
        <v>15</v>
      </c>
      <c r="G28" s="74">
        <f t="shared" si="3"/>
        <v>65</v>
      </c>
      <c r="H28" s="74">
        <f t="shared" si="4"/>
        <v>40</v>
      </c>
      <c r="I28" s="74">
        <f t="shared" si="5"/>
        <v>15</v>
      </c>
      <c r="J28" s="75">
        <f t="shared" si="0"/>
        <v>3.8304019188875745E-4</v>
      </c>
      <c r="K28" s="75">
        <f t="shared" si="1"/>
        <v>1.1737179779292312E-3</v>
      </c>
      <c r="L28" s="75">
        <f t="shared" si="2"/>
        <v>5.1483064045446504E-4</v>
      </c>
    </row>
    <row r="29" spans="2:12" x14ac:dyDescent="0.25">
      <c r="B29" s="89" t="s">
        <v>42</v>
      </c>
      <c r="C29" s="53">
        <v>4000</v>
      </c>
      <c r="D29" s="53">
        <v>100</v>
      </c>
      <c r="E29" s="53">
        <v>4</v>
      </c>
      <c r="F29" s="53">
        <v>10</v>
      </c>
      <c r="G29" s="56">
        <f t="shared" si="3"/>
        <v>25</v>
      </c>
      <c r="H29" s="56">
        <f t="shared" si="4"/>
        <v>1</v>
      </c>
      <c r="I29" s="56">
        <f t="shared" si="5"/>
        <v>2.5</v>
      </c>
      <c r="J29" s="57">
        <f t="shared" si="0"/>
        <v>5.8929260290578069E-4</v>
      </c>
      <c r="K29" s="57">
        <f t="shared" si="1"/>
        <v>1.1737179779292313E-4</v>
      </c>
      <c r="L29" s="57">
        <f t="shared" si="2"/>
        <v>3.4322042696964338E-4</v>
      </c>
    </row>
    <row r="30" spans="2:12" x14ac:dyDescent="0.25">
      <c r="B30" s="103" t="s">
        <v>10</v>
      </c>
      <c r="C30" s="71">
        <v>1519000</v>
      </c>
      <c r="D30" s="71">
        <v>47700</v>
      </c>
      <c r="E30" s="71">
        <v>3816</v>
      </c>
      <c r="F30" s="71">
        <v>3816</v>
      </c>
      <c r="G30" s="74">
        <f t="shared" si="3"/>
        <v>31.402238314680712</v>
      </c>
      <c r="H30" s="74">
        <f t="shared" si="4"/>
        <v>2.5121790651744567</v>
      </c>
      <c r="I30" s="74">
        <f t="shared" si="5"/>
        <v>2.5121790651744567</v>
      </c>
      <c r="J30" s="75">
        <f t="shared" si="0"/>
        <v>0.28109257158605738</v>
      </c>
      <c r="K30" s="75">
        <f t="shared" si="1"/>
        <v>0.11197269509444867</v>
      </c>
      <c r="L30" s="75">
        <f t="shared" si="2"/>
        <v>0.13097291493161592</v>
      </c>
    </row>
    <row r="31" spans="2:12" x14ac:dyDescent="0.25">
      <c r="B31" s="89" t="s">
        <v>43</v>
      </c>
      <c r="C31" s="53">
        <v>25000</v>
      </c>
      <c r="D31" s="53">
        <v>3750</v>
      </c>
      <c r="E31" s="53">
        <v>0</v>
      </c>
      <c r="F31" s="53">
        <v>0</v>
      </c>
      <c r="G31" s="56">
        <f t="shared" si="3"/>
        <v>150</v>
      </c>
      <c r="H31" s="56">
        <f t="shared" si="4"/>
        <v>0</v>
      </c>
      <c r="I31" s="56">
        <f t="shared" si="5"/>
        <v>0</v>
      </c>
      <c r="J31" s="57">
        <f>D31/$D$33</f>
        <v>2.2098472608966777E-2</v>
      </c>
      <c r="K31" s="57">
        <f t="shared" si="1"/>
        <v>0</v>
      </c>
      <c r="L31" s="57">
        <f t="shared" si="2"/>
        <v>0</v>
      </c>
    </row>
    <row r="32" spans="2:12" ht="6" customHeight="1" thickBot="1" x14ac:dyDescent="0.3">
      <c r="B32" s="89"/>
      <c r="C32" s="99"/>
      <c r="D32" s="99"/>
      <c r="E32" s="93"/>
      <c r="F32" s="92"/>
      <c r="G32" s="100"/>
      <c r="H32" s="84"/>
      <c r="I32" s="101"/>
      <c r="J32" s="85"/>
      <c r="K32" s="85"/>
      <c r="L32" s="85"/>
    </row>
    <row r="33" spans="1:17" s="12" customFormat="1" ht="24.95" customHeight="1" thickTop="1" thickBot="1" x14ac:dyDescent="0.3">
      <c r="A33" s="13"/>
      <c r="B33" s="90" t="s">
        <v>13</v>
      </c>
      <c r="C33" s="63">
        <f t="shared" ref="C33" si="6">SUM(C11:C31)</f>
        <v>2868992</v>
      </c>
      <c r="D33" s="63">
        <f>SUM(D11:D31)</f>
        <v>169694.98599999998</v>
      </c>
      <c r="E33" s="62">
        <f t="shared" ref="E33:F33" si="7">SUM(E11:E31)</f>
        <v>34079.736999999994</v>
      </c>
      <c r="F33" s="102">
        <f t="shared" si="7"/>
        <v>29135.794999999998</v>
      </c>
      <c r="G33" s="94"/>
      <c r="H33" s="94"/>
      <c r="I33" s="94"/>
      <c r="J33" s="95">
        <f t="shared" ref="J33:L33" si="8">SUM(J11:J31)</f>
        <v>1</v>
      </c>
      <c r="K33" s="64">
        <f t="shared" si="8"/>
        <v>1</v>
      </c>
      <c r="L33" s="65">
        <f t="shared" si="8"/>
        <v>1.0000000000000002</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269</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9F1CA1AA-0925-4DCE-A15F-E33F1534DE16}"/>
  </hyperlinks>
  <pageMargins left="0.7" right="0.7" top="0.75" bottom="0.75" header="0.3" footer="0.3"/>
  <pageSetup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85654-9D53-4866-AB04-E17C0F8F85A8}">
  <sheetPr>
    <tabColor rgb="FF92D050"/>
    <pageSetUpPr fitToPage="1"/>
  </sheetPr>
  <dimension ref="A1:BM5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32" width="12.7109375" style="7" customWidth="1"/>
    <col min="33" max="65" width="8.7109375" style="7"/>
  </cols>
  <sheetData>
    <row r="1" spans="1:65" x14ac:dyDescent="0.25">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25">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25">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25">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75" thickBot="1" x14ac:dyDescent="0.3">
      <c r="C5" s="21"/>
    </row>
    <row r="6" spans="1:65" ht="30" customHeight="1" thickTop="1" x14ac:dyDescent="0.25">
      <c r="B6" s="105" t="s">
        <v>387</v>
      </c>
      <c r="C6" s="615" t="s">
        <v>390</v>
      </c>
      <c r="D6" s="616"/>
      <c r="E6" s="617"/>
      <c r="F6" s="615" t="s">
        <v>389</v>
      </c>
      <c r="G6" s="616"/>
      <c r="H6" s="616"/>
      <c r="I6" s="616"/>
      <c r="J6" s="616"/>
      <c r="K6" s="616"/>
      <c r="L6" s="616"/>
      <c r="M6" s="616"/>
      <c r="N6" s="617"/>
      <c r="O6" s="615" t="s">
        <v>392</v>
      </c>
      <c r="P6" s="616"/>
      <c r="Q6" s="616"/>
      <c r="R6" s="616"/>
      <c r="S6" s="616"/>
      <c r="T6" s="616"/>
      <c r="U6" s="616"/>
      <c r="V6" s="616"/>
      <c r="W6" s="617"/>
      <c r="X6" s="615" t="s">
        <v>399</v>
      </c>
      <c r="Y6" s="616"/>
      <c r="Z6" s="616"/>
      <c r="AA6" s="616"/>
      <c r="AB6" s="616"/>
      <c r="AC6" s="616"/>
      <c r="AD6" s="616"/>
      <c r="AE6" s="616"/>
      <c r="AF6" s="617"/>
    </row>
    <row r="7" spans="1:65" ht="25.15" customHeight="1" thickBot="1" x14ac:dyDescent="0.3">
      <c r="B7" s="583" t="s">
        <v>337</v>
      </c>
      <c r="C7" s="599" t="s">
        <v>405</v>
      </c>
      <c r="D7" s="600"/>
      <c r="E7" s="601"/>
      <c r="F7" s="599" t="s">
        <v>14</v>
      </c>
      <c r="G7" s="600"/>
      <c r="H7" s="600"/>
      <c r="I7" s="600"/>
      <c r="J7" s="600"/>
      <c r="K7" s="600"/>
      <c r="L7" s="600"/>
      <c r="M7" s="600"/>
      <c r="N7" s="601"/>
      <c r="O7" s="599" t="s">
        <v>415</v>
      </c>
      <c r="P7" s="600"/>
      <c r="Q7" s="600"/>
      <c r="R7" s="600"/>
      <c r="S7" s="600"/>
      <c r="T7" s="600"/>
      <c r="U7" s="600"/>
      <c r="V7" s="600"/>
      <c r="W7" s="601"/>
      <c r="X7" s="605" t="s">
        <v>0</v>
      </c>
      <c r="Y7" s="634"/>
      <c r="Z7" s="634"/>
      <c r="AA7" s="634"/>
      <c r="AB7" s="634"/>
      <c r="AC7" s="634"/>
      <c r="AD7" s="634"/>
      <c r="AE7" s="634"/>
      <c r="AF7" s="607"/>
    </row>
    <row r="8" spans="1:65" ht="34.15" customHeight="1" thickTop="1" thickBot="1" x14ac:dyDescent="0.3">
      <c r="A8" s="13"/>
      <c r="B8" s="584"/>
      <c r="C8" s="602"/>
      <c r="D8" s="603"/>
      <c r="E8" s="604"/>
      <c r="F8" s="608" t="s">
        <v>388</v>
      </c>
      <c r="G8" s="609"/>
      <c r="H8" s="610"/>
      <c r="I8" s="608" t="s">
        <v>401</v>
      </c>
      <c r="J8" s="609"/>
      <c r="K8" s="610"/>
      <c r="L8" s="608" t="s">
        <v>402</v>
      </c>
      <c r="M8" s="609"/>
      <c r="N8" s="610"/>
      <c r="O8" s="612" t="s">
        <v>388</v>
      </c>
      <c r="P8" s="613"/>
      <c r="Q8" s="614"/>
      <c r="R8" s="612" t="s">
        <v>401</v>
      </c>
      <c r="S8" s="613"/>
      <c r="T8" s="614"/>
      <c r="U8" s="612" t="s">
        <v>402</v>
      </c>
      <c r="V8" s="613"/>
      <c r="W8" s="614"/>
      <c r="X8" s="608" t="s">
        <v>388</v>
      </c>
      <c r="Y8" s="609"/>
      <c r="Z8" s="610"/>
      <c r="AA8" s="608" t="s">
        <v>401</v>
      </c>
      <c r="AB8" s="609"/>
      <c r="AC8" s="610"/>
      <c r="AD8" s="608" t="s">
        <v>402</v>
      </c>
      <c r="AE8" s="609"/>
      <c r="AF8" s="611"/>
      <c r="AG8" s="13"/>
      <c r="AH8" s="13"/>
      <c r="AI8" s="13"/>
      <c r="AJ8" s="13"/>
      <c r="AK8" s="13"/>
      <c r="AL8" s="13"/>
      <c r="AM8" s="13"/>
    </row>
    <row r="9" spans="1:65" ht="34.15" customHeight="1" thickTop="1" thickBot="1" x14ac:dyDescent="0.3">
      <c r="B9" s="106" t="s">
        <v>393</v>
      </c>
      <c r="C9" s="51">
        <v>2014</v>
      </c>
      <c r="D9" s="107">
        <v>2015</v>
      </c>
      <c r="E9" s="51">
        <v>2016</v>
      </c>
      <c r="F9" s="50">
        <v>2014</v>
      </c>
      <c r="G9" s="107">
        <v>2015</v>
      </c>
      <c r="H9" s="52">
        <v>2016</v>
      </c>
      <c r="I9" s="51">
        <v>2014</v>
      </c>
      <c r="J9" s="107">
        <v>2015</v>
      </c>
      <c r="K9" s="51">
        <v>2016</v>
      </c>
      <c r="L9" s="50">
        <v>2014</v>
      </c>
      <c r="M9" s="107">
        <v>2015</v>
      </c>
      <c r="N9" s="51">
        <v>2016</v>
      </c>
      <c r="O9" s="50">
        <v>2014</v>
      </c>
      <c r="P9" s="107">
        <v>2015</v>
      </c>
      <c r="Q9" s="51">
        <v>2016</v>
      </c>
      <c r="R9" s="108">
        <v>2014</v>
      </c>
      <c r="S9" s="107">
        <v>2015</v>
      </c>
      <c r="T9" s="109">
        <v>2016</v>
      </c>
      <c r="U9" s="108">
        <v>2014</v>
      </c>
      <c r="V9" s="107">
        <v>2015</v>
      </c>
      <c r="W9" s="109">
        <v>2016</v>
      </c>
      <c r="X9" s="108">
        <v>2014</v>
      </c>
      <c r="Y9" s="107">
        <v>2015</v>
      </c>
      <c r="Z9" s="109">
        <v>2016</v>
      </c>
      <c r="AA9" s="108">
        <v>2014</v>
      </c>
      <c r="AB9" s="107">
        <v>2015</v>
      </c>
      <c r="AC9" s="109">
        <v>2016</v>
      </c>
      <c r="AD9" s="108">
        <v>2014</v>
      </c>
      <c r="AE9" s="107">
        <v>2015</v>
      </c>
      <c r="AF9" s="110">
        <v>2016</v>
      </c>
    </row>
    <row r="10" spans="1:65" ht="6" customHeight="1" thickTop="1" x14ac:dyDescent="0.25">
      <c r="B10" s="375"/>
      <c r="C10" s="232"/>
      <c r="D10" s="113"/>
      <c r="E10" s="114"/>
      <c r="F10" s="11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25">
      <c r="B11" s="89" t="s">
        <v>67</v>
      </c>
      <c r="C11" s="374">
        <v>3788000</v>
      </c>
      <c r="D11" s="372">
        <v>3584000</v>
      </c>
      <c r="E11" s="373">
        <v>3818000</v>
      </c>
      <c r="F11" s="371">
        <v>49383.3</v>
      </c>
      <c r="G11" s="372">
        <v>42085.86</v>
      </c>
      <c r="H11" s="373">
        <v>63175.02</v>
      </c>
      <c r="I11" s="371">
        <v>11175.7</v>
      </c>
      <c r="J11" s="372">
        <v>12650</v>
      </c>
      <c r="K11" s="373">
        <v>10009.6</v>
      </c>
      <c r="L11" s="371">
        <v>0</v>
      </c>
      <c r="M11" s="372">
        <v>0</v>
      </c>
      <c r="N11" s="373">
        <v>0</v>
      </c>
      <c r="O11" s="124">
        <f>IFERROR(F11*1000/C11,"-")</f>
        <v>13.036774023231256</v>
      </c>
      <c r="P11" s="125">
        <f t="shared" ref="P11:Q22" si="0">IFERROR(G11*1000/D11,"-")</f>
        <v>11.742706473214286</v>
      </c>
      <c r="Q11" s="126">
        <f t="shared" si="0"/>
        <v>16.546626506024097</v>
      </c>
      <c r="R11" s="127">
        <f>IFERROR(I11*1000/C11,"-")</f>
        <v>2.9502903907074973</v>
      </c>
      <c r="S11" s="128">
        <f t="shared" ref="S11:T22" si="1">IFERROR(J11*1000/D11,"-")</f>
        <v>3.5295758928571428</v>
      </c>
      <c r="T11" s="129">
        <f t="shared" si="1"/>
        <v>2.6216867469879519</v>
      </c>
      <c r="U11" s="127">
        <f>IFERROR(L11*1000/C11,"-")</f>
        <v>0</v>
      </c>
      <c r="V11" s="128">
        <f t="shared" ref="V11:W22" si="2">IFERROR(M11*1000/D11,"-")</f>
        <v>0</v>
      </c>
      <c r="W11" s="129">
        <f t="shared" si="2"/>
        <v>0</v>
      </c>
      <c r="X11" s="130">
        <f t="shared" ref="X11:X22" si="3">IFERROR(F11/F$24,"-")</f>
        <v>0.63639273710231015</v>
      </c>
      <c r="Y11" s="131">
        <f t="shared" ref="Y11:Y22" si="4">IFERROR(G11/G$24,"-")</f>
        <v>0.66869205965656764</v>
      </c>
      <c r="Z11" s="132">
        <f t="shared" ref="Z11:Z22" si="5">IFERROR(H11/H$24,"-")</f>
        <v>0.695938792216372</v>
      </c>
      <c r="AA11" s="130">
        <f t="shared" ref="AA11:AA22" si="6">IFERROR(I11/I$24,"-")</f>
        <v>0.36081605506660552</v>
      </c>
      <c r="AB11" s="131">
        <f t="shared" ref="AB11:AB22" si="7">IFERROR(J11/J$24,"-")</f>
        <v>0.22186108654757139</v>
      </c>
      <c r="AC11" s="132">
        <f t="shared" ref="AC11:AC22" si="8">IFERROR(K11/K$24,"-")</f>
        <v>0.51862621255094499</v>
      </c>
      <c r="AD11" s="130">
        <f t="shared" ref="AD11:AD22" si="9">IFERROR(L11/L$24,"-")</f>
        <v>0</v>
      </c>
      <c r="AE11" s="131">
        <f t="shared" ref="AE11:AE22" si="10">IFERROR(M11/M$24,"-")</f>
        <v>0</v>
      </c>
      <c r="AF11" s="133">
        <f t="shared" ref="AF11:AF22" si="11">IFERROR(N11/N$24,"-")</f>
        <v>0</v>
      </c>
    </row>
    <row r="12" spans="1:65" x14ac:dyDescent="0.25">
      <c r="B12" s="103" t="s">
        <v>16</v>
      </c>
      <c r="C12" s="384">
        <v>1154000</v>
      </c>
      <c r="D12" s="385">
        <v>1122000</v>
      </c>
      <c r="E12" s="386">
        <v>1097000</v>
      </c>
      <c r="F12" s="387">
        <v>10391.86</v>
      </c>
      <c r="G12" s="385">
        <v>8627.76</v>
      </c>
      <c r="H12" s="386">
        <v>12718.08</v>
      </c>
      <c r="I12" s="387">
        <v>4349.3</v>
      </c>
      <c r="J12" s="385">
        <v>3410.44</v>
      </c>
      <c r="K12" s="386">
        <v>4065.02</v>
      </c>
      <c r="L12" s="387">
        <v>0</v>
      </c>
      <c r="M12" s="385">
        <v>0</v>
      </c>
      <c r="N12" s="386">
        <v>0</v>
      </c>
      <c r="O12" s="137">
        <f t="shared" ref="O12:O22" si="12">IFERROR(F12*1000/C12,"-")</f>
        <v>9.0050779896013857</v>
      </c>
      <c r="P12" s="138">
        <f t="shared" si="0"/>
        <v>7.6896256684491977</v>
      </c>
      <c r="Q12" s="139">
        <f t="shared" si="0"/>
        <v>11.593509571558796</v>
      </c>
      <c r="R12" s="140">
        <f t="shared" ref="R12:R22" si="13">IFERROR(I12*1000/C12,"-")</f>
        <v>3.7688908145580591</v>
      </c>
      <c r="S12" s="141">
        <f t="shared" si="1"/>
        <v>3.0396078431372549</v>
      </c>
      <c r="T12" s="142">
        <f t="shared" si="1"/>
        <v>3.7055788514129442</v>
      </c>
      <c r="U12" s="140">
        <f t="shared" ref="U12:U22" si="14">IFERROR(L12*1000/C12,"-")</f>
        <v>0</v>
      </c>
      <c r="V12" s="141">
        <f t="shared" si="2"/>
        <v>0</v>
      </c>
      <c r="W12" s="142">
        <f t="shared" si="2"/>
        <v>0</v>
      </c>
      <c r="X12" s="143">
        <f t="shared" si="3"/>
        <v>0.13391782705862129</v>
      </c>
      <c r="Y12" s="144">
        <f t="shared" si="4"/>
        <v>0.13708439377554713</v>
      </c>
      <c r="Z12" s="145">
        <f t="shared" si="5"/>
        <v>0.14010292730435539</v>
      </c>
      <c r="AA12" s="143">
        <f t="shared" si="6"/>
        <v>0.14042048983966887</v>
      </c>
      <c r="AB12" s="144">
        <f t="shared" si="7"/>
        <v>5.9813748933225247E-2</v>
      </c>
      <c r="AC12" s="145">
        <f t="shared" si="8"/>
        <v>0.21062039707319397</v>
      </c>
      <c r="AD12" s="143">
        <f t="shared" si="9"/>
        <v>0</v>
      </c>
      <c r="AE12" s="144">
        <f t="shared" si="10"/>
        <v>0</v>
      </c>
      <c r="AF12" s="146">
        <f t="shared" si="11"/>
        <v>0</v>
      </c>
    </row>
    <row r="13" spans="1:65" x14ac:dyDescent="0.25">
      <c r="B13" s="89" t="s">
        <v>338</v>
      </c>
      <c r="C13" s="374">
        <v>175000</v>
      </c>
      <c r="D13" s="372">
        <v>158000</v>
      </c>
      <c r="E13" s="373">
        <v>164000</v>
      </c>
      <c r="F13" s="371">
        <v>2994.16</v>
      </c>
      <c r="G13" s="372">
        <v>2334.2800000000002</v>
      </c>
      <c r="H13" s="373">
        <v>2763.54</v>
      </c>
      <c r="I13" s="371">
        <v>908.04</v>
      </c>
      <c r="J13" s="372">
        <v>1575.96</v>
      </c>
      <c r="K13" s="373">
        <v>1158.28</v>
      </c>
      <c r="L13" s="371">
        <v>335.58</v>
      </c>
      <c r="M13" s="372">
        <v>335.92</v>
      </c>
      <c r="N13" s="373">
        <v>305.49</v>
      </c>
      <c r="O13" s="124">
        <f t="shared" si="12"/>
        <v>17.109485714285714</v>
      </c>
      <c r="P13" s="125">
        <f t="shared" si="0"/>
        <v>14.773924050632912</v>
      </c>
      <c r="Q13" s="126">
        <f t="shared" si="0"/>
        <v>16.850853658536586</v>
      </c>
      <c r="R13" s="127">
        <f t="shared" si="13"/>
        <v>5.1887999999999996</v>
      </c>
      <c r="S13" s="128">
        <f t="shared" si="1"/>
        <v>9.9744303797468348</v>
      </c>
      <c r="T13" s="129">
        <f t="shared" si="1"/>
        <v>7.0626829268292681</v>
      </c>
      <c r="U13" s="127">
        <f t="shared" si="14"/>
        <v>1.9176</v>
      </c>
      <c r="V13" s="128">
        <f t="shared" si="2"/>
        <v>2.1260759493670887</v>
      </c>
      <c r="W13" s="129">
        <f t="shared" si="2"/>
        <v>1.8627439024390244</v>
      </c>
      <c r="X13" s="130">
        <f t="shared" si="3"/>
        <v>3.858514270456314E-2</v>
      </c>
      <c r="Y13" s="131">
        <f t="shared" si="4"/>
        <v>3.7088810850369525E-2</v>
      </c>
      <c r="Z13" s="132">
        <f t="shared" si="5"/>
        <v>3.044327789435813E-2</v>
      </c>
      <c r="AA13" s="130">
        <f t="shared" si="6"/>
        <v>2.9316768582073646E-2</v>
      </c>
      <c r="AB13" s="131">
        <f t="shared" si="7"/>
        <v>2.7639857545890167E-2</v>
      </c>
      <c r="AC13" s="132">
        <f t="shared" si="8"/>
        <v>6.0013823676621295E-2</v>
      </c>
      <c r="AD13" s="130">
        <f t="shared" si="9"/>
        <v>3.2760095123179823E-2</v>
      </c>
      <c r="AE13" s="131">
        <f t="shared" si="10"/>
        <v>4.0596818675116678E-2</v>
      </c>
      <c r="AF13" s="133">
        <f t="shared" si="11"/>
        <v>0.13882249225204266</v>
      </c>
    </row>
    <row r="14" spans="1:65" x14ac:dyDescent="0.25">
      <c r="B14" s="103" t="s">
        <v>339</v>
      </c>
      <c r="C14" s="384">
        <v>1125000</v>
      </c>
      <c r="D14" s="385">
        <v>1181000</v>
      </c>
      <c r="E14" s="386">
        <v>1120000</v>
      </c>
      <c r="F14" s="387">
        <v>2772.42</v>
      </c>
      <c r="G14" s="385">
        <v>2295.3000000000002</v>
      </c>
      <c r="H14" s="386">
        <v>4391.8599999999997</v>
      </c>
      <c r="I14" s="387">
        <v>1372.57</v>
      </c>
      <c r="J14" s="385">
        <v>519.01</v>
      </c>
      <c r="K14" s="386">
        <v>560.05999999999995</v>
      </c>
      <c r="L14" s="387">
        <v>0</v>
      </c>
      <c r="M14" s="385">
        <v>0</v>
      </c>
      <c r="N14" s="386">
        <v>0</v>
      </c>
      <c r="O14" s="137">
        <f t="shared" si="12"/>
        <v>2.4643733333333335</v>
      </c>
      <c r="P14" s="138">
        <f t="shared" si="0"/>
        <v>1.9435224386113463</v>
      </c>
      <c r="Q14" s="139">
        <f t="shared" si="0"/>
        <v>3.9213035714285716</v>
      </c>
      <c r="R14" s="140">
        <f t="shared" si="13"/>
        <v>1.2200622222222222</v>
      </c>
      <c r="S14" s="141">
        <f t="shared" si="1"/>
        <v>0.43946655376799321</v>
      </c>
      <c r="T14" s="142">
        <f t="shared" si="1"/>
        <v>0.50005357142857143</v>
      </c>
      <c r="U14" s="140">
        <f t="shared" si="14"/>
        <v>0</v>
      </c>
      <c r="V14" s="141">
        <f t="shared" si="2"/>
        <v>0</v>
      </c>
      <c r="W14" s="142">
        <f t="shared" si="2"/>
        <v>0</v>
      </c>
      <c r="X14" s="143">
        <f t="shared" si="3"/>
        <v>3.572762355284452E-2</v>
      </c>
      <c r="Y14" s="144">
        <f t="shared" si="4"/>
        <v>3.6469467049734042E-2</v>
      </c>
      <c r="Z14" s="145">
        <f t="shared" si="5"/>
        <v>4.8380922459278927E-2</v>
      </c>
      <c r="AA14" s="143">
        <f t="shared" si="6"/>
        <v>4.431447629256071E-2</v>
      </c>
      <c r="AB14" s="144">
        <f t="shared" si="7"/>
        <v>9.1026183817434804E-3</v>
      </c>
      <c r="AC14" s="145">
        <f t="shared" si="8"/>
        <v>2.9018322070940121E-2</v>
      </c>
      <c r="AD14" s="143">
        <f t="shared" si="9"/>
        <v>0</v>
      </c>
      <c r="AE14" s="144">
        <f t="shared" si="10"/>
        <v>0</v>
      </c>
      <c r="AF14" s="146">
        <f t="shared" si="11"/>
        <v>0</v>
      </c>
    </row>
    <row r="15" spans="1:65" x14ac:dyDescent="0.25">
      <c r="B15" s="89" t="s">
        <v>330</v>
      </c>
      <c r="C15" s="374">
        <v>217000</v>
      </c>
      <c r="D15" s="372">
        <v>228000</v>
      </c>
      <c r="E15" s="373">
        <v>148000</v>
      </c>
      <c r="F15" s="371">
        <v>977.81</v>
      </c>
      <c r="G15" s="372">
        <v>765.03</v>
      </c>
      <c r="H15" s="373">
        <v>1463.91</v>
      </c>
      <c r="I15" s="371">
        <v>457.56</v>
      </c>
      <c r="J15" s="372">
        <v>1224.29</v>
      </c>
      <c r="K15" s="373">
        <v>186.69</v>
      </c>
      <c r="L15" s="371">
        <v>0</v>
      </c>
      <c r="M15" s="372">
        <v>0</v>
      </c>
      <c r="N15" s="373">
        <v>0</v>
      </c>
      <c r="O15" s="124">
        <f t="shared" si="12"/>
        <v>4.5060368663594472</v>
      </c>
      <c r="P15" s="125">
        <f t="shared" si="0"/>
        <v>3.3553947368421051</v>
      </c>
      <c r="Q15" s="126">
        <f t="shared" si="0"/>
        <v>9.8912837837837841</v>
      </c>
      <c r="R15" s="127">
        <f t="shared" si="13"/>
        <v>2.1085714285714285</v>
      </c>
      <c r="S15" s="128">
        <f t="shared" si="1"/>
        <v>5.3696929824561401</v>
      </c>
      <c r="T15" s="129">
        <f t="shared" si="1"/>
        <v>1.2614189189189189</v>
      </c>
      <c r="U15" s="127">
        <f t="shared" si="14"/>
        <v>0</v>
      </c>
      <c r="V15" s="128">
        <f t="shared" si="2"/>
        <v>0</v>
      </c>
      <c r="W15" s="129">
        <f t="shared" si="2"/>
        <v>0</v>
      </c>
      <c r="X15" s="130">
        <f t="shared" si="3"/>
        <v>1.2600842435924894E-2</v>
      </c>
      <c r="Y15" s="131">
        <f t="shared" si="4"/>
        <v>1.2155376803493238E-2</v>
      </c>
      <c r="Z15" s="132">
        <f t="shared" si="5"/>
        <v>1.6126496791191665E-2</v>
      </c>
      <c r="AA15" s="130">
        <f t="shared" si="6"/>
        <v>1.4772675909005792E-2</v>
      </c>
      <c r="AB15" s="131">
        <f t="shared" si="7"/>
        <v>2.147211933986768E-2</v>
      </c>
      <c r="AC15" s="132">
        <f t="shared" si="8"/>
        <v>9.6729467332496728E-3</v>
      </c>
      <c r="AD15" s="130">
        <f t="shared" si="9"/>
        <v>0</v>
      </c>
      <c r="AE15" s="131">
        <f t="shared" si="10"/>
        <v>0</v>
      </c>
      <c r="AF15" s="133">
        <f t="shared" si="11"/>
        <v>0</v>
      </c>
    </row>
    <row r="16" spans="1:65" x14ac:dyDescent="0.25">
      <c r="B16" s="103" t="s">
        <v>340</v>
      </c>
      <c r="C16" s="384">
        <v>62000</v>
      </c>
      <c r="D16" s="385">
        <v>43000</v>
      </c>
      <c r="E16" s="386">
        <v>38000</v>
      </c>
      <c r="F16" s="387">
        <v>208.8</v>
      </c>
      <c r="G16" s="385">
        <v>160.69999999999999</v>
      </c>
      <c r="H16" s="386">
        <v>236.4</v>
      </c>
      <c r="I16" s="387">
        <v>53.28</v>
      </c>
      <c r="J16" s="385">
        <v>36</v>
      </c>
      <c r="K16" s="386">
        <v>55.08</v>
      </c>
      <c r="L16" s="387">
        <v>2795.76</v>
      </c>
      <c r="M16" s="385">
        <v>940.8</v>
      </c>
      <c r="N16" s="386">
        <v>824.4</v>
      </c>
      <c r="O16" s="137">
        <f t="shared" si="12"/>
        <v>3.3677419354838709</v>
      </c>
      <c r="P16" s="138">
        <f t="shared" si="0"/>
        <v>3.7372093023255815</v>
      </c>
      <c r="Q16" s="139">
        <f t="shared" si="0"/>
        <v>6.2210526315789476</v>
      </c>
      <c r="R16" s="140">
        <f t="shared" si="13"/>
        <v>0.85935483870967744</v>
      </c>
      <c r="S16" s="141">
        <f t="shared" si="1"/>
        <v>0.83720930232558144</v>
      </c>
      <c r="T16" s="142">
        <f t="shared" si="1"/>
        <v>1.4494736842105262</v>
      </c>
      <c r="U16" s="140">
        <f t="shared" si="14"/>
        <v>45.092903225806452</v>
      </c>
      <c r="V16" s="141">
        <f t="shared" si="2"/>
        <v>21.879069767441859</v>
      </c>
      <c r="W16" s="142">
        <f t="shared" si="2"/>
        <v>21.694736842105264</v>
      </c>
      <c r="X16" s="143">
        <f t="shared" si="3"/>
        <v>2.6907639527322469E-3</v>
      </c>
      <c r="Y16" s="144">
        <f t="shared" si="4"/>
        <v>2.5533234674736459E-3</v>
      </c>
      <c r="Z16" s="145">
        <f t="shared" si="5"/>
        <v>2.6041927723956457E-3</v>
      </c>
      <c r="AA16" s="143">
        <f t="shared" si="6"/>
        <v>1.7201857077363157E-3</v>
      </c>
      <c r="AB16" s="144">
        <f t="shared" si="7"/>
        <v>6.3138332930534147E-4</v>
      </c>
      <c r="AC16" s="145">
        <f t="shared" si="8"/>
        <v>2.8538534793903902E-3</v>
      </c>
      <c r="AD16" s="143">
        <f t="shared" si="9"/>
        <v>0.27292855218303008</v>
      </c>
      <c r="AE16" s="144">
        <f t="shared" si="10"/>
        <v>0.11369816328158422</v>
      </c>
      <c r="AF16" s="146">
        <f t="shared" si="11"/>
        <v>0.37462850702996481</v>
      </c>
    </row>
    <row r="17" spans="1:65" x14ac:dyDescent="0.25">
      <c r="B17" s="89" t="s">
        <v>341</v>
      </c>
      <c r="C17" s="374">
        <v>16000</v>
      </c>
      <c r="D17" s="372">
        <v>11000</v>
      </c>
      <c r="E17" s="373">
        <v>10000</v>
      </c>
      <c r="F17" s="371">
        <v>529.4</v>
      </c>
      <c r="G17" s="372">
        <v>160.80000000000001</v>
      </c>
      <c r="H17" s="373">
        <v>236.4</v>
      </c>
      <c r="I17" s="371">
        <v>10</v>
      </c>
      <c r="J17" s="372">
        <v>11</v>
      </c>
      <c r="K17" s="373">
        <v>15.3</v>
      </c>
      <c r="L17" s="371">
        <v>299.89999999999998</v>
      </c>
      <c r="M17" s="372">
        <v>98</v>
      </c>
      <c r="N17" s="373">
        <v>86</v>
      </c>
      <c r="O17" s="124">
        <f t="shared" si="12"/>
        <v>33.087499999999999</v>
      </c>
      <c r="P17" s="125">
        <f t="shared" si="0"/>
        <v>14.618181818181819</v>
      </c>
      <c r="Q17" s="126">
        <f t="shared" si="0"/>
        <v>23.64</v>
      </c>
      <c r="R17" s="127">
        <f t="shared" si="13"/>
        <v>0.625</v>
      </c>
      <c r="S17" s="128">
        <f t="shared" si="1"/>
        <v>1</v>
      </c>
      <c r="T17" s="129">
        <f t="shared" si="1"/>
        <v>1.53</v>
      </c>
      <c r="U17" s="127">
        <f t="shared" si="14"/>
        <v>18.743749999999999</v>
      </c>
      <c r="V17" s="128">
        <f t="shared" si="2"/>
        <v>8.9090909090909083</v>
      </c>
      <c r="W17" s="129">
        <f t="shared" si="2"/>
        <v>8.6</v>
      </c>
      <c r="X17" s="130">
        <f t="shared" si="3"/>
        <v>6.8222722058259161E-3</v>
      </c>
      <c r="Y17" s="131">
        <f t="shared" si="4"/>
        <v>2.5549123433090373E-3</v>
      </c>
      <c r="Z17" s="132">
        <f t="shared" si="5"/>
        <v>2.6041927723956457E-3</v>
      </c>
      <c r="AA17" s="130">
        <f t="shared" si="6"/>
        <v>3.2285767787843759E-4</v>
      </c>
      <c r="AB17" s="131">
        <f t="shared" si="7"/>
        <v>1.9292268395440989E-4</v>
      </c>
      <c r="AC17" s="132">
        <f t="shared" si="8"/>
        <v>7.9273707760844176E-4</v>
      </c>
      <c r="AD17" s="130">
        <f t="shared" si="9"/>
        <v>2.9276931066933756E-2</v>
      </c>
      <c r="AE17" s="131">
        <f t="shared" si="10"/>
        <v>1.1843558675165023E-2</v>
      </c>
      <c r="AF17" s="133">
        <f t="shared" si="11"/>
        <v>3.9080606022048735E-2</v>
      </c>
    </row>
    <row r="18" spans="1:65" x14ac:dyDescent="0.25">
      <c r="B18" s="103" t="s">
        <v>309</v>
      </c>
      <c r="C18" s="384">
        <v>44000</v>
      </c>
      <c r="D18" s="385">
        <v>42000</v>
      </c>
      <c r="E18" s="386">
        <v>44000</v>
      </c>
      <c r="F18" s="387">
        <v>913.5</v>
      </c>
      <c r="G18" s="385">
        <v>872.76</v>
      </c>
      <c r="H18" s="386">
        <v>926.31</v>
      </c>
      <c r="I18" s="387">
        <v>1656</v>
      </c>
      <c r="J18" s="385">
        <v>839.96</v>
      </c>
      <c r="K18" s="386">
        <v>1627.94</v>
      </c>
      <c r="L18" s="387">
        <v>0</v>
      </c>
      <c r="M18" s="385">
        <v>0</v>
      </c>
      <c r="N18" s="386">
        <v>0</v>
      </c>
      <c r="O18" s="137">
        <f t="shared" si="12"/>
        <v>20.761363636363637</v>
      </c>
      <c r="P18" s="138">
        <f t="shared" si="0"/>
        <v>20.78</v>
      </c>
      <c r="Q18" s="139">
        <f t="shared" si="0"/>
        <v>21.052499999999998</v>
      </c>
      <c r="R18" s="140">
        <f t="shared" si="13"/>
        <v>37.636363636363633</v>
      </c>
      <c r="S18" s="141">
        <f t="shared" si="1"/>
        <v>19.999047619047619</v>
      </c>
      <c r="T18" s="142">
        <f t="shared" si="1"/>
        <v>36.998636363636365</v>
      </c>
      <c r="U18" s="140">
        <f t="shared" si="14"/>
        <v>0</v>
      </c>
      <c r="V18" s="141">
        <f t="shared" si="2"/>
        <v>0</v>
      </c>
      <c r="W18" s="142">
        <f t="shared" si="2"/>
        <v>0</v>
      </c>
      <c r="X18" s="143">
        <f t="shared" si="3"/>
        <v>1.1772092293203579E-2</v>
      </c>
      <c r="Y18" s="144">
        <f t="shared" si="4"/>
        <v>1.3867072740960169E-2</v>
      </c>
      <c r="Z18" s="145">
        <f t="shared" si="5"/>
        <v>1.0204271603205627E-2</v>
      </c>
      <c r="AA18" s="143">
        <f t="shared" si="6"/>
        <v>5.3465231456669267E-2</v>
      </c>
      <c r="AB18" s="144">
        <f t="shared" si="7"/>
        <v>1.473157614675874E-2</v>
      </c>
      <c r="AC18" s="145">
        <f t="shared" si="8"/>
        <v>8.4348261315155992E-2</v>
      </c>
      <c r="AD18" s="143">
        <f t="shared" si="9"/>
        <v>0</v>
      </c>
      <c r="AE18" s="144">
        <f t="shared" si="10"/>
        <v>0</v>
      </c>
      <c r="AF18" s="146">
        <f t="shared" si="11"/>
        <v>0</v>
      </c>
    </row>
    <row r="19" spans="1:65" x14ac:dyDescent="0.25">
      <c r="B19" s="89" t="s">
        <v>7</v>
      </c>
      <c r="C19" s="374">
        <v>23000</v>
      </c>
      <c r="D19" s="372">
        <v>23000</v>
      </c>
      <c r="E19" s="373">
        <v>23000</v>
      </c>
      <c r="F19" s="371">
        <v>1125</v>
      </c>
      <c r="G19" s="372">
        <v>1187.5</v>
      </c>
      <c r="H19" s="373">
        <v>1192.5</v>
      </c>
      <c r="I19" s="371">
        <v>10.5</v>
      </c>
      <c r="J19" s="372">
        <v>12.5</v>
      </c>
      <c r="K19" s="373">
        <v>11.5</v>
      </c>
      <c r="L19" s="371">
        <v>10.5</v>
      </c>
      <c r="M19" s="372">
        <v>12.5</v>
      </c>
      <c r="N19" s="373">
        <v>12.5</v>
      </c>
      <c r="O19" s="124">
        <f t="shared" si="12"/>
        <v>48.913043478260867</v>
      </c>
      <c r="P19" s="125">
        <f t="shared" si="0"/>
        <v>51.630434782608695</v>
      </c>
      <c r="Q19" s="126">
        <f t="shared" si="0"/>
        <v>51.847826086956523</v>
      </c>
      <c r="R19" s="127">
        <f t="shared" si="13"/>
        <v>0.45652173913043476</v>
      </c>
      <c r="S19" s="128">
        <f t="shared" si="1"/>
        <v>0.54347826086956519</v>
      </c>
      <c r="T19" s="129">
        <f t="shared" si="1"/>
        <v>0.5</v>
      </c>
      <c r="U19" s="127">
        <f t="shared" si="14"/>
        <v>0.45652173913043476</v>
      </c>
      <c r="V19" s="128">
        <f t="shared" si="2"/>
        <v>0.54347826086956519</v>
      </c>
      <c r="W19" s="129">
        <f t="shared" si="2"/>
        <v>0.54347826086956519</v>
      </c>
      <c r="X19" s="130">
        <f t="shared" si="3"/>
        <v>1.449765060739357E-2</v>
      </c>
      <c r="Y19" s="131">
        <f t="shared" si="4"/>
        <v>1.8867900545270409E-2</v>
      </c>
      <c r="Z19" s="132">
        <f t="shared" si="5"/>
        <v>1.313663232268108E-2</v>
      </c>
      <c r="AA19" s="130">
        <f t="shared" si="6"/>
        <v>3.3900056177235948E-4</v>
      </c>
      <c r="AB19" s="131">
        <f t="shared" si="7"/>
        <v>2.192303226754658E-4</v>
      </c>
      <c r="AC19" s="132">
        <f t="shared" si="8"/>
        <v>5.9584813022856736E-4</v>
      </c>
      <c r="AD19" s="130">
        <f t="shared" si="9"/>
        <v>1.0250342654311586E-3</v>
      </c>
      <c r="AE19" s="131">
        <f t="shared" si="10"/>
        <v>1.5106579942812529E-3</v>
      </c>
      <c r="AF19" s="133">
        <f t="shared" si="11"/>
        <v>5.6803206427396419E-3</v>
      </c>
    </row>
    <row r="20" spans="1:65" x14ac:dyDescent="0.25">
      <c r="B20" s="103" t="s">
        <v>57</v>
      </c>
      <c r="C20" s="384">
        <v>222000</v>
      </c>
      <c r="D20" s="385">
        <v>219000</v>
      </c>
      <c r="E20" s="386">
        <v>231000</v>
      </c>
      <c r="F20" s="387">
        <v>2466.5300000000002</v>
      </c>
      <c r="G20" s="385">
        <v>1772.59</v>
      </c>
      <c r="H20" s="386">
        <v>3425.67</v>
      </c>
      <c r="I20" s="387">
        <v>14.45</v>
      </c>
      <c r="J20" s="385">
        <v>8.5</v>
      </c>
      <c r="K20" s="386">
        <v>12.75</v>
      </c>
      <c r="L20" s="387">
        <v>296.82</v>
      </c>
      <c r="M20" s="385">
        <v>764.32</v>
      </c>
      <c r="N20" s="386">
        <v>256.19</v>
      </c>
      <c r="O20" s="137">
        <f t="shared" si="12"/>
        <v>11.110495495495496</v>
      </c>
      <c r="P20" s="138">
        <f t="shared" si="0"/>
        <v>8.0940182648401819</v>
      </c>
      <c r="Q20" s="139">
        <f t="shared" si="0"/>
        <v>14.829740259740261</v>
      </c>
      <c r="R20" s="140">
        <f t="shared" si="13"/>
        <v>6.5090090090090091E-2</v>
      </c>
      <c r="S20" s="141">
        <f t="shared" si="1"/>
        <v>3.8812785388127852E-2</v>
      </c>
      <c r="T20" s="142">
        <f t="shared" si="1"/>
        <v>5.5194805194805192E-2</v>
      </c>
      <c r="U20" s="140">
        <f t="shared" si="14"/>
        <v>1.337027027027027</v>
      </c>
      <c r="V20" s="141">
        <f t="shared" si="2"/>
        <v>3.4900456621004565</v>
      </c>
      <c r="W20" s="142">
        <f t="shared" si="2"/>
        <v>1.1090476190476191</v>
      </c>
      <c r="X20" s="143">
        <f t="shared" si="3"/>
        <v>3.1785680135692856E-2</v>
      </c>
      <c r="Y20" s="144">
        <f t="shared" si="4"/>
        <v>2.8164254170560735E-2</v>
      </c>
      <c r="Z20" s="145">
        <f t="shared" si="5"/>
        <v>3.7737331026279998E-2</v>
      </c>
      <c r="AA20" s="143">
        <f t="shared" si="6"/>
        <v>4.6652934453434233E-4</v>
      </c>
      <c r="AB20" s="144">
        <f t="shared" si="7"/>
        <v>1.4907661941931675E-4</v>
      </c>
      <c r="AC20" s="145">
        <f t="shared" si="8"/>
        <v>6.606142313403681E-4</v>
      </c>
      <c r="AD20" s="143">
        <f t="shared" si="9"/>
        <v>2.897625434907395E-2</v>
      </c>
      <c r="AE20" s="144">
        <f t="shared" si="10"/>
        <v>9.2370089455123788E-2</v>
      </c>
      <c r="AF20" s="146">
        <f t="shared" si="11"/>
        <v>0.1164193076370775</v>
      </c>
    </row>
    <row r="21" spans="1:65" x14ac:dyDescent="0.25">
      <c r="B21" s="89" t="s">
        <v>342</v>
      </c>
      <c r="C21" s="374">
        <v>4448000</v>
      </c>
      <c r="D21" s="372">
        <v>4503000</v>
      </c>
      <c r="E21" s="373">
        <v>5280000</v>
      </c>
      <c r="F21" s="371">
        <v>847</v>
      </c>
      <c r="G21" s="372">
        <v>522</v>
      </c>
      <c r="H21" s="373">
        <v>139</v>
      </c>
      <c r="I21" s="371">
        <v>4603</v>
      </c>
      <c r="J21" s="372">
        <v>10191</v>
      </c>
      <c r="K21" s="373">
        <v>1000</v>
      </c>
      <c r="L21" s="371">
        <v>2498</v>
      </c>
      <c r="M21" s="372">
        <v>3210</v>
      </c>
      <c r="N21" s="373">
        <v>0</v>
      </c>
      <c r="O21" s="124">
        <f t="shared" si="12"/>
        <v>0.19042266187050361</v>
      </c>
      <c r="P21" s="125">
        <f t="shared" si="0"/>
        <v>0.11592271818787475</v>
      </c>
      <c r="Q21" s="126">
        <f t="shared" si="0"/>
        <v>2.6325757575757575E-2</v>
      </c>
      <c r="R21" s="127">
        <f t="shared" si="13"/>
        <v>1.0348471223021583</v>
      </c>
      <c r="S21" s="128">
        <f t="shared" si="1"/>
        <v>2.263157894736842</v>
      </c>
      <c r="T21" s="129">
        <f t="shared" si="1"/>
        <v>0.18939393939393939</v>
      </c>
      <c r="U21" s="127">
        <f t="shared" si="14"/>
        <v>0.56160071942446044</v>
      </c>
      <c r="V21" s="128">
        <f t="shared" si="2"/>
        <v>0.71285809460359761</v>
      </c>
      <c r="W21" s="129">
        <f t="shared" si="2"/>
        <v>0</v>
      </c>
      <c r="X21" s="130">
        <f t="shared" si="3"/>
        <v>1.091512005729987E-2</v>
      </c>
      <c r="Y21" s="131">
        <f t="shared" si="4"/>
        <v>8.2939318607420237E-3</v>
      </c>
      <c r="Z21" s="132">
        <f t="shared" si="5"/>
        <v>1.5312300988282348E-3</v>
      </c>
      <c r="AA21" s="130">
        <f t="shared" si="6"/>
        <v>0.14861138912744484</v>
      </c>
      <c r="AB21" s="131">
        <f t="shared" si="7"/>
        <v>0.17873409747085375</v>
      </c>
      <c r="AC21" s="132">
        <f t="shared" si="8"/>
        <v>5.1812880889440638E-2</v>
      </c>
      <c r="AD21" s="130">
        <f t="shared" si="9"/>
        <v>0.24386053286162229</v>
      </c>
      <c r="AE21" s="131">
        <f t="shared" si="10"/>
        <v>0.38793697293142576</v>
      </c>
      <c r="AF21" s="133">
        <f t="shared" si="11"/>
        <v>0</v>
      </c>
    </row>
    <row r="22" spans="1:65" x14ac:dyDescent="0.25">
      <c r="B22" s="103" t="s">
        <v>343</v>
      </c>
      <c r="C22" s="384">
        <v>453000</v>
      </c>
      <c r="D22" s="385">
        <v>352000</v>
      </c>
      <c r="E22" s="386">
        <v>441000</v>
      </c>
      <c r="F22" s="387">
        <v>4989</v>
      </c>
      <c r="G22" s="385">
        <v>2153</v>
      </c>
      <c r="H22" s="386">
        <v>108</v>
      </c>
      <c r="I22" s="387">
        <v>6363</v>
      </c>
      <c r="J22" s="385">
        <v>26539</v>
      </c>
      <c r="K22" s="386">
        <v>598</v>
      </c>
      <c r="L22" s="387">
        <v>4007</v>
      </c>
      <c r="M22" s="385">
        <v>2913</v>
      </c>
      <c r="N22" s="386">
        <v>716</v>
      </c>
      <c r="O22" s="137">
        <f t="shared" si="12"/>
        <v>11.013245033112582</v>
      </c>
      <c r="P22" s="138">
        <f t="shared" si="0"/>
        <v>6.1164772727272725</v>
      </c>
      <c r="Q22" s="139">
        <f t="shared" si="0"/>
        <v>0.24489795918367346</v>
      </c>
      <c r="R22" s="140">
        <f t="shared" si="13"/>
        <v>14.04635761589404</v>
      </c>
      <c r="S22" s="141">
        <f t="shared" si="1"/>
        <v>75.39488636363636</v>
      </c>
      <c r="T22" s="142">
        <f t="shared" si="1"/>
        <v>1.3560090702947847</v>
      </c>
      <c r="U22" s="140">
        <f t="shared" si="14"/>
        <v>8.8454746136865339</v>
      </c>
      <c r="V22" s="141">
        <f t="shared" si="2"/>
        <v>8.2755681818181817</v>
      </c>
      <c r="W22" s="142">
        <f t="shared" si="2"/>
        <v>1.6235827664399094</v>
      </c>
      <c r="X22" s="143">
        <f t="shared" si="3"/>
        <v>6.429224789358802E-2</v>
      </c>
      <c r="Y22" s="144">
        <f t="shared" si="4"/>
        <v>3.4208496735972371E-2</v>
      </c>
      <c r="Z22" s="145">
        <f t="shared" si="5"/>
        <v>1.1897327386579091E-3</v>
      </c>
      <c r="AA22" s="143">
        <f t="shared" si="6"/>
        <v>0.20543434043404984</v>
      </c>
      <c r="AB22" s="144">
        <f t="shared" si="7"/>
        <v>0.46545228267873495</v>
      </c>
      <c r="AC22" s="145">
        <f t="shared" si="8"/>
        <v>3.0984102771885499E-2</v>
      </c>
      <c r="AD22" s="143">
        <f t="shared" si="9"/>
        <v>0.3911726001507288</v>
      </c>
      <c r="AE22" s="144">
        <f t="shared" si="10"/>
        <v>0.35204373898730318</v>
      </c>
      <c r="AF22" s="146">
        <f t="shared" si="11"/>
        <v>0.32536876641612666</v>
      </c>
    </row>
    <row r="23" spans="1:65" ht="6" customHeight="1" thickBot="1" x14ac:dyDescent="0.3">
      <c r="B23" s="376"/>
      <c r="C23" s="377"/>
      <c r="D23" s="378"/>
      <c r="E23" s="379"/>
      <c r="F23" s="380"/>
      <c r="G23" s="381"/>
      <c r="H23" s="382"/>
      <c r="I23" s="383"/>
      <c r="J23" s="381"/>
      <c r="K23" s="383"/>
      <c r="L23" s="380"/>
      <c r="M23" s="381"/>
      <c r="N23" s="382"/>
      <c r="O23" s="124"/>
      <c r="P23" s="125"/>
      <c r="Q23" s="55"/>
      <c r="R23" s="335"/>
      <c r="S23" s="125"/>
      <c r="T23" s="302"/>
      <c r="U23" s="335"/>
      <c r="V23" s="125"/>
      <c r="W23" s="302"/>
      <c r="X23" s="456"/>
      <c r="Y23" s="354"/>
      <c r="Z23" s="358"/>
      <c r="AA23" s="456"/>
      <c r="AB23" s="354"/>
      <c r="AC23" s="358"/>
      <c r="AD23" s="456"/>
      <c r="AE23" s="354"/>
      <c r="AF23" s="355"/>
    </row>
    <row r="24" spans="1:65" ht="24.95" customHeight="1" thickTop="1" thickBot="1" x14ac:dyDescent="0.3">
      <c r="A24" s="13"/>
      <c r="B24" s="90" t="s">
        <v>13</v>
      </c>
      <c r="C24" s="505">
        <f t="shared" ref="C24:N24" si="15">SUM(C11:C22)</f>
        <v>11727000</v>
      </c>
      <c r="D24" s="557">
        <f t="shared" si="15"/>
        <v>11466000</v>
      </c>
      <c r="E24" s="558">
        <f t="shared" si="15"/>
        <v>12414000</v>
      </c>
      <c r="F24" s="505">
        <f t="shared" si="15"/>
        <v>77598.78</v>
      </c>
      <c r="G24" s="557">
        <f t="shared" si="15"/>
        <v>62937.58</v>
      </c>
      <c r="H24" s="558">
        <f t="shared" si="15"/>
        <v>90776.689999999973</v>
      </c>
      <c r="I24" s="505">
        <f t="shared" si="15"/>
        <v>30973.4</v>
      </c>
      <c r="J24" s="557">
        <f t="shared" si="15"/>
        <v>57017.66</v>
      </c>
      <c r="K24" s="558">
        <f t="shared" si="15"/>
        <v>19300.22</v>
      </c>
      <c r="L24" s="505">
        <f t="shared" si="15"/>
        <v>10243.560000000001</v>
      </c>
      <c r="M24" s="557">
        <f t="shared" si="15"/>
        <v>8274.5400000000009</v>
      </c>
      <c r="N24" s="559">
        <f t="shared" si="15"/>
        <v>2200.58</v>
      </c>
      <c r="O24" s="478"/>
      <c r="P24" s="478"/>
      <c r="Q24" s="478"/>
      <c r="R24" s="478"/>
      <c r="S24" s="478"/>
      <c r="T24" s="478"/>
      <c r="U24" s="478"/>
      <c r="V24" s="478"/>
      <c r="W24" s="478"/>
      <c r="X24" s="479">
        <f t="shared" ref="X24:AF24" si="16">SUM(X11:X22)</f>
        <v>1</v>
      </c>
      <c r="Y24" s="480">
        <f t="shared" si="16"/>
        <v>1</v>
      </c>
      <c r="Z24" s="481">
        <f t="shared" si="16"/>
        <v>1.0000000000000002</v>
      </c>
      <c r="AA24" s="479">
        <f t="shared" si="16"/>
        <v>1</v>
      </c>
      <c r="AB24" s="480">
        <f t="shared" si="16"/>
        <v>1</v>
      </c>
      <c r="AC24" s="481">
        <f t="shared" si="16"/>
        <v>1.0000000000000002</v>
      </c>
      <c r="AD24" s="479">
        <f t="shared" si="16"/>
        <v>0.99999999999999978</v>
      </c>
      <c r="AE24" s="480">
        <f t="shared" si="16"/>
        <v>1</v>
      </c>
      <c r="AF24" s="482">
        <f t="shared" si="16"/>
        <v>1</v>
      </c>
      <c r="AG24" s="13"/>
      <c r="AH24" s="13"/>
      <c r="AI24" s="13"/>
      <c r="AJ24" s="13"/>
      <c r="AK24" s="13"/>
      <c r="AL24" s="13"/>
      <c r="AM24" s="13"/>
    </row>
    <row r="25" spans="1:65" ht="16.5" customHeight="1" thickTop="1" x14ac:dyDescent="0.25">
      <c r="B25" s="35"/>
      <c r="C25" s="35"/>
      <c r="D25" s="35"/>
      <c r="E25" s="35"/>
      <c r="F25" s="159"/>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row>
    <row r="26" spans="1:65" x14ac:dyDescent="0.2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row>
    <row r="27" spans="1:65" x14ac:dyDescent="0.25">
      <c r="B27" s="66" t="s">
        <v>396</v>
      </c>
      <c r="C27" s="67"/>
      <c r="D27" s="67"/>
      <c r="E27" s="67"/>
      <c r="F27" s="67"/>
      <c r="G27" s="67"/>
      <c r="H27" s="67"/>
      <c r="I27" s="67"/>
      <c r="J27" s="35"/>
      <c r="K27" s="35"/>
      <c r="L27" s="35"/>
      <c r="M27" s="35"/>
      <c r="N27" s="35"/>
      <c r="O27" s="35"/>
      <c r="P27" s="35"/>
      <c r="Q27" s="35"/>
      <c r="R27" s="35"/>
      <c r="S27" s="35"/>
      <c r="T27" s="35"/>
      <c r="U27" s="35"/>
      <c r="V27" s="35"/>
      <c r="W27" s="35"/>
      <c r="X27" s="35"/>
      <c r="Y27" s="35"/>
      <c r="Z27" s="35"/>
      <c r="AA27" s="35"/>
      <c r="AB27" s="35"/>
      <c r="AC27" s="35"/>
      <c r="AD27" s="35"/>
      <c r="AE27" s="35"/>
      <c r="AF27" s="35"/>
    </row>
    <row r="28" spans="1:65" x14ac:dyDescent="0.25">
      <c r="A28" s="21"/>
      <c r="B28" s="67" t="s">
        <v>374</v>
      </c>
      <c r="C28" s="67"/>
      <c r="D28" s="67"/>
      <c r="E28" s="67"/>
      <c r="F28" s="68"/>
      <c r="G28" s="68"/>
      <c r="H28" s="68"/>
      <c r="I28" s="68"/>
      <c r="J28" s="36"/>
      <c r="K28" s="36"/>
      <c r="L28" s="36"/>
      <c r="M28" s="36"/>
      <c r="N28" s="36"/>
      <c r="O28" s="35"/>
      <c r="P28" s="35"/>
      <c r="Q28" s="35"/>
      <c r="R28" s="35"/>
      <c r="S28" s="35"/>
      <c r="T28" s="36"/>
      <c r="U28" s="36"/>
      <c r="V28" s="36"/>
      <c r="W28" s="36"/>
      <c r="X28" s="36"/>
      <c r="Y28" s="36"/>
      <c r="Z28" s="35"/>
      <c r="AA28" s="36"/>
      <c r="AB28" s="36"/>
      <c r="AC28" s="36"/>
      <c r="AD28" s="36"/>
      <c r="AE28" s="36"/>
      <c r="AF28" s="36"/>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x14ac:dyDescent="0.25">
      <c r="A29" s="21"/>
      <c r="B29" s="67"/>
      <c r="C29" s="67"/>
      <c r="D29" s="67"/>
      <c r="E29" s="67"/>
      <c r="F29" s="68"/>
      <c r="G29" s="68"/>
      <c r="H29" s="68"/>
      <c r="I29" s="68"/>
      <c r="J29" s="36"/>
      <c r="K29" s="36"/>
      <c r="L29" s="36"/>
      <c r="M29" s="36"/>
      <c r="N29" s="36"/>
      <c r="O29" s="35"/>
      <c r="P29" s="35"/>
      <c r="Q29" s="35"/>
      <c r="R29" s="35"/>
      <c r="S29" s="35"/>
      <c r="T29" s="36"/>
      <c r="U29" s="36"/>
      <c r="V29" s="36"/>
      <c r="W29" s="36"/>
      <c r="X29" s="36"/>
      <c r="Y29" s="36"/>
      <c r="Z29" s="35"/>
      <c r="AA29" s="36"/>
      <c r="AB29" s="36"/>
      <c r="AC29" s="36"/>
      <c r="AD29" s="36"/>
      <c r="AE29" s="36"/>
      <c r="AF29" s="36"/>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x14ac:dyDescent="0.25">
      <c r="A30"/>
      <c r="B30" s="79" t="s">
        <v>397</v>
      </c>
      <c r="C30" s="68"/>
      <c r="D30" s="68"/>
      <c r="E30" s="68"/>
      <c r="F30" s="68"/>
      <c r="G30" s="68"/>
      <c r="H30" s="68"/>
      <c r="I30" s="68"/>
      <c r="J30" s="36"/>
      <c r="K30" s="36"/>
      <c r="L30" s="36"/>
      <c r="M30" s="36"/>
      <c r="N30" s="36"/>
      <c r="O30" s="36"/>
      <c r="P30" s="36"/>
      <c r="Q30" s="36"/>
      <c r="R30" s="36"/>
      <c r="S30" s="36"/>
      <c r="T30" s="36"/>
      <c r="U30" s="36"/>
      <c r="V30" s="36"/>
      <c r="W30" s="36"/>
      <c r="X30" s="36"/>
      <c r="Y30" s="36"/>
      <c r="Z30" s="36"/>
      <c r="AA30" s="36"/>
      <c r="AB30" s="36"/>
      <c r="AC30" s="36"/>
      <c r="AD30" s="36"/>
      <c r="AE30" s="36"/>
      <c r="AF30" s="36"/>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x14ac:dyDescent="0.25">
      <c r="A31" s="21"/>
      <c r="B31" s="68" t="s">
        <v>189</v>
      </c>
      <c r="C31" s="68"/>
      <c r="D31" s="68"/>
      <c r="E31" s="68"/>
      <c r="F31" s="68"/>
      <c r="G31" s="68"/>
      <c r="H31" s="68"/>
      <c r="I31" s="68"/>
      <c r="J31" s="36"/>
      <c r="K31" s="36"/>
      <c r="L31" s="36"/>
      <c r="M31" s="36"/>
      <c r="N31" s="36"/>
      <c r="O31" s="36"/>
      <c r="P31" s="36"/>
      <c r="Q31" s="36"/>
      <c r="R31" s="36"/>
      <c r="S31" s="36"/>
      <c r="T31" s="36"/>
      <c r="U31" s="36"/>
      <c r="V31" s="36"/>
      <c r="W31" s="36"/>
      <c r="X31" s="36"/>
      <c r="Y31" s="36"/>
      <c r="Z31" s="36"/>
      <c r="AA31" s="36"/>
      <c r="AB31" s="36"/>
      <c r="AC31" s="36"/>
      <c r="AD31" s="36"/>
      <c r="AE31" s="36"/>
      <c r="AF31" s="36"/>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x14ac:dyDescent="0.25">
      <c r="A32" s="21"/>
      <c r="B32" s="68" t="s">
        <v>344</v>
      </c>
      <c r="C32" s="68"/>
      <c r="D32" s="68"/>
      <c r="E32" s="68"/>
      <c r="F32" s="68"/>
      <c r="G32" s="68"/>
      <c r="H32" s="68"/>
      <c r="I32" s="68"/>
      <c r="J32" s="36"/>
      <c r="K32" s="36"/>
      <c r="L32" s="36"/>
      <c r="M32" s="36"/>
      <c r="N32" s="36"/>
      <c r="O32" s="36"/>
      <c r="P32" s="36"/>
      <c r="Q32" s="36"/>
      <c r="R32" s="36"/>
      <c r="S32" s="36"/>
      <c r="T32" s="36"/>
      <c r="U32" s="36"/>
      <c r="V32" s="36"/>
      <c r="W32" s="36"/>
      <c r="X32" s="36"/>
      <c r="Y32" s="36"/>
      <c r="Z32" s="36"/>
      <c r="AA32" s="36"/>
      <c r="AB32" s="36"/>
      <c r="AC32" s="36"/>
      <c r="AD32" s="36"/>
      <c r="AE32" s="36"/>
      <c r="AF32" s="36"/>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2:32" x14ac:dyDescent="0.25">
      <c r="B33" s="68" t="s">
        <v>382</v>
      </c>
      <c r="C33" s="67"/>
      <c r="D33" s="67"/>
      <c r="E33" s="67"/>
      <c r="F33" s="67"/>
      <c r="G33" s="67"/>
      <c r="H33" s="67"/>
      <c r="I33" s="67"/>
      <c r="J33" s="35"/>
      <c r="K33" s="35"/>
      <c r="L33" s="35"/>
      <c r="M33" s="35"/>
      <c r="N33" s="35"/>
      <c r="O33" s="35"/>
      <c r="P33" s="35"/>
      <c r="Q33" s="35"/>
      <c r="R33" s="35"/>
      <c r="S33" s="35"/>
      <c r="T33" s="35"/>
      <c r="U33" s="35"/>
      <c r="V33" s="35"/>
      <c r="W33" s="35"/>
      <c r="X33" s="35"/>
      <c r="Y33" s="35"/>
      <c r="Z33" s="35"/>
      <c r="AA33" s="35"/>
      <c r="AB33" s="35"/>
      <c r="AC33" s="35"/>
      <c r="AD33" s="35"/>
      <c r="AE33" s="35"/>
      <c r="AF33" s="35"/>
    </row>
    <row r="34" spans="2:32" x14ac:dyDescent="0.25">
      <c r="B34" s="68"/>
      <c r="C34" s="67"/>
      <c r="D34" s="67"/>
      <c r="E34" s="67"/>
      <c r="F34" s="67"/>
      <c r="G34" s="67"/>
      <c r="H34" s="67"/>
      <c r="I34" s="67"/>
      <c r="J34" s="35"/>
      <c r="K34" s="35"/>
      <c r="L34" s="35"/>
      <c r="M34" s="35"/>
      <c r="N34" s="35"/>
      <c r="O34" s="35"/>
      <c r="P34" s="35"/>
      <c r="Q34" s="35"/>
      <c r="R34" s="35"/>
      <c r="S34" s="35"/>
      <c r="T34" s="35"/>
      <c r="U34" s="35"/>
      <c r="V34" s="35"/>
      <c r="W34" s="35"/>
      <c r="X34" s="35"/>
      <c r="Y34" s="35"/>
      <c r="Z34" s="35"/>
      <c r="AA34" s="35"/>
      <c r="AB34" s="35"/>
      <c r="AC34" s="35"/>
      <c r="AD34" s="35"/>
      <c r="AE34" s="35"/>
      <c r="AF34" s="35"/>
    </row>
    <row r="35" spans="2:32" x14ac:dyDescent="0.25">
      <c r="B35" s="66" t="s">
        <v>398</v>
      </c>
      <c r="C35" s="67"/>
      <c r="D35" s="67"/>
      <c r="E35" s="67"/>
      <c r="F35" s="67"/>
      <c r="G35" s="67"/>
      <c r="H35" s="67"/>
      <c r="I35" s="67"/>
      <c r="J35" s="35"/>
      <c r="K35" s="35"/>
      <c r="L35" s="35"/>
      <c r="M35" s="35"/>
      <c r="N35" s="35"/>
      <c r="O35" s="35"/>
      <c r="P35" s="35"/>
      <c r="Q35" s="35"/>
      <c r="R35" s="35"/>
      <c r="S35" s="35"/>
      <c r="T35" s="35"/>
      <c r="U35" s="35"/>
      <c r="V35" s="35"/>
      <c r="W35" s="35"/>
      <c r="X35" s="35"/>
      <c r="Y35" s="35"/>
      <c r="Z35" s="35"/>
      <c r="AA35" s="35"/>
      <c r="AB35" s="35"/>
      <c r="AC35" s="35"/>
      <c r="AD35" s="35"/>
      <c r="AE35" s="35"/>
      <c r="AF35" s="35"/>
    </row>
    <row r="36" spans="2:32" x14ac:dyDescent="0.2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row>
    <row r="37" spans="2:32" x14ac:dyDescent="0.2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row>
    <row r="38" spans="2:32" x14ac:dyDescent="0.2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spans="2:32" x14ac:dyDescent="0.2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2:32" x14ac:dyDescent="0.2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2:32" x14ac:dyDescent="0.2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2:32" x14ac:dyDescent="0.2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2:32" x14ac:dyDescent="0.2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2:32" x14ac:dyDescent="0.2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2:32" x14ac:dyDescent="0.2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2:32" s="7" customFormat="1" x14ac:dyDescent="0.2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2:32" s="7" customFormat="1"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row r="48" spans="2:32" s="7" customFormat="1" x14ac:dyDescent="0.2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row>
    <row r="49" spans="2:32" s="7" customFormat="1" x14ac:dyDescent="0.2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row>
    <row r="50" spans="2:32" s="7" customFormat="1" x14ac:dyDescent="0.2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row>
    <row r="51" spans="2:32" s="7" customFormat="1" x14ac:dyDescent="0.2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row>
  </sheetData>
  <mergeCells count="18">
    <mergeCell ref="B7:B8"/>
    <mergeCell ref="C7:E8"/>
    <mergeCell ref="F7:N7"/>
    <mergeCell ref="O7:W7"/>
    <mergeCell ref="X7:AF7"/>
    <mergeCell ref="F8:H8"/>
    <mergeCell ref="AA8:AC8"/>
    <mergeCell ref="AD8:AF8"/>
    <mergeCell ref="I8:K8"/>
    <mergeCell ref="L8:N8"/>
    <mergeCell ref="O8:Q8"/>
    <mergeCell ref="R8:T8"/>
    <mergeCell ref="U8:W8"/>
    <mergeCell ref="X8:Z8"/>
    <mergeCell ref="C6:E6"/>
    <mergeCell ref="F6:N6"/>
    <mergeCell ref="O6:W6"/>
    <mergeCell ref="X6:AF6"/>
  </mergeCells>
  <hyperlinks>
    <hyperlink ref="B1" location="Start!A1" display="Back to home page" xr:uid="{FC74375B-7079-47F7-9A5C-BCA1170BCDC0}"/>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B05AC-FB89-461F-AF49-469808CFA1A2}">
  <sheetPr>
    <tabColor rgb="FF92D050"/>
  </sheetPr>
  <dimension ref="A1:AY42"/>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28" sqref="B28"/>
    </sheetView>
  </sheetViews>
  <sheetFormatPr defaultColWidth="8.7109375" defaultRowHeight="15" x14ac:dyDescent="0.25"/>
  <cols>
    <col min="1" max="1" width="2.7109375" customWidth="1"/>
    <col min="2" max="2" width="45.7109375" style="7" customWidth="1"/>
    <col min="3" max="22" width="12.7109375" style="7" customWidth="1"/>
    <col min="23" max="51" width="8.7109375" style="7"/>
  </cols>
  <sheetData>
    <row r="1" spans="1:51" x14ac:dyDescent="0.25">
      <c r="A1" s="21"/>
      <c r="B1" s="546" t="s">
        <v>432</v>
      </c>
      <c r="E1"/>
      <c r="F1"/>
      <c r="G1"/>
      <c r="H1"/>
      <c r="I1"/>
      <c r="J1"/>
      <c r="R1"/>
      <c r="S1"/>
      <c r="T1"/>
      <c r="U1"/>
      <c r="V1"/>
      <c r="W1"/>
      <c r="Y1"/>
      <c r="Z1"/>
      <c r="AA1"/>
      <c r="AB1"/>
      <c r="AC1"/>
      <c r="AD1"/>
      <c r="AE1"/>
      <c r="AF1"/>
      <c r="AG1"/>
      <c r="AH1"/>
      <c r="AI1"/>
      <c r="AJ1"/>
      <c r="AK1"/>
      <c r="AL1"/>
      <c r="AM1"/>
      <c r="AN1"/>
      <c r="AO1"/>
      <c r="AP1"/>
      <c r="AQ1"/>
      <c r="AR1"/>
      <c r="AS1"/>
      <c r="AT1"/>
      <c r="AU1"/>
      <c r="AV1"/>
      <c r="AW1"/>
      <c r="AX1"/>
      <c r="AY1"/>
    </row>
    <row r="2" spans="1:51" x14ac:dyDescent="0.25">
      <c r="A2" s="21"/>
      <c r="E2"/>
      <c r="F2"/>
      <c r="G2"/>
      <c r="H2"/>
      <c r="I2"/>
      <c r="J2"/>
      <c r="R2"/>
      <c r="S2"/>
      <c r="T2"/>
      <c r="U2"/>
      <c r="V2"/>
      <c r="W2"/>
      <c r="Y2"/>
      <c r="Z2"/>
      <c r="AA2"/>
      <c r="AB2"/>
      <c r="AC2"/>
      <c r="AD2"/>
      <c r="AE2"/>
      <c r="AF2"/>
      <c r="AG2"/>
      <c r="AH2"/>
      <c r="AI2"/>
      <c r="AJ2"/>
      <c r="AK2"/>
      <c r="AL2"/>
      <c r="AM2"/>
      <c r="AN2"/>
      <c r="AO2"/>
      <c r="AP2"/>
      <c r="AQ2"/>
      <c r="AR2"/>
      <c r="AS2"/>
      <c r="AT2"/>
      <c r="AU2"/>
      <c r="AV2"/>
      <c r="AW2"/>
      <c r="AX2"/>
      <c r="AY2"/>
    </row>
    <row r="3" spans="1:51" x14ac:dyDescent="0.25">
      <c r="A3" s="21"/>
      <c r="E3"/>
      <c r="F3"/>
      <c r="G3"/>
      <c r="H3"/>
      <c r="I3"/>
      <c r="J3"/>
      <c r="R3"/>
      <c r="S3"/>
      <c r="T3"/>
      <c r="U3"/>
      <c r="V3"/>
      <c r="W3"/>
      <c r="Y3"/>
      <c r="Z3"/>
      <c r="AA3"/>
      <c r="AB3"/>
      <c r="AC3"/>
      <c r="AD3"/>
      <c r="AE3"/>
      <c r="AF3"/>
      <c r="AG3"/>
      <c r="AH3"/>
      <c r="AI3"/>
      <c r="AJ3"/>
      <c r="AK3"/>
      <c r="AL3"/>
      <c r="AM3"/>
      <c r="AN3"/>
      <c r="AO3"/>
      <c r="AP3"/>
      <c r="AQ3"/>
      <c r="AR3"/>
      <c r="AS3"/>
      <c r="AT3"/>
      <c r="AU3"/>
      <c r="AV3"/>
      <c r="AW3"/>
      <c r="AX3"/>
      <c r="AY3"/>
    </row>
    <row r="4" spans="1:51" x14ac:dyDescent="0.25">
      <c r="A4" s="21"/>
      <c r="E4"/>
      <c r="F4"/>
      <c r="G4"/>
      <c r="H4"/>
      <c r="I4"/>
      <c r="J4"/>
      <c r="R4"/>
      <c r="S4"/>
      <c r="T4"/>
      <c r="U4"/>
      <c r="V4"/>
      <c r="W4"/>
      <c r="Y4"/>
      <c r="Z4"/>
      <c r="AA4"/>
      <c r="AB4"/>
      <c r="AC4"/>
      <c r="AD4"/>
      <c r="AE4"/>
      <c r="AF4"/>
      <c r="AG4"/>
      <c r="AH4"/>
      <c r="AI4"/>
      <c r="AJ4"/>
      <c r="AK4"/>
      <c r="AL4"/>
      <c r="AM4"/>
      <c r="AN4"/>
      <c r="AO4"/>
      <c r="AP4"/>
      <c r="AQ4"/>
      <c r="AR4"/>
      <c r="AS4"/>
      <c r="AT4"/>
      <c r="AU4"/>
      <c r="AV4"/>
      <c r="AW4"/>
      <c r="AX4"/>
      <c r="AY4"/>
    </row>
    <row r="5" spans="1:51" ht="15.75" thickBot="1" x14ac:dyDescent="0.3">
      <c r="J5"/>
      <c r="T5" s="18"/>
      <c r="U5" s="19"/>
      <c r="V5" s="19"/>
      <c r="W5" s="20"/>
      <c r="AA5"/>
      <c r="AB5"/>
      <c r="AC5"/>
      <c r="AD5"/>
      <c r="AE5"/>
      <c r="AF5"/>
      <c r="AG5"/>
      <c r="AH5"/>
      <c r="AI5"/>
      <c r="AJ5"/>
      <c r="AK5"/>
      <c r="AL5"/>
      <c r="AM5"/>
      <c r="AN5"/>
      <c r="AO5"/>
      <c r="AP5"/>
      <c r="AQ5"/>
      <c r="AR5"/>
      <c r="AS5"/>
      <c r="AT5"/>
      <c r="AU5"/>
      <c r="AV5"/>
      <c r="AW5"/>
      <c r="AX5"/>
      <c r="AY5"/>
    </row>
    <row r="6" spans="1:51" ht="30" customHeight="1" thickTop="1" x14ac:dyDescent="0.3">
      <c r="B6" s="38" t="s">
        <v>387</v>
      </c>
      <c r="C6" s="592" t="s">
        <v>390</v>
      </c>
      <c r="D6" s="592"/>
      <c r="E6" s="592" t="s">
        <v>389</v>
      </c>
      <c r="F6" s="592"/>
      <c r="G6" s="592"/>
      <c r="H6" s="592"/>
      <c r="I6" s="592"/>
      <c r="J6" s="592"/>
      <c r="K6" s="589" t="s">
        <v>392</v>
      </c>
      <c r="L6" s="589"/>
      <c r="M6" s="589"/>
      <c r="N6" s="589"/>
      <c r="O6" s="589"/>
      <c r="P6" s="589"/>
      <c r="Q6" s="589" t="s">
        <v>414</v>
      </c>
      <c r="R6" s="589"/>
      <c r="S6" s="589"/>
      <c r="T6" s="589"/>
      <c r="U6" s="589"/>
      <c r="V6" s="589"/>
      <c r="W6" s="35"/>
    </row>
    <row r="7" spans="1:51" ht="25.15" customHeight="1" thickBot="1" x14ac:dyDescent="0.3">
      <c r="B7" s="596" t="s">
        <v>232</v>
      </c>
      <c r="C7" s="593" t="s">
        <v>405</v>
      </c>
      <c r="D7" s="593"/>
      <c r="E7" s="591" t="s">
        <v>14</v>
      </c>
      <c r="F7" s="591"/>
      <c r="G7" s="591"/>
      <c r="H7" s="591"/>
      <c r="I7" s="591"/>
      <c r="J7" s="591"/>
      <c r="K7" s="593" t="s">
        <v>415</v>
      </c>
      <c r="L7" s="593"/>
      <c r="M7" s="593"/>
      <c r="N7" s="593"/>
      <c r="O7" s="593"/>
      <c r="P7" s="593"/>
      <c r="Q7" s="591" t="s">
        <v>0</v>
      </c>
      <c r="R7" s="591"/>
      <c r="S7" s="591"/>
      <c r="T7" s="591"/>
      <c r="U7" s="591"/>
      <c r="V7" s="591"/>
      <c r="W7" s="35"/>
    </row>
    <row r="8" spans="1:51" ht="34.15" customHeight="1" thickTop="1" thickBot="1" x14ac:dyDescent="0.3">
      <c r="B8" s="596"/>
      <c r="C8" s="624"/>
      <c r="D8" s="624"/>
      <c r="E8" s="618" t="s">
        <v>388</v>
      </c>
      <c r="F8" s="618"/>
      <c r="G8" s="618" t="s">
        <v>394</v>
      </c>
      <c r="H8" s="618"/>
      <c r="I8" s="618" t="s">
        <v>395</v>
      </c>
      <c r="J8" s="618"/>
      <c r="K8" s="620" t="s">
        <v>388</v>
      </c>
      <c r="L8" s="625"/>
      <c r="M8" s="620" t="s">
        <v>394</v>
      </c>
      <c r="N8" s="620"/>
      <c r="O8" s="620" t="s">
        <v>395</v>
      </c>
      <c r="P8" s="620"/>
      <c r="Q8" s="618" t="s">
        <v>388</v>
      </c>
      <c r="R8" s="618"/>
      <c r="S8" s="618" t="s">
        <v>394</v>
      </c>
      <c r="T8" s="618"/>
      <c r="U8" s="618" t="s">
        <v>395</v>
      </c>
      <c r="V8" s="618"/>
      <c r="W8" s="35"/>
    </row>
    <row r="9" spans="1:51" ht="34.15" customHeight="1" thickTop="1" thickBot="1" x14ac:dyDescent="0.3">
      <c r="B9" s="328" t="s">
        <v>393</v>
      </c>
      <c r="C9" s="50">
        <v>2017</v>
      </c>
      <c r="D9" s="110">
        <v>2018</v>
      </c>
      <c r="E9" s="50">
        <v>2017</v>
      </c>
      <c r="F9" s="110">
        <v>2018</v>
      </c>
      <c r="G9" s="51">
        <v>2017</v>
      </c>
      <c r="H9" s="110">
        <v>2018</v>
      </c>
      <c r="I9" s="51">
        <v>2017</v>
      </c>
      <c r="J9" s="110">
        <v>2018</v>
      </c>
      <c r="K9" s="51">
        <v>2017</v>
      </c>
      <c r="L9" s="109">
        <v>2018</v>
      </c>
      <c r="M9" s="50">
        <v>2017</v>
      </c>
      <c r="N9" s="110">
        <v>2018</v>
      </c>
      <c r="O9" s="51">
        <v>2017</v>
      </c>
      <c r="P9" s="109">
        <v>2018</v>
      </c>
      <c r="Q9" s="108">
        <v>2017</v>
      </c>
      <c r="R9" s="110">
        <v>2018</v>
      </c>
      <c r="S9" s="51">
        <v>2017</v>
      </c>
      <c r="T9" s="110">
        <v>2018</v>
      </c>
      <c r="U9" s="51">
        <v>2017</v>
      </c>
      <c r="V9" s="110">
        <v>2018</v>
      </c>
      <c r="W9" s="35"/>
    </row>
    <row r="10" spans="1:51" ht="6" customHeight="1" thickTop="1" x14ac:dyDescent="0.25">
      <c r="B10" s="326"/>
      <c r="C10" s="330"/>
      <c r="D10" s="331"/>
      <c r="E10" s="46"/>
      <c r="F10" s="390"/>
      <c r="G10" s="46"/>
      <c r="H10" s="390"/>
      <c r="I10" s="46"/>
      <c r="J10" s="390"/>
      <c r="K10" s="329"/>
      <c r="L10" s="340"/>
      <c r="M10" s="45"/>
      <c r="N10" s="332"/>
      <c r="O10" s="46"/>
      <c r="P10" s="340"/>
      <c r="Q10" s="394"/>
      <c r="R10" s="332"/>
      <c r="S10" s="46"/>
      <c r="T10" s="332"/>
      <c r="U10" s="46"/>
      <c r="V10" s="332"/>
      <c r="W10" s="35"/>
    </row>
    <row r="11" spans="1:51" x14ac:dyDescent="0.25">
      <c r="B11" s="388" t="s">
        <v>16</v>
      </c>
      <c r="C11" s="391">
        <v>10719680</v>
      </c>
      <c r="D11" s="300">
        <v>10397920</v>
      </c>
      <c r="E11" s="392">
        <v>991293.60862708534</v>
      </c>
      <c r="F11" s="393">
        <v>961539.11674749083</v>
      </c>
      <c r="G11" s="392">
        <v>214393.60000000001</v>
      </c>
      <c r="H11" s="393">
        <v>207958.39999999999</v>
      </c>
      <c r="I11" s="392">
        <v>182234.56</v>
      </c>
      <c r="J11" s="393">
        <v>176764.64</v>
      </c>
      <c r="K11" s="335">
        <f t="shared" ref="K11:L22" si="0">IFERROR(E11*1000/C11,"-")</f>
        <v>92.474179138471044</v>
      </c>
      <c r="L11" s="302">
        <f t="shared" si="0"/>
        <v>92.474179138471044</v>
      </c>
      <c r="M11" s="124">
        <f t="shared" ref="M11:N22" si="1">IFERROR(G11*1000/C11,"-")</f>
        <v>20</v>
      </c>
      <c r="N11" s="284">
        <f t="shared" si="1"/>
        <v>20</v>
      </c>
      <c r="O11" s="55">
        <f t="shared" ref="O11:P22" si="2">IFERROR(I11*1000/C11,"-")</f>
        <v>17</v>
      </c>
      <c r="P11" s="302">
        <f t="shared" si="2"/>
        <v>17</v>
      </c>
      <c r="Q11" s="395">
        <f t="shared" ref="Q11:Q22" si="3">E11/$E$24</f>
        <v>0.64275901770652644</v>
      </c>
      <c r="R11" s="301">
        <f t="shared" ref="R11:R22" si="4">F11/$F$24</f>
        <v>0.62420122844017001</v>
      </c>
      <c r="S11" s="289">
        <f t="shared" ref="S11:S22" si="5">G11/$G$24</f>
        <v>0.45467483073029258</v>
      </c>
      <c r="T11" s="301">
        <f t="shared" ref="T11:T22" si="6">H11/$H$24</f>
        <v>0.43583439234609789</v>
      </c>
      <c r="U11" s="289">
        <f t="shared" ref="U11:U22" si="7">I11/$I$24</f>
        <v>0.29420623416441927</v>
      </c>
      <c r="V11" s="301">
        <f t="shared" ref="V11:V22" si="8">J11/$J$24</f>
        <v>0.27969521875640169</v>
      </c>
      <c r="W11" s="35"/>
    </row>
    <row r="12" spans="1:51" x14ac:dyDescent="0.25">
      <c r="B12" s="560" t="s">
        <v>51</v>
      </c>
      <c r="C12" s="72">
        <v>1048480</v>
      </c>
      <c r="D12" s="231">
        <v>1082720</v>
      </c>
      <c r="E12" s="177">
        <v>39157.910876111571</v>
      </c>
      <c r="F12" s="231">
        <v>40436.682877864645</v>
      </c>
      <c r="G12" s="177">
        <v>30301.072</v>
      </c>
      <c r="H12" s="231">
        <v>31290.608</v>
      </c>
      <c r="I12" s="177">
        <v>26212</v>
      </c>
      <c r="J12" s="231">
        <v>27068</v>
      </c>
      <c r="K12" s="153">
        <f t="shared" si="0"/>
        <v>37.347313135311666</v>
      </c>
      <c r="L12" s="154">
        <f t="shared" si="0"/>
        <v>37.347313135311666</v>
      </c>
      <c r="M12" s="137">
        <f t="shared" si="1"/>
        <v>28.9</v>
      </c>
      <c r="N12" s="285">
        <f t="shared" si="1"/>
        <v>28.9</v>
      </c>
      <c r="O12" s="73">
        <f t="shared" si="2"/>
        <v>25</v>
      </c>
      <c r="P12" s="154">
        <f t="shared" si="2"/>
        <v>25</v>
      </c>
      <c r="Q12" s="555">
        <f t="shared" si="3"/>
        <v>2.5390156973802848E-2</v>
      </c>
      <c r="R12" s="307">
        <f t="shared" si="4"/>
        <v>2.6250234324098877E-2</v>
      </c>
      <c r="S12" s="308">
        <f t="shared" si="5"/>
        <v>6.4260942409411506E-2</v>
      </c>
      <c r="T12" s="307">
        <f t="shared" si="6"/>
        <v>6.557813064449404E-2</v>
      </c>
      <c r="U12" s="308">
        <f t="shared" si="7"/>
        <v>4.2317625207412675E-2</v>
      </c>
      <c r="V12" s="307">
        <f t="shared" si="8"/>
        <v>4.2829777388160212E-2</v>
      </c>
      <c r="W12" s="35"/>
    </row>
    <row r="13" spans="1:51" x14ac:dyDescent="0.25">
      <c r="B13" s="388" t="s">
        <v>6</v>
      </c>
      <c r="C13" s="391">
        <v>24181.279999999999</v>
      </c>
      <c r="D13" s="300">
        <v>23931.200000000001</v>
      </c>
      <c r="E13" s="392">
        <v>0</v>
      </c>
      <c r="F13" s="393">
        <v>0</v>
      </c>
      <c r="G13" s="392">
        <v>1029.6024515356316</v>
      </c>
      <c r="H13" s="393">
        <v>1018.9544221062538</v>
      </c>
      <c r="I13" s="392">
        <v>0</v>
      </c>
      <c r="J13" s="393">
        <v>0</v>
      </c>
      <c r="K13" s="335">
        <f t="shared" si="0"/>
        <v>0</v>
      </c>
      <c r="L13" s="302">
        <f t="shared" si="0"/>
        <v>0</v>
      </c>
      <c r="M13" s="124">
        <f t="shared" si="1"/>
        <v>42.578492599880228</v>
      </c>
      <c r="N13" s="284">
        <f t="shared" si="1"/>
        <v>42.578492599880228</v>
      </c>
      <c r="O13" s="55">
        <f t="shared" si="2"/>
        <v>0</v>
      </c>
      <c r="P13" s="302">
        <f t="shared" si="2"/>
        <v>0</v>
      </c>
      <c r="Q13" s="395">
        <f t="shared" si="3"/>
        <v>0</v>
      </c>
      <c r="R13" s="301">
        <f t="shared" si="4"/>
        <v>0</v>
      </c>
      <c r="S13" s="289">
        <f t="shared" si="5"/>
        <v>2.1835274950906072E-3</v>
      </c>
      <c r="T13" s="301">
        <f t="shared" si="6"/>
        <v>2.1355010491860317E-3</v>
      </c>
      <c r="U13" s="289">
        <f t="shared" si="7"/>
        <v>0</v>
      </c>
      <c r="V13" s="301">
        <f t="shared" si="8"/>
        <v>0</v>
      </c>
      <c r="W13" s="35"/>
    </row>
    <row r="14" spans="1:51" x14ac:dyDescent="0.25">
      <c r="B14" s="560" t="s">
        <v>86</v>
      </c>
      <c r="C14" s="72">
        <v>773440</v>
      </c>
      <c r="D14" s="231">
        <v>814240</v>
      </c>
      <c r="E14" s="177">
        <v>42314.422089712672</v>
      </c>
      <c r="F14" s="231">
        <v>44546.564752699167</v>
      </c>
      <c r="G14" s="177">
        <v>39143.7984</v>
      </c>
      <c r="H14" s="231">
        <v>41208.686399999999</v>
      </c>
      <c r="I14" s="177">
        <v>100764.12711183872</v>
      </c>
      <c r="J14" s="231">
        <v>106079.57030867756</v>
      </c>
      <c r="K14" s="153">
        <f t="shared" si="0"/>
        <v>54.709378994767107</v>
      </c>
      <c r="L14" s="154">
        <f t="shared" si="0"/>
        <v>54.709378994767107</v>
      </c>
      <c r="M14" s="137">
        <f t="shared" si="1"/>
        <v>50.61</v>
      </c>
      <c r="N14" s="285">
        <f t="shared" si="1"/>
        <v>50.61</v>
      </c>
      <c r="O14" s="73">
        <f t="shared" si="2"/>
        <v>130.28047051075549</v>
      </c>
      <c r="P14" s="154">
        <f t="shared" si="2"/>
        <v>130.28047051075549</v>
      </c>
      <c r="Q14" s="555">
        <f t="shared" si="3"/>
        <v>2.743685235181887E-2</v>
      </c>
      <c r="R14" s="307">
        <f t="shared" si="4"/>
        <v>2.8918241553688679E-2</v>
      </c>
      <c r="S14" s="308">
        <f t="shared" si="5"/>
        <v>8.3014138069703092E-2</v>
      </c>
      <c r="T14" s="307">
        <f t="shared" si="6"/>
        <v>8.6364209363627084E-2</v>
      </c>
      <c r="U14" s="308">
        <f t="shared" si="7"/>
        <v>0.16267734493632235</v>
      </c>
      <c r="V14" s="307">
        <f t="shared" si="8"/>
        <v>0.16785002149225467</v>
      </c>
      <c r="W14" s="35"/>
    </row>
    <row r="15" spans="1:51" ht="17.25" x14ac:dyDescent="0.25">
      <c r="B15" s="388" t="s">
        <v>417</v>
      </c>
      <c r="C15" s="391">
        <v>120960</v>
      </c>
      <c r="D15" s="300">
        <v>121280</v>
      </c>
      <c r="E15" s="392">
        <v>7862.4</v>
      </c>
      <c r="F15" s="393">
        <v>7883.2</v>
      </c>
      <c r="G15" s="392">
        <v>7136.64</v>
      </c>
      <c r="H15" s="393">
        <v>7155.52</v>
      </c>
      <c r="I15" s="392">
        <v>12700.8</v>
      </c>
      <c r="J15" s="393">
        <v>12734.4</v>
      </c>
      <c r="K15" s="335">
        <f t="shared" si="0"/>
        <v>65</v>
      </c>
      <c r="L15" s="302">
        <f t="shared" si="0"/>
        <v>65</v>
      </c>
      <c r="M15" s="124">
        <f t="shared" si="1"/>
        <v>59</v>
      </c>
      <c r="N15" s="284">
        <f t="shared" si="1"/>
        <v>59</v>
      </c>
      <c r="O15" s="55">
        <f t="shared" si="2"/>
        <v>105</v>
      </c>
      <c r="P15" s="302">
        <f t="shared" si="2"/>
        <v>105</v>
      </c>
      <c r="Q15" s="395">
        <f t="shared" si="3"/>
        <v>5.0980138042198532E-3</v>
      </c>
      <c r="R15" s="301">
        <f t="shared" si="4"/>
        <v>5.1175277618287175E-3</v>
      </c>
      <c r="S15" s="289">
        <f t="shared" si="5"/>
        <v>1.51350160824905E-2</v>
      </c>
      <c r="T15" s="301">
        <f t="shared" si="6"/>
        <v>1.4996372885732679E-2</v>
      </c>
      <c r="U15" s="289">
        <f t="shared" si="7"/>
        <v>2.0504642691679648E-2</v>
      </c>
      <c r="V15" s="301">
        <f t="shared" si="8"/>
        <v>2.0149679221656103E-2</v>
      </c>
      <c r="W15" s="35"/>
    </row>
    <row r="16" spans="1:51" x14ac:dyDescent="0.25">
      <c r="B16" s="560" t="s">
        <v>55</v>
      </c>
      <c r="C16" s="72">
        <v>1578400</v>
      </c>
      <c r="D16" s="231">
        <v>1790240</v>
      </c>
      <c r="E16" s="177">
        <v>98614.929953252897</v>
      </c>
      <c r="F16" s="231">
        <v>111850.22313704477</v>
      </c>
      <c r="G16" s="177">
        <v>48346.392</v>
      </c>
      <c r="H16" s="231">
        <v>54835.051199999994</v>
      </c>
      <c r="I16" s="177">
        <v>83655.199999999997</v>
      </c>
      <c r="J16" s="231">
        <v>94882.72</v>
      </c>
      <c r="K16" s="153">
        <f t="shared" si="0"/>
        <v>62.477781267899708</v>
      </c>
      <c r="L16" s="154">
        <f t="shared" si="0"/>
        <v>62.477781267899708</v>
      </c>
      <c r="M16" s="137">
        <f t="shared" si="1"/>
        <v>30.63</v>
      </c>
      <c r="N16" s="285">
        <f t="shared" si="1"/>
        <v>30.63</v>
      </c>
      <c r="O16" s="73">
        <f t="shared" si="2"/>
        <v>53</v>
      </c>
      <c r="P16" s="154">
        <f t="shared" si="2"/>
        <v>53</v>
      </c>
      <c r="Q16" s="555">
        <f t="shared" si="3"/>
        <v>6.3942342567645652E-2</v>
      </c>
      <c r="R16" s="307">
        <f t="shared" si="4"/>
        <v>7.2609679073290453E-2</v>
      </c>
      <c r="S16" s="308">
        <f t="shared" si="5"/>
        <v>0.10253052142890633</v>
      </c>
      <c r="T16" s="307">
        <f t="shared" si="6"/>
        <v>0.11492202872795311</v>
      </c>
      <c r="U16" s="308">
        <f t="shared" si="7"/>
        <v>0.13505605830349263</v>
      </c>
      <c r="V16" s="307">
        <f t="shared" si="8"/>
        <v>0.15013321174756675</v>
      </c>
      <c r="W16" s="35"/>
    </row>
    <row r="17" spans="1:51" x14ac:dyDescent="0.25">
      <c r="B17" s="388" t="s">
        <v>57</v>
      </c>
      <c r="C17" s="391">
        <v>40480</v>
      </c>
      <c r="D17" s="300">
        <v>41280</v>
      </c>
      <c r="E17" s="392">
        <v>5009.3999999999996</v>
      </c>
      <c r="F17" s="393">
        <v>5108.3999999999996</v>
      </c>
      <c r="G17" s="392">
        <v>1518</v>
      </c>
      <c r="H17" s="393">
        <v>1548</v>
      </c>
      <c r="I17" s="392">
        <v>1659.68</v>
      </c>
      <c r="J17" s="393">
        <v>1692.48</v>
      </c>
      <c r="K17" s="335">
        <f t="shared" si="0"/>
        <v>123.75</v>
      </c>
      <c r="L17" s="302">
        <f t="shared" si="0"/>
        <v>123.75</v>
      </c>
      <c r="M17" s="124">
        <f t="shared" si="1"/>
        <v>37.5</v>
      </c>
      <c r="N17" s="284">
        <f t="shared" si="1"/>
        <v>37.5</v>
      </c>
      <c r="O17" s="55">
        <f t="shared" si="2"/>
        <v>41</v>
      </c>
      <c r="P17" s="302">
        <f t="shared" si="2"/>
        <v>41</v>
      </c>
      <c r="Q17" s="395">
        <f t="shared" si="3"/>
        <v>3.2481163958662661E-3</v>
      </c>
      <c r="R17" s="301">
        <f t="shared" si="4"/>
        <v>3.3162140778523717E-3</v>
      </c>
      <c r="S17" s="289">
        <f t="shared" si="5"/>
        <v>3.2192956928219132E-3</v>
      </c>
      <c r="T17" s="301">
        <f t="shared" si="6"/>
        <v>3.244262503230259E-3</v>
      </c>
      <c r="U17" s="289">
        <f t="shared" si="7"/>
        <v>2.6794489624690477E-3</v>
      </c>
      <c r="V17" s="301">
        <f t="shared" si="8"/>
        <v>2.6780161679441925E-3</v>
      </c>
      <c r="W17" s="35"/>
    </row>
    <row r="18" spans="1:51" ht="42" x14ac:dyDescent="0.25">
      <c r="B18" s="561" t="s">
        <v>419</v>
      </c>
      <c r="C18" s="72">
        <v>647151.84</v>
      </c>
      <c r="D18" s="231">
        <v>566880</v>
      </c>
      <c r="E18" s="177">
        <v>20094.252182156994</v>
      </c>
      <c r="F18" s="231">
        <v>17601.788286688883</v>
      </c>
      <c r="G18" s="177">
        <v>23398.367749052944</v>
      </c>
      <c r="H18" s="231">
        <v>20496.065822177272</v>
      </c>
      <c r="I18" s="177">
        <v>34081.780395863585</v>
      </c>
      <c r="J18" s="231">
        <v>29854.322396436593</v>
      </c>
      <c r="K18" s="153">
        <f t="shared" si="0"/>
        <v>31.050289808581855</v>
      </c>
      <c r="L18" s="154">
        <f t="shared" si="0"/>
        <v>31.050289808581855</v>
      </c>
      <c r="M18" s="137">
        <f t="shared" si="1"/>
        <v>36.155916282418275</v>
      </c>
      <c r="N18" s="285">
        <f t="shared" si="1"/>
        <v>36.155916282418275</v>
      </c>
      <c r="O18" s="73">
        <f t="shared" si="2"/>
        <v>52.66427179727031</v>
      </c>
      <c r="P18" s="154">
        <f t="shared" si="2"/>
        <v>52.66427179727031</v>
      </c>
      <c r="Q18" s="555">
        <f t="shared" si="3"/>
        <v>1.3029199100797627E-2</v>
      </c>
      <c r="R18" s="307">
        <f t="shared" si="4"/>
        <v>1.1426532399908908E-2</v>
      </c>
      <c r="S18" s="308">
        <f t="shared" si="5"/>
        <v>4.9622045134116805E-2</v>
      </c>
      <c r="T18" s="307">
        <f t="shared" si="6"/>
        <v>4.2955179464230615E-2</v>
      </c>
      <c r="U18" s="308">
        <f t="shared" si="7"/>
        <v>5.5022890629997712E-2</v>
      </c>
      <c r="V18" s="307">
        <f t="shared" si="8"/>
        <v>4.7238583652790933E-2</v>
      </c>
      <c r="W18" s="35"/>
    </row>
    <row r="19" spans="1:51" ht="28.15" customHeight="1" x14ac:dyDescent="0.25">
      <c r="B19" s="389" t="s">
        <v>418</v>
      </c>
      <c r="C19" s="391">
        <v>653934.4</v>
      </c>
      <c r="D19" s="300">
        <v>715859.36</v>
      </c>
      <c r="E19" s="392">
        <v>128297.95968339381</v>
      </c>
      <c r="F19" s="393">
        <v>140447.26093054606</v>
      </c>
      <c r="G19" s="392">
        <v>63450.530448005629</v>
      </c>
      <c r="H19" s="393">
        <v>69459.040720552133</v>
      </c>
      <c r="I19" s="392">
        <v>70504.231886770387</v>
      </c>
      <c r="J19" s="393">
        <v>77180.699341944754</v>
      </c>
      <c r="K19" s="335">
        <f t="shared" si="0"/>
        <v>196.19392967152945</v>
      </c>
      <c r="L19" s="302">
        <f t="shared" si="0"/>
        <v>196.19392967152945</v>
      </c>
      <c r="M19" s="124">
        <f t="shared" si="1"/>
        <v>97.028892268101558</v>
      </c>
      <c r="N19" s="284">
        <f t="shared" si="1"/>
        <v>97.028892268101558</v>
      </c>
      <c r="O19" s="55">
        <f t="shared" si="2"/>
        <v>107.81545042862156</v>
      </c>
      <c r="P19" s="302">
        <f t="shared" si="2"/>
        <v>107.81545042862156</v>
      </c>
      <c r="Q19" s="395">
        <f t="shared" si="3"/>
        <v>8.3188946062167257E-2</v>
      </c>
      <c r="R19" s="301">
        <f t="shared" si="4"/>
        <v>9.1173984788521317E-2</v>
      </c>
      <c r="S19" s="289">
        <f t="shared" si="5"/>
        <v>0.1345625951110212</v>
      </c>
      <c r="T19" s="301">
        <f t="shared" si="6"/>
        <v>0.14557064684756524</v>
      </c>
      <c r="U19" s="289">
        <f t="shared" si="7"/>
        <v>0.11382464750957055</v>
      </c>
      <c r="V19" s="301">
        <f t="shared" si="8"/>
        <v>0.12212325149541958</v>
      </c>
      <c r="W19" s="35"/>
    </row>
    <row r="20" spans="1:51" x14ac:dyDescent="0.25">
      <c r="B20" s="560" t="s">
        <v>229</v>
      </c>
      <c r="C20" s="72">
        <v>1394240</v>
      </c>
      <c r="D20" s="231">
        <v>1332320</v>
      </c>
      <c r="E20" s="177">
        <v>90625.600000000006</v>
      </c>
      <c r="F20" s="231">
        <v>86600.8</v>
      </c>
      <c r="G20" s="177">
        <v>28846.8256</v>
      </c>
      <c r="H20" s="231">
        <v>27565.700800000002</v>
      </c>
      <c r="I20" s="177">
        <v>75288.960000000006</v>
      </c>
      <c r="J20" s="231">
        <v>71945.279999999999</v>
      </c>
      <c r="K20" s="153">
        <f t="shared" si="0"/>
        <v>65</v>
      </c>
      <c r="L20" s="154">
        <f t="shared" si="0"/>
        <v>65</v>
      </c>
      <c r="M20" s="137">
        <f t="shared" si="1"/>
        <v>20.69</v>
      </c>
      <c r="N20" s="285">
        <f t="shared" si="1"/>
        <v>20.69</v>
      </c>
      <c r="O20" s="73">
        <f t="shared" si="2"/>
        <v>54</v>
      </c>
      <c r="P20" s="154">
        <f t="shared" si="2"/>
        <v>54</v>
      </c>
      <c r="Q20" s="555">
        <f t="shared" si="3"/>
        <v>5.8762026838587042E-2</v>
      </c>
      <c r="R20" s="307">
        <f t="shared" si="4"/>
        <v>5.6218540465366403E-2</v>
      </c>
      <c r="S20" s="308">
        <f t="shared" si="5"/>
        <v>6.1176852045892557E-2</v>
      </c>
      <c r="T20" s="307">
        <f t="shared" si="6"/>
        <v>5.7771556512082926E-2</v>
      </c>
      <c r="U20" s="308">
        <f t="shared" si="7"/>
        <v>0.12154929007843297</v>
      </c>
      <c r="V20" s="307">
        <f t="shared" si="8"/>
        <v>0.11383923180614952</v>
      </c>
      <c r="W20" s="35"/>
    </row>
    <row r="21" spans="1:51" x14ac:dyDescent="0.25">
      <c r="B21" s="388" t="s">
        <v>230</v>
      </c>
      <c r="C21" s="391">
        <v>37081.919999999998</v>
      </c>
      <c r="D21" s="300">
        <v>39063.519999999997</v>
      </c>
      <c r="E21" s="296">
        <v>5863.7640095999996</v>
      </c>
      <c r="F21" s="300">
        <v>6177.1144175999998</v>
      </c>
      <c r="G21" s="296">
        <v>1738.4004095999999</v>
      </c>
      <c r="H21" s="300">
        <v>1831.2978175999999</v>
      </c>
      <c r="I21" s="296">
        <v>1738.4004095999999</v>
      </c>
      <c r="J21" s="300">
        <v>1831.2978175999999</v>
      </c>
      <c r="K21" s="335">
        <f t="shared" si="0"/>
        <v>158.13</v>
      </c>
      <c r="L21" s="302">
        <f t="shared" si="0"/>
        <v>158.13</v>
      </c>
      <c r="M21" s="124">
        <f t="shared" si="1"/>
        <v>46.88</v>
      </c>
      <c r="N21" s="284">
        <f t="shared" si="1"/>
        <v>46.88</v>
      </c>
      <c r="O21" s="55">
        <f t="shared" si="2"/>
        <v>46.88</v>
      </c>
      <c r="P21" s="302">
        <f t="shared" si="2"/>
        <v>46.88</v>
      </c>
      <c r="Q21" s="395">
        <f t="shared" si="3"/>
        <v>3.8020896756242816E-3</v>
      </c>
      <c r="R21" s="301">
        <f t="shared" si="4"/>
        <v>4.0099901715116232E-3</v>
      </c>
      <c r="S21" s="289">
        <f t="shared" si="5"/>
        <v>3.6867094539032473E-3</v>
      </c>
      <c r="T21" s="301">
        <f t="shared" si="6"/>
        <v>3.8379914999270583E-3</v>
      </c>
      <c r="U21" s="289">
        <f t="shared" si="7"/>
        <v>2.8065381120809356E-3</v>
      </c>
      <c r="V21" s="301">
        <f t="shared" si="8"/>
        <v>2.8976680160791939E-3</v>
      </c>
      <c r="W21" s="35"/>
    </row>
    <row r="22" spans="1:51" x14ac:dyDescent="0.25">
      <c r="B22" s="560" t="s">
        <v>231</v>
      </c>
      <c r="C22" s="72">
        <v>3057120</v>
      </c>
      <c r="D22" s="231">
        <v>3195680</v>
      </c>
      <c r="E22" s="177">
        <v>113113.44</v>
      </c>
      <c r="F22" s="231">
        <v>118240.16</v>
      </c>
      <c r="G22" s="177">
        <v>12228.48</v>
      </c>
      <c r="H22" s="231">
        <v>12782.72</v>
      </c>
      <c r="I22" s="177">
        <v>30571.200000000001</v>
      </c>
      <c r="J22" s="231">
        <v>31956.799999999999</v>
      </c>
      <c r="K22" s="153">
        <f t="shared" si="0"/>
        <v>37</v>
      </c>
      <c r="L22" s="154">
        <f t="shared" si="0"/>
        <v>37</v>
      </c>
      <c r="M22" s="137">
        <f t="shared" si="1"/>
        <v>4</v>
      </c>
      <c r="N22" s="285">
        <f t="shared" si="1"/>
        <v>4</v>
      </c>
      <c r="O22" s="73">
        <f t="shared" si="2"/>
        <v>10</v>
      </c>
      <c r="P22" s="154">
        <f t="shared" si="2"/>
        <v>10</v>
      </c>
      <c r="Q22" s="555">
        <f t="shared" si="3"/>
        <v>7.3343238522943902E-2</v>
      </c>
      <c r="R22" s="307">
        <f t="shared" si="4"/>
        <v>7.6757826943762611E-2</v>
      </c>
      <c r="S22" s="308">
        <f t="shared" si="5"/>
        <v>2.5933526346349739E-2</v>
      </c>
      <c r="T22" s="307">
        <f t="shared" si="6"/>
        <v>2.678972815587306E-2</v>
      </c>
      <c r="U22" s="308">
        <f t="shared" si="7"/>
        <v>4.9355279404122328E-2</v>
      </c>
      <c r="V22" s="307">
        <f t="shared" si="8"/>
        <v>5.0565340255577004E-2</v>
      </c>
      <c r="W22" s="35"/>
    </row>
    <row r="23" spans="1:51" ht="6" customHeight="1" thickBot="1" x14ac:dyDescent="0.3">
      <c r="B23" s="327"/>
      <c r="C23" s="54"/>
      <c r="D23" s="221"/>
      <c r="E23" s="176"/>
      <c r="F23" s="221"/>
      <c r="G23" s="176"/>
      <c r="H23" s="221"/>
      <c r="I23" s="176"/>
      <c r="J23" s="241"/>
      <c r="K23" s="124"/>
      <c r="L23" s="302"/>
      <c r="M23" s="124"/>
      <c r="N23" s="284"/>
      <c r="O23" s="55"/>
      <c r="P23" s="302"/>
      <c r="Q23" s="395"/>
      <c r="R23" s="301"/>
      <c r="S23" s="289"/>
      <c r="T23" s="301"/>
      <c r="U23" s="289"/>
      <c r="V23" s="301"/>
      <c r="W23" s="35"/>
    </row>
    <row r="24" spans="1:51" ht="24.95" customHeight="1" thickTop="1" thickBot="1" x14ac:dyDescent="0.3">
      <c r="B24" s="61" t="s">
        <v>13</v>
      </c>
      <c r="C24" s="457">
        <f t="shared" ref="C24:J24" si="9">SUM(C11:C22)</f>
        <v>20095149.440000001</v>
      </c>
      <c r="D24" s="460">
        <f t="shared" si="9"/>
        <v>20121414.079999998</v>
      </c>
      <c r="E24" s="458">
        <f t="shared" si="9"/>
        <v>1542247.6874213133</v>
      </c>
      <c r="F24" s="460">
        <f t="shared" si="9"/>
        <v>1540431.3111499343</v>
      </c>
      <c r="G24" s="458">
        <f t="shared" si="9"/>
        <v>471531.70905819419</v>
      </c>
      <c r="H24" s="460">
        <f t="shared" si="9"/>
        <v>477150.04518243566</v>
      </c>
      <c r="I24" s="458">
        <f t="shared" si="9"/>
        <v>619410.93980407261</v>
      </c>
      <c r="J24" s="460">
        <f t="shared" si="9"/>
        <v>631990.209864659</v>
      </c>
      <c r="K24" s="498"/>
      <c r="L24" s="498"/>
      <c r="M24" s="498"/>
      <c r="N24" s="498"/>
      <c r="O24" s="498"/>
      <c r="P24" s="498"/>
      <c r="Q24" s="464">
        <f t="shared" ref="Q24:V24" si="10">SUM(Q11:Q22)</f>
        <v>0.99999999999999989</v>
      </c>
      <c r="R24" s="466">
        <f t="shared" si="10"/>
        <v>1</v>
      </c>
      <c r="S24" s="465">
        <f t="shared" si="10"/>
        <v>1</v>
      </c>
      <c r="T24" s="466">
        <f t="shared" si="10"/>
        <v>1</v>
      </c>
      <c r="U24" s="465">
        <f t="shared" si="10"/>
        <v>1.0000000000000002</v>
      </c>
      <c r="V24" s="466">
        <f t="shared" si="10"/>
        <v>0.99999999999999978</v>
      </c>
      <c r="W24" s="35"/>
    </row>
    <row r="25" spans="1:51" ht="15.75" thickTop="1" x14ac:dyDescent="0.25">
      <c r="C25" s="35"/>
      <c r="D25" s="35"/>
      <c r="E25" s="35"/>
      <c r="F25" s="35"/>
      <c r="G25" s="35"/>
      <c r="H25" s="35"/>
      <c r="I25" s="35"/>
      <c r="J25" s="35"/>
      <c r="K25" s="35"/>
      <c r="L25" s="35"/>
      <c r="M25" s="35"/>
      <c r="N25" s="35"/>
      <c r="O25" s="35"/>
      <c r="P25" s="35"/>
      <c r="Q25" s="35"/>
      <c r="R25" s="35"/>
      <c r="S25" s="35"/>
      <c r="T25" s="35"/>
      <c r="U25" s="35"/>
      <c r="V25" s="35"/>
      <c r="W25" s="35"/>
    </row>
    <row r="27" spans="1:51" x14ac:dyDescent="0.25">
      <c r="B27" s="66" t="s">
        <v>416</v>
      </c>
      <c r="C27" s="67"/>
      <c r="D27" s="67"/>
      <c r="E27" s="67"/>
      <c r="F27" s="67"/>
      <c r="G27" s="67"/>
      <c r="H27" s="67"/>
      <c r="I27" s="67"/>
      <c r="J27" s="67"/>
      <c r="K27" s="67"/>
      <c r="L27" s="67"/>
      <c r="M27" s="67"/>
    </row>
    <row r="28" spans="1:51" x14ac:dyDescent="0.25">
      <c r="A28" s="21"/>
      <c r="B28" s="67" t="s">
        <v>369</v>
      </c>
      <c r="C28" s="67"/>
      <c r="D28" s="67"/>
      <c r="E28" s="68"/>
      <c r="F28" s="68"/>
      <c r="G28" s="68"/>
      <c r="H28" s="68"/>
      <c r="I28" s="68"/>
      <c r="J28" s="68"/>
      <c r="K28" s="67"/>
      <c r="L28" s="67"/>
      <c r="M28" s="67"/>
      <c r="R28"/>
      <c r="S28"/>
      <c r="T28"/>
      <c r="U28"/>
      <c r="V28"/>
      <c r="W28"/>
      <c r="Y28"/>
      <c r="Z28"/>
      <c r="AA28"/>
      <c r="AB28"/>
      <c r="AC28"/>
      <c r="AD28"/>
      <c r="AE28"/>
      <c r="AF28"/>
      <c r="AG28"/>
      <c r="AH28"/>
      <c r="AI28"/>
      <c r="AJ28"/>
      <c r="AK28"/>
      <c r="AL28"/>
      <c r="AM28"/>
      <c r="AN28"/>
      <c r="AO28"/>
      <c r="AP28"/>
      <c r="AQ28"/>
      <c r="AR28"/>
      <c r="AS28"/>
      <c r="AT28"/>
      <c r="AU28"/>
      <c r="AV28"/>
      <c r="AW28"/>
      <c r="AX28"/>
      <c r="AY28"/>
    </row>
    <row r="29" spans="1:51" x14ac:dyDescent="0.25">
      <c r="A29" s="21"/>
      <c r="B29" s="67" t="s">
        <v>370</v>
      </c>
      <c r="C29" s="67"/>
      <c r="D29" s="67"/>
      <c r="E29" s="68"/>
      <c r="F29" s="68"/>
      <c r="G29" s="68"/>
      <c r="H29" s="68"/>
      <c r="I29" s="68"/>
      <c r="J29" s="68"/>
      <c r="K29" s="67"/>
      <c r="L29" s="67"/>
      <c r="M29" s="67"/>
      <c r="R29"/>
      <c r="S29"/>
      <c r="T29"/>
      <c r="U29"/>
      <c r="V29"/>
      <c r="W29"/>
      <c r="Y29"/>
      <c r="Z29"/>
      <c r="AA29"/>
      <c r="AB29"/>
      <c r="AC29"/>
      <c r="AD29"/>
      <c r="AE29"/>
      <c r="AF29"/>
      <c r="AG29"/>
      <c r="AH29"/>
      <c r="AI29"/>
      <c r="AJ29"/>
      <c r="AK29"/>
      <c r="AL29"/>
      <c r="AM29"/>
      <c r="AN29"/>
      <c r="AO29"/>
      <c r="AP29"/>
      <c r="AQ29"/>
      <c r="AR29"/>
      <c r="AS29"/>
      <c r="AT29"/>
      <c r="AU29"/>
      <c r="AV29"/>
      <c r="AW29"/>
      <c r="AX29"/>
      <c r="AY29"/>
    </row>
    <row r="30" spans="1:51" x14ac:dyDescent="0.25">
      <c r="A30" s="21"/>
      <c r="B30" s="67" t="s">
        <v>371</v>
      </c>
      <c r="C30" s="67"/>
      <c r="D30" s="67"/>
      <c r="E30" s="68"/>
      <c r="F30" s="68"/>
      <c r="G30" s="68"/>
      <c r="H30" s="68"/>
      <c r="I30" s="68"/>
      <c r="J30" s="68"/>
      <c r="K30" s="67"/>
      <c r="L30" s="67"/>
      <c r="M30" s="67"/>
      <c r="R30"/>
      <c r="S30"/>
      <c r="T30"/>
      <c r="U30"/>
      <c r="V30"/>
      <c r="W30"/>
      <c r="Y30"/>
      <c r="Z30"/>
      <c r="AA30"/>
      <c r="AB30"/>
      <c r="AC30"/>
      <c r="AD30"/>
      <c r="AE30"/>
      <c r="AF30"/>
      <c r="AG30"/>
      <c r="AH30"/>
      <c r="AI30"/>
      <c r="AJ30"/>
      <c r="AK30"/>
      <c r="AL30"/>
      <c r="AM30"/>
      <c r="AN30"/>
      <c r="AO30"/>
      <c r="AP30"/>
      <c r="AQ30"/>
      <c r="AR30"/>
      <c r="AS30"/>
      <c r="AT30"/>
      <c r="AU30"/>
      <c r="AV30"/>
      <c r="AW30"/>
      <c r="AX30"/>
      <c r="AY30"/>
    </row>
    <row r="31" spans="1:51" x14ac:dyDescent="0.25">
      <c r="A31" s="21"/>
      <c r="B31" s="67" t="s">
        <v>372</v>
      </c>
      <c r="C31" s="67"/>
      <c r="D31" s="67"/>
      <c r="E31" s="68"/>
      <c r="F31" s="68"/>
      <c r="G31" s="68"/>
      <c r="H31" s="68"/>
      <c r="I31" s="68"/>
      <c r="J31" s="68"/>
      <c r="K31" s="67"/>
      <c r="L31" s="67"/>
      <c r="M31" s="67"/>
      <c r="R31"/>
      <c r="S31"/>
      <c r="T31"/>
      <c r="U31"/>
      <c r="V31"/>
      <c r="W31"/>
      <c r="Y31"/>
      <c r="Z31"/>
      <c r="AA31"/>
      <c r="AB31"/>
      <c r="AC31"/>
      <c r="AD31"/>
      <c r="AE31"/>
      <c r="AF31"/>
      <c r="AG31"/>
      <c r="AH31"/>
      <c r="AI31"/>
      <c r="AJ31"/>
      <c r="AK31"/>
      <c r="AL31"/>
      <c r="AM31"/>
      <c r="AN31"/>
      <c r="AO31"/>
      <c r="AP31"/>
      <c r="AQ31"/>
      <c r="AR31"/>
      <c r="AS31"/>
      <c r="AT31"/>
      <c r="AU31"/>
      <c r="AV31"/>
      <c r="AW31"/>
      <c r="AX31"/>
      <c r="AY31"/>
    </row>
    <row r="32" spans="1:51" x14ac:dyDescent="0.25">
      <c r="A32" s="21"/>
      <c r="B32" s="67"/>
      <c r="C32" s="67"/>
      <c r="D32" s="67"/>
      <c r="E32" s="68"/>
      <c r="F32" s="68"/>
      <c r="G32" s="68"/>
      <c r="H32" s="68"/>
      <c r="I32" s="68"/>
      <c r="J32" s="68"/>
      <c r="K32" s="67"/>
      <c r="L32" s="67"/>
      <c r="M32" s="67"/>
      <c r="R32"/>
      <c r="S32"/>
      <c r="T32"/>
      <c r="U32"/>
      <c r="V32"/>
      <c r="W32"/>
      <c r="Y32"/>
      <c r="Z32"/>
      <c r="AA32"/>
      <c r="AB32"/>
      <c r="AC32"/>
      <c r="AD32"/>
      <c r="AE32"/>
      <c r="AF32"/>
      <c r="AG32"/>
      <c r="AH32"/>
      <c r="AI32"/>
      <c r="AJ32"/>
      <c r="AK32"/>
      <c r="AL32"/>
      <c r="AM32"/>
      <c r="AN32"/>
      <c r="AO32"/>
      <c r="AP32"/>
      <c r="AQ32"/>
      <c r="AR32"/>
      <c r="AS32"/>
      <c r="AT32"/>
      <c r="AU32"/>
      <c r="AV32"/>
      <c r="AW32"/>
      <c r="AX32"/>
      <c r="AY32"/>
    </row>
    <row r="33" spans="1:51" x14ac:dyDescent="0.25">
      <c r="B33" s="79" t="s">
        <v>397</v>
      </c>
      <c r="C33" s="67"/>
      <c r="D33" s="68"/>
      <c r="E33" s="68"/>
      <c r="F33" s="68"/>
      <c r="G33" s="68"/>
      <c r="H33" s="68"/>
      <c r="I33" s="68"/>
      <c r="J33" s="68"/>
      <c r="K33" s="68"/>
      <c r="L33" s="68"/>
      <c r="M33" s="68"/>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row>
    <row r="34" spans="1:51" x14ac:dyDescent="0.25">
      <c r="A34" s="21"/>
      <c r="B34" s="68" t="s">
        <v>189</v>
      </c>
      <c r="C34" s="67"/>
      <c r="D34" s="68"/>
      <c r="E34" s="68"/>
      <c r="F34" s="68"/>
      <c r="G34" s="68"/>
      <c r="H34" s="68"/>
      <c r="I34" s="68"/>
      <c r="J34" s="68"/>
      <c r="K34" s="68"/>
      <c r="L34" s="68"/>
      <c r="M34" s="68"/>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1:51" ht="14.45" customHeight="1" x14ac:dyDescent="0.25">
      <c r="A35" s="7"/>
      <c r="B35" s="69" t="s">
        <v>382</v>
      </c>
      <c r="C35" s="67"/>
      <c r="D35" s="333"/>
      <c r="E35" s="67"/>
      <c r="F35" s="67"/>
      <c r="G35" s="67"/>
      <c r="H35" s="67"/>
      <c r="I35" s="67"/>
      <c r="J35" s="68"/>
      <c r="K35" s="67"/>
      <c r="L35" s="67"/>
      <c r="M35" s="67"/>
      <c r="T35" s="8"/>
      <c r="U35" s="8"/>
      <c r="V35" s="8"/>
      <c r="AA35"/>
      <c r="AB35"/>
      <c r="AC35"/>
      <c r="AD35"/>
      <c r="AE35"/>
      <c r="AF35"/>
      <c r="AG35"/>
      <c r="AH35"/>
      <c r="AI35"/>
      <c r="AJ35"/>
      <c r="AK35"/>
      <c r="AL35"/>
      <c r="AM35"/>
      <c r="AN35"/>
      <c r="AO35"/>
      <c r="AP35"/>
      <c r="AQ35"/>
      <c r="AR35"/>
      <c r="AS35"/>
      <c r="AT35"/>
      <c r="AU35"/>
      <c r="AV35"/>
      <c r="AW35"/>
      <c r="AX35"/>
      <c r="AY35"/>
    </row>
    <row r="36" spans="1:51" ht="14.45" customHeight="1" x14ac:dyDescent="0.25">
      <c r="A36" s="7"/>
      <c r="B36" s="69"/>
      <c r="C36" s="67"/>
      <c r="D36" s="333"/>
      <c r="E36" s="67"/>
      <c r="F36" s="67"/>
      <c r="G36" s="67"/>
      <c r="H36" s="67"/>
      <c r="I36" s="67"/>
      <c r="J36" s="68"/>
      <c r="K36" s="67"/>
      <c r="L36" s="67"/>
      <c r="M36" s="67"/>
      <c r="T36" s="8"/>
      <c r="U36" s="8"/>
      <c r="V36" s="8"/>
      <c r="AA36"/>
      <c r="AB36"/>
      <c r="AC36"/>
      <c r="AD36"/>
      <c r="AE36"/>
      <c r="AF36"/>
      <c r="AG36"/>
      <c r="AH36"/>
      <c r="AI36"/>
      <c r="AJ36"/>
      <c r="AK36"/>
      <c r="AL36"/>
      <c r="AM36"/>
      <c r="AN36"/>
      <c r="AO36"/>
      <c r="AP36"/>
      <c r="AQ36"/>
      <c r="AR36"/>
      <c r="AS36"/>
      <c r="AT36"/>
      <c r="AU36"/>
      <c r="AV36"/>
      <c r="AW36"/>
      <c r="AX36"/>
      <c r="AY36"/>
    </row>
    <row r="37" spans="1:51" x14ac:dyDescent="0.25">
      <c r="B37" s="67"/>
      <c r="C37" s="67"/>
      <c r="D37" s="67"/>
      <c r="E37" s="67"/>
      <c r="F37" s="67"/>
      <c r="G37" s="67"/>
      <c r="H37" s="67"/>
      <c r="I37" s="67"/>
      <c r="J37" s="67"/>
      <c r="K37" s="67"/>
      <c r="L37" s="67"/>
      <c r="M37" s="67"/>
    </row>
    <row r="38" spans="1:51" x14ac:dyDescent="0.25">
      <c r="B38" s="66" t="s">
        <v>398</v>
      </c>
      <c r="C38" s="67"/>
      <c r="D38" s="67"/>
      <c r="E38" s="67"/>
      <c r="F38" s="67"/>
      <c r="G38" s="67"/>
      <c r="H38" s="67"/>
      <c r="I38" s="67"/>
      <c r="J38" s="67"/>
      <c r="K38" s="67"/>
      <c r="L38" s="67"/>
      <c r="M38" s="67"/>
    </row>
    <row r="39" spans="1:51" x14ac:dyDescent="0.25">
      <c r="B39" s="67"/>
      <c r="C39" s="67"/>
      <c r="D39" s="67"/>
      <c r="E39" s="67"/>
      <c r="F39" s="67"/>
      <c r="G39" s="67"/>
      <c r="H39" s="67"/>
      <c r="I39" s="67"/>
      <c r="J39" s="67"/>
      <c r="K39" s="67"/>
      <c r="L39" s="67"/>
      <c r="M39" s="67"/>
    </row>
    <row r="40" spans="1:51" x14ac:dyDescent="0.25">
      <c r="B40" s="67"/>
      <c r="C40" s="67"/>
      <c r="D40" s="67"/>
      <c r="E40" s="67"/>
      <c r="F40" s="67"/>
      <c r="G40" s="67"/>
      <c r="H40" s="67"/>
      <c r="I40" s="67"/>
      <c r="J40" s="67"/>
      <c r="K40" s="67"/>
      <c r="L40" s="67"/>
      <c r="M40" s="67"/>
    </row>
    <row r="41" spans="1:51" x14ac:dyDescent="0.25">
      <c r="B41" s="67"/>
      <c r="C41" s="67"/>
      <c r="D41" s="67"/>
      <c r="E41" s="67"/>
      <c r="F41" s="67"/>
      <c r="G41" s="67"/>
      <c r="H41" s="67"/>
      <c r="I41" s="67"/>
      <c r="J41" s="67"/>
      <c r="K41" s="67"/>
      <c r="L41" s="67"/>
      <c r="M41" s="67"/>
    </row>
    <row r="42" spans="1:51" x14ac:dyDescent="0.25">
      <c r="B42" s="67"/>
      <c r="C42" s="67"/>
      <c r="D42" s="67"/>
      <c r="E42" s="67"/>
      <c r="F42" s="67"/>
      <c r="G42" s="67"/>
      <c r="H42" s="67"/>
      <c r="I42" s="67"/>
      <c r="J42" s="67"/>
      <c r="K42" s="67"/>
      <c r="L42" s="67"/>
      <c r="M42" s="67"/>
    </row>
  </sheetData>
  <mergeCells count="19">
    <mergeCell ref="Q6:V6"/>
    <mergeCell ref="B7:B8"/>
    <mergeCell ref="C7:D7"/>
    <mergeCell ref="E7:J7"/>
    <mergeCell ref="K7:P7"/>
    <mergeCell ref="Q7:V7"/>
    <mergeCell ref="C8:D8"/>
    <mergeCell ref="Q8:R8"/>
    <mergeCell ref="S8:T8"/>
    <mergeCell ref="U8:V8"/>
    <mergeCell ref="E8:F8"/>
    <mergeCell ref="G8:H8"/>
    <mergeCell ref="I8:J8"/>
    <mergeCell ref="K8:L8"/>
    <mergeCell ref="M8:N8"/>
    <mergeCell ref="O8:P8"/>
    <mergeCell ref="C6:D6"/>
    <mergeCell ref="E6:J6"/>
    <mergeCell ref="K6:P6"/>
  </mergeCells>
  <hyperlinks>
    <hyperlink ref="B1" location="Start!A1" display="Back to home page" xr:uid="{40474A17-A84D-4B08-90B3-DD748354C80C}"/>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518D6-06C3-4E66-8C73-10FEC1538EDB}">
  <sheetPr>
    <tabColor rgb="FF92D050"/>
  </sheetPr>
  <dimension ref="A1:Q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30" sqref="B30"/>
    </sheetView>
  </sheetViews>
  <sheetFormatPr defaultColWidth="8.7109375" defaultRowHeight="15" x14ac:dyDescent="0.25"/>
  <cols>
    <col min="1" max="1" width="2.7109375" style="7" customWidth="1"/>
    <col min="2" max="2" width="47.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198</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185" t="s">
        <v>388</v>
      </c>
      <c r="E8" s="185" t="s">
        <v>394</v>
      </c>
      <c r="F8" s="185" t="s">
        <v>395</v>
      </c>
      <c r="G8" s="181" t="s">
        <v>388</v>
      </c>
      <c r="H8" s="181" t="s">
        <v>394</v>
      </c>
      <c r="I8" s="181" t="s">
        <v>404</v>
      </c>
      <c r="J8" s="185" t="s">
        <v>388</v>
      </c>
      <c r="K8" s="185" t="s">
        <v>394</v>
      </c>
      <c r="L8" s="185"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96"/>
      <c r="C10" s="193"/>
      <c r="D10" s="98"/>
      <c r="E10" s="98"/>
      <c r="F10" s="98"/>
      <c r="G10" s="98"/>
      <c r="H10" s="98"/>
      <c r="I10" s="98"/>
      <c r="J10" s="98"/>
      <c r="K10" s="98"/>
      <c r="L10" s="98"/>
    </row>
    <row r="11" spans="1:17" x14ac:dyDescent="0.25">
      <c r="B11" s="192" t="s">
        <v>3</v>
      </c>
      <c r="C11" s="194">
        <v>613500</v>
      </c>
      <c r="D11" s="196">
        <v>64800</v>
      </c>
      <c r="E11" s="196">
        <v>17400</v>
      </c>
      <c r="F11" s="196">
        <v>53000</v>
      </c>
      <c r="G11" s="56">
        <f>IFERROR(D11*1000/C11,"-")</f>
        <v>105.62347188264059</v>
      </c>
      <c r="H11" s="56">
        <f>IFERROR(E11*1000/C11,"-")</f>
        <v>28.361858190709047</v>
      </c>
      <c r="I11" s="56">
        <f>IFERROR(F11*1000/C11,"-")</f>
        <v>86.389568052159746</v>
      </c>
      <c r="J11" s="57">
        <f t="shared" ref="J11:J24" si="0">D11/$D$26</f>
        <v>0.16003959498127684</v>
      </c>
      <c r="K11" s="57">
        <f t="shared" ref="K11:K24" si="1">E11/$E$26</f>
        <v>0.16634862848423893</v>
      </c>
      <c r="L11" s="57">
        <f t="shared" ref="L11:L24" si="2">F11/$F$26</f>
        <v>0.13852587558808155</v>
      </c>
    </row>
    <row r="12" spans="1:17" x14ac:dyDescent="0.25">
      <c r="B12" s="103" t="s">
        <v>68</v>
      </c>
      <c r="C12" s="197">
        <f>SUM(C13:C14)</f>
        <v>973200</v>
      </c>
      <c r="D12" s="198">
        <v>92100</v>
      </c>
      <c r="E12" s="198">
        <v>23200</v>
      </c>
      <c r="F12" s="198">
        <v>81200</v>
      </c>
      <c r="G12" s="74">
        <f t="shared" ref="G12:G24" si="3">IFERROR(D12*1000/C12,"-")</f>
        <v>94.636251541307033</v>
      </c>
      <c r="H12" s="74">
        <f t="shared" ref="H12:H24" si="4">IFERROR(E12*1000/C12,"-")</f>
        <v>23.838882038635429</v>
      </c>
      <c r="I12" s="74">
        <f t="shared" ref="I12:I24" si="5">IFERROR(F12*1000/C12,"-")</f>
        <v>83.436087135224</v>
      </c>
      <c r="J12" s="75">
        <f t="shared" si="0"/>
        <v>0.22746368360764813</v>
      </c>
      <c r="K12" s="75">
        <f t="shared" si="1"/>
        <v>0.22179817131231858</v>
      </c>
      <c r="L12" s="75">
        <f t="shared" si="2"/>
        <v>0.21223209618400418</v>
      </c>
    </row>
    <row r="13" spans="1:17" x14ac:dyDescent="0.25">
      <c r="B13" s="192" t="s">
        <v>69</v>
      </c>
      <c r="C13" s="194">
        <v>170500</v>
      </c>
      <c r="D13" s="196">
        <v>17800</v>
      </c>
      <c r="E13" s="196">
        <v>5800</v>
      </c>
      <c r="F13" s="196">
        <v>17400</v>
      </c>
      <c r="G13" s="56">
        <f t="shared" si="3"/>
        <v>104.39882697947215</v>
      </c>
      <c r="H13" s="56">
        <f t="shared" si="4"/>
        <v>34.017595307917887</v>
      </c>
      <c r="I13" s="56">
        <f t="shared" si="5"/>
        <v>102.05278592375366</v>
      </c>
      <c r="J13" s="57">
        <f t="shared" si="0"/>
        <v>4.3961493683128516E-2</v>
      </c>
      <c r="K13" s="57">
        <f t="shared" si="1"/>
        <v>5.5449542828079644E-2</v>
      </c>
      <c r="L13" s="57">
        <f t="shared" si="2"/>
        <v>4.5478306325143755E-2</v>
      </c>
    </row>
    <row r="14" spans="1:17" x14ac:dyDescent="0.25">
      <c r="B14" s="103" t="s">
        <v>70</v>
      </c>
      <c r="C14" s="197">
        <v>802700</v>
      </c>
      <c r="D14" s="198">
        <v>74300</v>
      </c>
      <c r="E14" s="198">
        <v>17400</v>
      </c>
      <c r="F14" s="198">
        <v>63800</v>
      </c>
      <c r="G14" s="74">
        <f t="shared" si="3"/>
        <v>92.562601220879529</v>
      </c>
      <c r="H14" s="74">
        <f t="shared" si="4"/>
        <v>21.676840662763173</v>
      </c>
      <c r="I14" s="74">
        <f t="shared" si="5"/>
        <v>79.48174909679831</v>
      </c>
      <c r="J14" s="75">
        <f t="shared" si="0"/>
        <v>0.18350218992451961</v>
      </c>
      <c r="K14" s="75">
        <f t="shared" si="1"/>
        <v>0.16634862848423893</v>
      </c>
      <c r="L14" s="75">
        <f t="shared" si="2"/>
        <v>0.16675378985886044</v>
      </c>
    </row>
    <row r="15" spans="1:17" x14ac:dyDescent="0.25">
      <c r="B15" s="192" t="s">
        <v>5</v>
      </c>
      <c r="C15" s="194">
        <v>1263300</v>
      </c>
      <c r="D15" s="196">
        <v>96700</v>
      </c>
      <c r="E15" s="196">
        <v>27300</v>
      </c>
      <c r="F15" s="196">
        <v>93100</v>
      </c>
      <c r="G15" s="56">
        <f t="shared" si="3"/>
        <v>76.545555291696346</v>
      </c>
      <c r="H15" s="56">
        <f t="shared" si="4"/>
        <v>21.610068867252433</v>
      </c>
      <c r="I15" s="56">
        <f t="shared" si="5"/>
        <v>73.695875880630098</v>
      </c>
      <c r="J15" s="57">
        <f t="shared" si="0"/>
        <v>0.23882451905384988</v>
      </c>
      <c r="K15" s="57">
        <f t="shared" si="1"/>
        <v>0.26099526193216799</v>
      </c>
      <c r="L15" s="57">
        <f t="shared" si="2"/>
        <v>0.2433350757971772</v>
      </c>
    </row>
    <row r="16" spans="1:17" x14ac:dyDescent="0.25">
      <c r="B16" s="103" t="s">
        <v>56</v>
      </c>
      <c r="C16" s="197">
        <v>352000</v>
      </c>
      <c r="D16" s="198">
        <v>44000</v>
      </c>
      <c r="E16" s="198">
        <v>11800</v>
      </c>
      <c r="F16" s="198">
        <v>31600</v>
      </c>
      <c r="G16" s="74">
        <f t="shared" si="3"/>
        <v>125</v>
      </c>
      <c r="H16" s="74">
        <f t="shared" si="4"/>
        <v>33.522727272727273</v>
      </c>
      <c r="I16" s="74">
        <f t="shared" si="5"/>
        <v>89.772727272727266</v>
      </c>
      <c r="J16" s="75">
        <f t="shared" si="0"/>
        <v>0.10866886078975589</v>
      </c>
      <c r="K16" s="75">
        <f t="shared" si="1"/>
        <v>0.11281113885712755</v>
      </c>
      <c r="L16" s="75">
        <f t="shared" si="2"/>
        <v>8.2592786199686352E-2</v>
      </c>
    </row>
    <row r="17" spans="1:17" x14ac:dyDescent="0.25">
      <c r="B17" s="192" t="s">
        <v>44</v>
      </c>
      <c r="C17" s="194">
        <v>99600</v>
      </c>
      <c r="D17" s="196">
        <v>14600</v>
      </c>
      <c r="E17" s="196">
        <v>7400</v>
      </c>
      <c r="F17" s="196">
        <v>19400</v>
      </c>
      <c r="G17" s="56">
        <f t="shared" si="3"/>
        <v>146.58634538152612</v>
      </c>
      <c r="H17" s="56">
        <f t="shared" si="4"/>
        <v>74.297188755020073</v>
      </c>
      <c r="I17" s="56">
        <f t="shared" si="5"/>
        <v>194.77911646586347</v>
      </c>
      <c r="J17" s="57">
        <f t="shared" si="0"/>
        <v>3.6058303807509906E-2</v>
      </c>
      <c r="K17" s="57">
        <f t="shared" si="1"/>
        <v>7.0745968435825757E-2</v>
      </c>
      <c r="L17" s="57">
        <f t="shared" si="2"/>
        <v>5.0705697856769469E-2</v>
      </c>
    </row>
    <row r="18" spans="1:17" x14ac:dyDescent="0.25">
      <c r="B18" s="103" t="s">
        <v>196</v>
      </c>
      <c r="C18" s="197">
        <v>26200</v>
      </c>
      <c r="D18" s="198">
        <v>2200</v>
      </c>
      <c r="E18" s="198">
        <v>1500</v>
      </c>
      <c r="F18" s="198">
        <v>3500</v>
      </c>
      <c r="G18" s="74">
        <f t="shared" si="3"/>
        <v>83.969465648854964</v>
      </c>
      <c r="H18" s="74">
        <f t="shared" si="4"/>
        <v>57.251908396946568</v>
      </c>
      <c r="I18" s="74">
        <f t="shared" si="5"/>
        <v>133.58778625954199</v>
      </c>
      <c r="J18" s="75">
        <f t="shared" si="0"/>
        <v>5.4334430394877946E-3</v>
      </c>
      <c r="K18" s="75">
        <f t="shared" si="1"/>
        <v>1.4340399007261978E-2</v>
      </c>
      <c r="L18" s="75">
        <f t="shared" si="2"/>
        <v>9.1479351803450074E-3</v>
      </c>
    </row>
    <row r="19" spans="1:17" x14ac:dyDescent="0.25">
      <c r="B19" s="192" t="s">
        <v>199</v>
      </c>
      <c r="C19" s="195">
        <v>27600</v>
      </c>
      <c r="D19" s="196">
        <v>291.8</v>
      </c>
      <c r="E19" s="196">
        <v>89.6</v>
      </c>
      <c r="F19" s="196">
        <v>325</v>
      </c>
      <c r="G19" s="56">
        <f t="shared" si="3"/>
        <v>10.572463768115941</v>
      </c>
      <c r="H19" s="56">
        <f t="shared" si="4"/>
        <v>3.2463768115942031</v>
      </c>
      <c r="I19" s="56">
        <f t="shared" si="5"/>
        <v>11.77536231884058</v>
      </c>
      <c r="J19" s="57">
        <f t="shared" si="0"/>
        <v>7.2067212678297203E-4</v>
      </c>
      <c r="K19" s="57">
        <f t="shared" si="1"/>
        <v>8.5659983403378202E-4</v>
      </c>
      <c r="L19" s="57">
        <f t="shared" si="2"/>
        <v>8.4945112388917928E-4</v>
      </c>
    </row>
    <row r="20" spans="1:17" x14ac:dyDescent="0.25">
      <c r="B20" s="103" t="s">
        <v>9</v>
      </c>
      <c r="C20" s="197">
        <v>5900</v>
      </c>
      <c r="D20" s="198">
        <v>400</v>
      </c>
      <c r="E20" s="198">
        <v>200</v>
      </c>
      <c r="F20" s="198">
        <v>600</v>
      </c>
      <c r="G20" s="74">
        <f t="shared" si="3"/>
        <v>67.79661016949153</v>
      </c>
      <c r="H20" s="74">
        <f t="shared" si="4"/>
        <v>33.898305084745765</v>
      </c>
      <c r="I20" s="74">
        <f t="shared" si="5"/>
        <v>101.69491525423729</v>
      </c>
      <c r="J20" s="75">
        <f t="shared" si="0"/>
        <v>9.8789873445232629E-4</v>
      </c>
      <c r="K20" s="75">
        <f t="shared" si="1"/>
        <v>1.9120532009682637E-3</v>
      </c>
      <c r="L20" s="75">
        <f t="shared" si="2"/>
        <v>1.5682174594877157E-3</v>
      </c>
    </row>
    <row r="21" spans="1:17" x14ac:dyDescent="0.25">
      <c r="B21" s="192" t="s">
        <v>21</v>
      </c>
      <c r="C21" s="195">
        <v>172600</v>
      </c>
      <c r="D21" s="196">
        <v>4500</v>
      </c>
      <c r="E21" s="196">
        <v>3200</v>
      </c>
      <c r="F21" s="196">
        <v>10300</v>
      </c>
      <c r="G21" s="56">
        <f t="shared" si="3"/>
        <v>26.071842410196986</v>
      </c>
      <c r="H21" s="56">
        <f t="shared" si="4"/>
        <v>18.539976825028969</v>
      </c>
      <c r="I21" s="56">
        <f t="shared" si="5"/>
        <v>59.675550405561992</v>
      </c>
      <c r="J21" s="57">
        <f t="shared" si="0"/>
        <v>1.1113860762588671E-2</v>
      </c>
      <c r="K21" s="57">
        <f t="shared" si="1"/>
        <v>3.0592851215492219E-2</v>
      </c>
      <c r="L21" s="57">
        <f t="shared" si="2"/>
        <v>2.6921066387872453E-2</v>
      </c>
    </row>
    <row r="22" spans="1:17" x14ac:dyDescent="0.25">
      <c r="B22" s="103" t="s">
        <v>197</v>
      </c>
      <c r="C22" s="197">
        <f>1690800+2401300</f>
        <v>4092100</v>
      </c>
      <c r="D22" s="198">
        <v>81700</v>
      </c>
      <c r="E22" s="198">
        <v>9200</v>
      </c>
      <c r="F22" s="198">
        <v>82100</v>
      </c>
      <c r="G22" s="74">
        <f t="shared" si="3"/>
        <v>19.965298990738251</v>
      </c>
      <c r="H22" s="74">
        <f t="shared" si="4"/>
        <v>2.2482344028738299</v>
      </c>
      <c r="I22" s="74">
        <f t="shared" si="5"/>
        <v>20.06304831260233</v>
      </c>
      <c r="J22" s="75">
        <f t="shared" si="0"/>
        <v>0.20177831651188763</v>
      </c>
      <c r="K22" s="75">
        <f t="shared" si="1"/>
        <v>8.7954447244540129E-2</v>
      </c>
      <c r="L22" s="75">
        <f t="shared" si="2"/>
        <v>0.21458442237323574</v>
      </c>
    </row>
    <row r="23" spans="1:17" x14ac:dyDescent="0.25">
      <c r="B23" s="192" t="s">
        <v>200</v>
      </c>
      <c r="C23" s="195">
        <v>50000</v>
      </c>
      <c r="D23" s="196">
        <v>1100</v>
      </c>
      <c r="E23" s="196">
        <v>2800</v>
      </c>
      <c r="F23" s="196">
        <v>5100</v>
      </c>
      <c r="G23" s="56">
        <f t="shared" si="3"/>
        <v>22</v>
      </c>
      <c r="H23" s="56">
        <f t="shared" si="4"/>
        <v>56</v>
      </c>
      <c r="I23" s="56">
        <f t="shared" si="5"/>
        <v>102</v>
      </c>
      <c r="J23" s="57">
        <f t="shared" si="0"/>
        <v>2.7167215197438973E-3</v>
      </c>
      <c r="K23" s="57">
        <f t="shared" si="1"/>
        <v>2.6768744813555692E-2</v>
      </c>
      <c r="L23" s="57">
        <f t="shared" si="2"/>
        <v>1.3329848405645583E-2</v>
      </c>
    </row>
    <row r="24" spans="1:17" x14ac:dyDescent="0.25">
      <c r="B24" s="103" t="s">
        <v>12</v>
      </c>
      <c r="C24" s="197">
        <v>32800</v>
      </c>
      <c r="D24" s="198">
        <v>2508</v>
      </c>
      <c r="E24" s="198">
        <v>510</v>
      </c>
      <c r="F24" s="198">
        <v>2375</v>
      </c>
      <c r="G24" s="74">
        <f t="shared" si="3"/>
        <v>76.463414634146346</v>
      </c>
      <c r="H24" s="74">
        <f t="shared" si="4"/>
        <v>15.548780487804878</v>
      </c>
      <c r="I24" s="74">
        <f t="shared" si="5"/>
        <v>72.408536585365852</v>
      </c>
      <c r="J24" s="75">
        <f t="shared" si="0"/>
        <v>6.1941250650160854E-3</v>
      </c>
      <c r="K24" s="75">
        <f t="shared" si="1"/>
        <v>4.8757356624690726E-3</v>
      </c>
      <c r="L24" s="75">
        <f t="shared" si="2"/>
        <v>6.2075274438055409E-3</v>
      </c>
    </row>
    <row r="25" spans="1:17" s="7" customFormat="1" ht="6" customHeight="1" thickBot="1" x14ac:dyDescent="0.3">
      <c r="B25" s="89"/>
      <c r="C25" s="99"/>
      <c r="D25" s="99"/>
      <c r="E25" s="93"/>
      <c r="F25" s="92"/>
      <c r="G25" s="100"/>
      <c r="H25" s="84"/>
      <c r="I25" s="101"/>
      <c r="J25" s="85"/>
      <c r="K25" s="85"/>
      <c r="L25" s="85"/>
    </row>
    <row r="26" spans="1:17" s="12" customFormat="1" ht="24.95" customHeight="1" thickTop="1" thickBot="1" x14ac:dyDescent="0.3">
      <c r="A26" s="13"/>
      <c r="B26" s="90" t="s">
        <v>13</v>
      </c>
      <c r="C26" s="63">
        <f>SUM(C11:C12,C15:C16,C17:C24)</f>
        <v>7708800</v>
      </c>
      <c r="D26" s="63">
        <f>SUM(D11:D12,D15:D16,D17:D24)</f>
        <v>404899.8</v>
      </c>
      <c r="E26" s="62">
        <f>SUM(E11:E12,E15:E16,E17:E24)</f>
        <v>104599.6</v>
      </c>
      <c r="F26" s="102">
        <f>SUM(F11:F12,F15:F16,F17:F24)</f>
        <v>382600</v>
      </c>
      <c r="G26" s="94"/>
      <c r="H26" s="94"/>
      <c r="I26" s="94"/>
      <c r="J26" s="95">
        <f>SUM(J11:J12,J15:J16,J17:J24)</f>
        <v>1</v>
      </c>
      <c r="K26" s="64">
        <f>SUM(K11:K12,K15:K16,K17:K24)</f>
        <v>1.0000000000000002</v>
      </c>
      <c r="L26" s="65">
        <f>SUM(L11:L12,L15:L16,L17:L24)</f>
        <v>1</v>
      </c>
      <c r="M26" s="13"/>
      <c r="N26" s="13"/>
      <c r="O26" s="13"/>
      <c r="P26" s="13"/>
      <c r="Q26" s="13"/>
    </row>
    <row r="27" spans="1:17" ht="15.75" thickTop="1" x14ac:dyDescent="0.25">
      <c r="B27" s="15"/>
    </row>
    <row r="28" spans="1:17" x14ac:dyDescent="0.25">
      <c r="B28" s="15"/>
    </row>
    <row r="29" spans="1:17" x14ac:dyDescent="0.25">
      <c r="B29" s="66" t="s">
        <v>396</v>
      </c>
      <c r="C29" s="67"/>
      <c r="D29" s="67"/>
      <c r="E29" s="67"/>
      <c r="F29" s="67"/>
    </row>
    <row r="30" spans="1:17" x14ac:dyDescent="0.25">
      <c r="A30" s="21"/>
      <c r="B30" s="67" t="s">
        <v>201</v>
      </c>
      <c r="C30" s="68"/>
      <c r="D30" s="68"/>
      <c r="E30" s="68"/>
      <c r="F30" s="68"/>
      <c r="G30" s="87"/>
      <c r="H30" s="88"/>
      <c r="I30"/>
      <c r="J30"/>
      <c r="K30"/>
      <c r="L30"/>
      <c r="M30"/>
      <c r="N30"/>
      <c r="O30"/>
      <c r="P30"/>
      <c r="Q30"/>
    </row>
    <row r="31" spans="1:17" ht="14.45" customHeight="1" x14ac:dyDescent="0.25">
      <c r="A31" s="21"/>
      <c r="B31" s="67"/>
      <c r="C31" s="68"/>
      <c r="D31" s="68"/>
      <c r="E31" s="68"/>
      <c r="F31" s="68"/>
      <c r="G31" s="87"/>
      <c r="H31" s="88"/>
      <c r="I31"/>
      <c r="J31"/>
      <c r="K31"/>
      <c r="L31"/>
      <c r="M31"/>
      <c r="N31"/>
      <c r="O31"/>
      <c r="P31"/>
      <c r="Q31"/>
    </row>
    <row r="32" spans="1:17" x14ac:dyDescent="0.25">
      <c r="A32"/>
      <c r="B32" s="79" t="s">
        <v>397</v>
      </c>
      <c r="C32" s="68"/>
      <c r="D32" s="68"/>
      <c r="E32" s="68"/>
      <c r="F32" s="68"/>
      <c r="G32" s="88"/>
      <c r="H32" s="88"/>
      <c r="I32"/>
      <c r="J32"/>
      <c r="K32"/>
      <c r="L32"/>
      <c r="M32"/>
      <c r="N32"/>
      <c r="O32"/>
      <c r="P32"/>
      <c r="Q32"/>
    </row>
    <row r="33" spans="1:17" x14ac:dyDescent="0.25">
      <c r="A33" s="21"/>
      <c r="B33" s="69" t="s">
        <v>103</v>
      </c>
      <c r="C33" s="68"/>
      <c r="D33" s="68"/>
      <c r="E33" s="68"/>
      <c r="F33" s="68"/>
      <c r="G33" s="88"/>
      <c r="H33" s="88"/>
      <c r="I33"/>
      <c r="J33"/>
      <c r="K33"/>
      <c r="L33"/>
      <c r="M33"/>
      <c r="N33"/>
      <c r="O33"/>
      <c r="P33"/>
      <c r="Q33"/>
    </row>
    <row r="34" spans="1:17" x14ac:dyDescent="0.25">
      <c r="B34" s="67" t="s">
        <v>382</v>
      </c>
      <c r="C34" s="67"/>
      <c r="D34" s="67"/>
      <c r="E34" s="67"/>
      <c r="F34" s="67"/>
      <c r="G34" s="87"/>
      <c r="H34" s="87"/>
    </row>
    <row r="35" spans="1:17" x14ac:dyDescent="0.25">
      <c r="B35" s="87"/>
      <c r="C35" s="87"/>
      <c r="D35" s="87"/>
      <c r="E35" s="87"/>
      <c r="F35" s="87"/>
      <c r="G35" s="87"/>
      <c r="H35" s="87"/>
    </row>
    <row r="36" spans="1:17" x14ac:dyDescent="0.25">
      <c r="B36" s="66" t="s">
        <v>398</v>
      </c>
    </row>
  </sheetData>
  <mergeCells count="8">
    <mergeCell ref="C6:C7"/>
    <mergeCell ref="D6:F6"/>
    <mergeCell ref="G6:I6"/>
    <mergeCell ref="J6:L6"/>
    <mergeCell ref="B7:B8"/>
    <mergeCell ref="D7:F7"/>
    <mergeCell ref="G7:I7"/>
    <mergeCell ref="J7:L7"/>
  </mergeCells>
  <hyperlinks>
    <hyperlink ref="B1" location="Start!A1" display="Back to home page" xr:uid="{CBD04BB0-9DCC-413D-86D3-79A7F723F20B}"/>
  </hyperlink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A28C5-02D0-4C4E-88B6-9D6B747D5999}">
  <sheetPr>
    <tabColor rgb="FF92D050"/>
  </sheetPr>
  <dimension ref="A1:Q42"/>
  <sheetViews>
    <sheetView showGridLines="0" zoomScale="80" zoomScaleNormal="80" workbookViewId="0">
      <pane xSplit="2" ySplit="9" topLeftCell="C24" activePane="bottomRight" state="frozen"/>
      <selection pane="topRight" activeCell="C1" sqref="C1"/>
      <selection pane="bottomLeft" activeCell="A10" sqref="A10"/>
      <selection pane="bottomRight" activeCell="B35" sqref="B35"/>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187</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49">
        <v>2018</v>
      </c>
      <c r="D9" s="49">
        <v>2018</v>
      </c>
      <c r="E9" s="49">
        <v>2018</v>
      </c>
      <c r="F9" s="49">
        <v>2018</v>
      </c>
      <c r="G9" s="49">
        <v>2018</v>
      </c>
      <c r="H9" s="49">
        <v>2018</v>
      </c>
      <c r="I9" s="49">
        <v>2018</v>
      </c>
      <c r="J9" s="49">
        <v>2018</v>
      </c>
      <c r="K9" s="49">
        <v>2018</v>
      </c>
      <c r="L9" s="49">
        <v>2018</v>
      </c>
    </row>
    <row r="10" spans="1:17" ht="6" customHeight="1" thickTop="1" x14ac:dyDescent="0.25">
      <c r="B10" s="96"/>
      <c r="C10" s="98"/>
      <c r="D10" s="98"/>
      <c r="E10" s="98"/>
      <c r="F10" s="98"/>
      <c r="G10" s="98"/>
      <c r="H10" s="98"/>
      <c r="I10" s="98"/>
      <c r="J10" s="98"/>
      <c r="K10" s="98"/>
      <c r="L10" s="98"/>
    </row>
    <row r="11" spans="1:17" x14ac:dyDescent="0.25">
      <c r="B11" s="89" t="s">
        <v>3</v>
      </c>
      <c r="C11" s="53">
        <v>7299270</v>
      </c>
      <c r="D11" s="53">
        <v>583941.6</v>
      </c>
      <c r="E11" s="53">
        <v>218978.1</v>
      </c>
      <c r="F11" s="275">
        <v>0</v>
      </c>
      <c r="G11" s="56">
        <f>IFERROR(D11*1000/C11,"-")</f>
        <v>80</v>
      </c>
      <c r="H11" s="56">
        <f>IFERROR(E11*1000/C11,"-")</f>
        <v>30</v>
      </c>
      <c r="I11" s="56">
        <f>IFERROR(F11*1000/C11,"-")</f>
        <v>0</v>
      </c>
      <c r="J11" s="57">
        <f t="shared" ref="J11:J29" si="0">D11/$D$31</f>
        <v>0.303515899859363</v>
      </c>
      <c r="K11" s="57">
        <f t="shared" ref="K11:K29" si="1">E11/$E$31</f>
        <v>0.25661107969491964</v>
      </c>
      <c r="L11" s="57">
        <f t="shared" ref="L11:L29" si="2">F11/$F$31</f>
        <v>0</v>
      </c>
    </row>
    <row r="12" spans="1:17" x14ac:dyDescent="0.25">
      <c r="B12" s="103" t="s">
        <v>16</v>
      </c>
      <c r="C12" s="71">
        <v>120142</v>
      </c>
      <c r="D12" s="71">
        <v>14417.04</v>
      </c>
      <c r="E12" s="71">
        <v>7208.52</v>
      </c>
      <c r="F12" s="277">
        <v>3604.26</v>
      </c>
      <c r="G12" s="74">
        <f t="shared" ref="G12:G29" si="3">IFERROR(D12*1000/C12,"-")</f>
        <v>120</v>
      </c>
      <c r="H12" s="74">
        <f t="shared" ref="H12:H29" si="4">IFERROR(E12*1000/C12,"-")</f>
        <v>60</v>
      </c>
      <c r="I12" s="74">
        <f t="shared" ref="I12:I29" si="5">IFERROR(F12*1000/C12,"-")</f>
        <v>30</v>
      </c>
      <c r="J12" s="75">
        <f t="shared" si="0"/>
        <v>7.4935590629412784E-3</v>
      </c>
      <c r="K12" s="75">
        <f t="shared" si="1"/>
        <v>8.4473566087312942E-3</v>
      </c>
      <c r="L12" s="75">
        <f t="shared" si="2"/>
        <v>2.5701225975561778E-2</v>
      </c>
    </row>
    <row r="13" spans="1:17" x14ac:dyDescent="0.25">
      <c r="B13" s="89" t="s">
        <v>68</v>
      </c>
      <c r="C13" s="53">
        <v>1064542</v>
      </c>
      <c r="D13" s="53">
        <v>180972.14</v>
      </c>
      <c r="E13" s="53">
        <v>74517.94</v>
      </c>
      <c r="F13" s="275">
        <v>10645.42</v>
      </c>
      <c r="G13" s="56">
        <f t="shared" si="3"/>
        <v>170</v>
      </c>
      <c r="H13" s="56">
        <f t="shared" si="4"/>
        <v>70</v>
      </c>
      <c r="I13" s="56">
        <f t="shared" si="5"/>
        <v>10</v>
      </c>
      <c r="J13" s="57">
        <f t="shared" si="0"/>
        <v>9.4064067231337214E-2</v>
      </c>
      <c r="K13" s="57">
        <f t="shared" si="1"/>
        <v>8.7324390156098899E-2</v>
      </c>
      <c r="L13" s="57">
        <f t="shared" si="2"/>
        <v>7.5910268688930554E-2</v>
      </c>
    </row>
    <row r="14" spans="1:17" x14ac:dyDescent="0.25">
      <c r="B14" s="103" t="s">
        <v>69</v>
      </c>
      <c r="C14" s="71">
        <v>591900</v>
      </c>
      <c r="D14" s="71">
        <v>100623</v>
      </c>
      <c r="E14" s="71">
        <v>41433</v>
      </c>
      <c r="F14" s="277">
        <v>5919</v>
      </c>
      <c r="G14" s="74">
        <f t="shared" si="3"/>
        <v>170</v>
      </c>
      <c r="H14" s="74">
        <f t="shared" si="4"/>
        <v>70</v>
      </c>
      <c r="I14" s="74">
        <f t="shared" si="5"/>
        <v>10</v>
      </c>
      <c r="J14" s="75">
        <f t="shared" si="0"/>
        <v>5.230091569353628E-2</v>
      </c>
      <c r="K14" s="75">
        <f t="shared" si="1"/>
        <v>4.8553562502367149E-2</v>
      </c>
      <c r="L14" s="75">
        <f t="shared" si="2"/>
        <v>4.2207153909360078E-2</v>
      </c>
    </row>
    <row r="15" spans="1:17" x14ac:dyDescent="0.25">
      <c r="B15" s="89" t="s">
        <v>70</v>
      </c>
      <c r="C15" s="53">
        <v>472642</v>
      </c>
      <c r="D15" s="53">
        <v>80349.14</v>
      </c>
      <c r="E15" s="53">
        <v>33084.94</v>
      </c>
      <c r="F15" s="275">
        <v>4726.42</v>
      </c>
      <c r="G15" s="56">
        <f t="shared" si="3"/>
        <v>170</v>
      </c>
      <c r="H15" s="56">
        <f t="shared" si="4"/>
        <v>70.000000000000014</v>
      </c>
      <c r="I15" s="56">
        <f t="shared" si="5"/>
        <v>10</v>
      </c>
      <c r="J15" s="57">
        <f t="shared" si="0"/>
        <v>4.1763151537800934E-2</v>
      </c>
      <c r="K15" s="57">
        <f t="shared" si="1"/>
        <v>3.8770827653731743E-2</v>
      </c>
      <c r="L15" s="57">
        <f t="shared" si="2"/>
        <v>3.3703114779570477E-2</v>
      </c>
    </row>
    <row r="16" spans="1:17" x14ac:dyDescent="0.25">
      <c r="B16" s="103" t="s">
        <v>5</v>
      </c>
      <c r="C16" s="71">
        <v>2881026</v>
      </c>
      <c r="D16" s="71">
        <v>172861.56</v>
      </c>
      <c r="E16" s="71">
        <v>86430.78</v>
      </c>
      <c r="F16" s="277">
        <v>0</v>
      </c>
      <c r="G16" s="74">
        <f t="shared" si="3"/>
        <v>60</v>
      </c>
      <c r="H16" s="74">
        <f t="shared" si="4"/>
        <v>30</v>
      </c>
      <c r="I16" s="74">
        <f t="shared" si="5"/>
        <v>0</v>
      </c>
      <c r="J16" s="75">
        <f t="shared" si="0"/>
        <v>8.9848423086303947E-2</v>
      </c>
      <c r="K16" s="75">
        <f t="shared" si="1"/>
        <v>0.10128453838385694</v>
      </c>
      <c r="L16" s="75">
        <f t="shared" si="2"/>
        <v>0</v>
      </c>
    </row>
    <row r="17" spans="1:17" x14ac:dyDescent="0.25">
      <c r="B17" s="89" t="s">
        <v>6</v>
      </c>
      <c r="C17" s="53">
        <v>32848</v>
      </c>
      <c r="D17" s="53">
        <v>985.44</v>
      </c>
      <c r="E17" s="53">
        <v>985.44</v>
      </c>
      <c r="F17" s="275">
        <v>0</v>
      </c>
      <c r="G17" s="56">
        <f t="shared" si="3"/>
        <v>30</v>
      </c>
      <c r="H17" s="56">
        <f t="shared" si="4"/>
        <v>30</v>
      </c>
      <c r="I17" s="56">
        <f t="shared" si="5"/>
        <v>0</v>
      </c>
      <c r="J17" s="57">
        <f t="shared" si="0"/>
        <v>5.1220311818409698E-4</v>
      </c>
      <c r="K17" s="57">
        <f t="shared" si="1"/>
        <v>1.1547950337251151E-3</v>
      </c>
      <c r="L17" s="57">
        <f t="shared" si="2"/>
        <v>0</v>
      </c>
    </row>
    <row r="18" spans="1:17" x14ac:dyDescent="0.25">
      <c r="B18" s="103" t="s">
        <v>56</v>
      </c>
      <c r="C18" s="71">
        <v>37845</v>
      </c>
      <c r="D18" s="71">
        <v>1892.25</v>
      </c>
      <c r="E18" s="71">
        <v>1135.3499999999999</v>
      </c>
      <c r="F18" s="277">
        <v>0</v>
      </c>
      <c r="G18" s="74">
        <f t="shared" si="3"/>
        <v>50</v>
      </c>
      <c r="H18" s="74">
        <f t="shared" si="4"/>
        <v>30</v>
      </c>
      <c r="I18" s="74">
        <f t="shared" si="5"/>
        <v>0</v>
      </c>
      <c r="J18" s="75">
        <f t="shared" si="0"/>
        <v>9.8353664391932273E-4</v>
      </c>
      <c r="K18" s="75">
        <f t="shared" si="1"/>
        <v>1.3304681579191114E-3</v>
      </c>
      <c r="L18" s="75">
        <f t="shared" si="2"/>
        <v>0</v>
      </c>
    </row>
    <row r="19" spans="1:17" x14ac:dyDescent="0.25">
      <c r="B19" s="89" t="s">
        <v>19</v>
      </c>
      <c r="C19" s="53">
        <v>673627</v>
      </c>
      <c r="D19" s="53">
        <v>33681.35</v>
      </c>
      <c r="E19" s="53">
        <v>20208.810000000001</v>
      </c>
      <c r="F19" s="275">
        <v>0</v>
      </c>
      <c r="G19" s="56">
        <f t="shared" si="3"/>
        <v>50</v>
      </c>
      <c r="H19" s="56">
        <f t="shared" si="4"/>
        <v>30</v>
      </c>
      <c r="I19" s="56">
        <f t="shared" si="5"/>
        <v>0</v>
      </c>
      <c r="J19" s="57">
        <f t="shared" si="0"/>
        <v>1.750658842207535E-2</v>
      </c>
      <c r="K19" s="57">
        <f t="shared" si="1"/>
        <v>2.368184103090441E-2</v>
      </c>
      <c r="L19" s="57">
        <f t="shared" si="2"/>
        <v>0</v>
      </c>
    </row>
    <row r="20" spans="1:17" x14ac:dyDescent="0.25">
      <c r="B20" s="103" t="s">
        <v>25</v>
      </c>
      <c r="C20" s="71">
        <v>1037268</v>
      </c>
      <c r="D20" s="71">
        <v>155590.20000000001</v>
      </c>
      <c r="E20" s="71">
        <v>62236.08</v>
      </c>
      <c r="F20" s="277">
        <v>20745.36</v>
      </c>
      <c r="G20" s="74">
        <f t="shared" si="3"/>
        <v>150</v>
      </c>
      <c r="H20" s="74">
        <f t="shared" si="4"/>
        <v>60</v>
      </c>
      <c r="I20" s="74">
        <f t="shared" si="5"/>
        <v>20</v>
      </c>
      <c r="J20" s="75">
        <f t="shared" si="0"/>
        <v>8.0871271309148493E-2</v>
      </c>
      <c r="K20" s="75">
        <f t="shared" si="1"/>
        <v>7.2931803156477265E-2</v>
      </c>
      <c r="L20" s="75">
        <f t="shared" si="2"/>
        <v>0.14793083332067616</v>
      </c>
    </row>
    <row r="21" spans="1:17" x14ac:dyDescent="0.25">
      <c r="B21" s="89" t="s">
        <v>71</v>
      </c>
      <c r="C21" s="53">
        <v>292917</v>
      </c>
      <c r="D21" s="53">
        <v>29291.4</v>
      </c>
      <c r="E21" s="53">
        <v>17574.84</v>
      </c>
      <c r="F21" s="275">
        <v>8787.42</v>
      </c>
      <c r="G21" s="56">
        <f t="shared" si="3"/>
        <v>99.998975819088685</v>
      </c>
      <c r="H21" s="56">
        <f t="shared" si="4"/>
        <v>59.999385491453211</v>
      </c>
      <c r="I21" s="56">
        <f t="shared" si="5"/>
        <v>29.999692745726605</v>
      </c>
      <c r="J21" s="57">
        <f t="shared" si="0"/>
        <v>1.5224819792151383E-2</v>
      </c>
      <c r="K21" s="57">
        <f t="shared" si="1"/>
        <v>2.0595204122537646E-2</v>
      </c>
      <c r="L21" s="57">
        <f t="shared" si="2"/>
        <v>6.2661258389286864E-2</v>
      </c>
    </row>
    <row r="22" spans="1:17" x14ac:dyDescent="0.25">
      <c r="B22" s="318" t="s">
        <v>72</v>
      </c>
      <c r="C22" s="71">
        <v>292914</v>
      </c>
      <c r="D22" s="71">
        <v>29291.4</v>
      </c>
      <c r="E22" s="71">
        <v>17574.84</v>
      </c>
      <c r="F22" s="277">
        <v>8787.42</v>
      </c>
      <c r="G22" s="74">
        <f t="shared" si="3"/>
        <v>100</v>
      </c>
      <c r="H22" s="74">
        <f t="shared" si="4"/>
        <v>60</v>
      </c>
      <c r="I22" s="74">
        <f t="shared" si="5"/>
        <v>30</v>
      </c>
      <c r="J22" s="75">
        <f t="shared" si="0"/>
        <v>1.5224819792151383E-2</v>
      </c>
      <c r="K22" s="75">
        <f t="shared" si="1"/>
        <v>2.0595204122537646E-2</v>
      </c>
      <c r="L22" s="75">
        <f t="shared" si="2"/>
        <v>6.2661258389286864E-2</v>
      </c>
    </row>
    <row r="23" spans="1:17" x14ac:dyDescent="0.25">
      <c r="B23" s="315" t="s">
        <v>73</v>
      </c>
      <c r="C23" s="53">
        <v>3</v>
      </c>
      <c r="D23" s="53">
        <v>0</v>
      </c>
      <c r="E23" s="53">
        <v>0</v>
      </c>
      <c r="F23" s="275">
        <v>0</v>
      </c>
      <c r="G23" s="56">
        <f t="shared" si="3"/>
        <v>0</v>
      </c>
      <c r="H23" s="56">
        <f t="shared" si="4"/>
        <v>0</v>
      </c>
      <c r="I23" s="56">
        <f t="shared" si="5"/>
        <v>0</v>
      </c>
      <c r="J23" s="57">
        <f t="shared" si="0"/>
        <v>0</v>
      </c>
      <c r="K23" s="57">
        <f t="shared" si="1"/>
        <v>0</v>
      </c>
      <c r="L23" s="57">
        <f t="shared" si="2"/>
        <v>0</v>
      </c>
    </row>
    <row r="24" spans="1:17" x14ac:dyDescent="0.25">
      <c r="B24" s="318" t="s">
        <v>7</v>
      </c>
      <c r="C24" s="71">
        <v>78133</v>
      </c>
      <c r="D24" s="71">
        <v>11719.95</v>
      </c>
      <c r="E24" s="71">
        <v>1562.66</v>
      </c>
      <c r="F24" s="277">
        <v>2343.9899999999998</v>
      </c>
      <c r="G24" s="74">
        <f t="shared" si="3"/>
        <v>150</v>
      </c>
      <c r="H24" s="74">
        <f t="shared" si="4"/>
        <v>20</v>
      </c>
      <c r="I24" s="74">
        <f t="shared" si="5"/>
        <v>30</v>
      </c>
      <c r="J24" s="75">
        <f t="shared" si="0"/>
        <v>6.0916899404953196E-3</v>
      </c>
      <c r="K24" s="75">
        <f t="shared" si="1"/>
        <v>1.831214490380833E-3</v>
      </c>
      <c r="L24" s="75">
        <f t="shared" si="2"/>
        <v>1.6714503580334671E-2</v>
      </c>
    </row>
    <row r="25" spans="1:17" x14ac:dyDescent="0.25">
      <c r="B25" s="315" t="s">
        <v>8</v>
      </c>
      <c r="C25" s="53">
        <v>1037268</v>
      </c>
      <c r="D25" s="53">
        <v>124472.16</v>
      </c>
      <c r="E25" s="53">
        <v>41490.720000000001</v>
      </c>
      <c r="F25" s="275">
        <v>10372.68</v>
      </c>
      <c r="G25" s="56">
        <f t="shared" si="3"/>
        <v>120</v>
      </c>
      <c r="H25" s="56">
        <f t="shared" si="4"/>
        <v>40</v>
      </c>
      <c r="I25" s="56">
        <f t="shared" si="5"/>
        <v>10</v>
      </c>
      <c r="J25" s="57">
        <f t="shared" si="0"/>
        <v>6.4697017047318797E-2</v>
      </c>
      <c r="K25" s="57">
        <f t="shared" si="1"/>
        <v>4.8621202104318174E-2</v>
      </c>
      <c r="L25" s="57">
        <f t="shared" si="2"/>
        <v>7.3965416660338082E-2</v>
      </c>
    </row>
    <row r="26" spans="1:17" x14ac:dyDescent="0.25">
      <c r="B26" s="318" t="s">
        <v>20</v>
      </c>
      <c r="C26" s="71">
        <v>3470886</v>
      </c>
      <c r="D26" s="71">
        <v>416506.32</v>
      </c>
      <c r="E26" s="71">
        <v>173544.3</v>
      </c>
      <c r="F26" s="277">
        <v>69417.72</v>
      </c>
      <c r="G26" s="74">
        <f t="shared" si="3"/>
        <v>120</v>
      </c>
      <c r="H26" s="74">
        <f t="shared" si="4"/>
        <v>50</v>
      </c>
      <c r="I26" s="74">
        <f t="shared" si="5"/>
        <v>20</v>
      </c>
      <c r="J26" s="75">
        <f t="shared" si="0"/>
        <v>0.21648789966652796</v>
      </c>
      <c r="K26" s="75">
        <f t="shared" si="1"/>
        <v>0.2033691506040971</v>
      </c>
      <c r="L26" s="75">
        <f t="shared" si="2"/>
        <v>0.49500327624207863</v>
      </c>
    </row>
    <row r="27" spans="1:17" x14ac:dyDescent="0.25">
      <c r="B27" s="315" t="s">
        <v>9</v>
      </c>
      <c r="C27" s="53">
        <v>716002</v>
      </c>
      <c r="D27" s="53">
        <v>85920.24</v>
      </c>
      <c r="E27" s="53">
        <v>35800.1</v>
      </c>
      <c r="F27" s="275">
        <v>14320.04</v>
      </c>
      <c r="G27" s="56">
        <f t="shared" si="3"/>
        <v>120</v>
      </c>
      <c r="H27" s="56">
        <f t="shared" si="4"/>
        <v>50</v>
      </c>
      <c r="I27" s="56">
        <f t="shared" si="5"/>
        <v>20</v>
      </c>
      <c r="J27" s="57">
        <f t="shared" si="0"/>
        <v>4.4658847665130272E-2</v>
      </c>
      <c r="K27" s="57">
        <f t="shared" si="1"/>
        <v>4.1952607654309228E-2</v>
      </c>
      <c r="L27" s="57">
        <f t="shared" si="2"/>
        <v>0.10211321714279317</v>
      </c>
    </row>
    <row r="28" spans="1:17" x14ac:dyDescent="0.25">
      <c r="B28" s="318" t="s">
        <v>21</v>
      </c>
      <c r="C28" s="71">
        <v>795939</v>
      </c>
      <c r="D28" s="71">
        <v>39796.949999999997</v>
      </c>
      <c r="E28" s="71">
        <v>39796.949999999997</v>
      </c>
      <c r="F28" s="277">
        <v>0</v>
      </c>
      <c r="G28" s="74">
        <f t="shared" si="3"/>
        <v>50</v>
      </c>
      <c r="H28" s="74">
        <f t="shared" si="4"/>
        <v>50</v>
      </c>
      <c r="I28" s="74">
        <f t="shared" si="5"/>
        <v>0</v>
      </c>
      <c r="J28" s="75">
        <f t="shared" si="0"/>
        <v>2.0685299850033079E-2</v>
      </c>
      <c r="K28" s="75">
        <f t="shared" si="1"/>
        <v>4.6636345406525725E-2</v>
      </c>
      <c r="L28" s="75">
        <f t="shared" si="2"/>
        <v>0</v>
      </c>
    </row>
    <row r="29" spans="1:17" x14ac:dyDescent="0.25">
      <c r="B29" s="315" t="s">
        <v>10</v>
      </c>
      <c r="C29" s="53">
        <v>1437513</v>
      </c>
      <c r="D29" s="53">
        <v>71875.649999999994</v>
      </c>
      <c r="E29" s="53">
        <v>71875.649999999994</v>
      </c>
      <c r="F29" s="275">
        <v>0</v>
      </c>
      <c r="G29" s="56">
        <f t="shared" si="3"/>
        <v>50</v>
      </c>
      <c r="H29" s="56">
        <f t="shared" si="4"/>
        <v>50</v>
      </c>
      <c r="I29" s="56">
        <f t="shared" si="5"/>
        <v>0</v>
      </c>
      <c r="J29" s="57">
        <f t="shared" si="0"/>
        <v>3.7358877305070613E-2</v>
      </c>
      <c r="K29" s="57">
        <f t="shared" si="1"/>
        <v>8.4228003395198647E-2</v>
      </c>
      <c r="L29" s="57">
        <f t="shared" si="2"/>
        <v>0</v>
      </c>
    </row>
    <row r="30" spans="1:17" s="7" customFormat="1" ht="6" customHeight="1" thickBot="1" x14ac:dyDescent="0.3">
      <c r="B30" s="89"/>
      <c r="C30" s="99"/>
      <c r="D30" s="99"/>
      <c r="E30" s="93"/>
      <c r="F30" s="92"/>
      <c r="G30" s="100"/>
      <c r="H30" s="84"/>
      <c r="I30" s="101"/>
      <c r="J30" s="85"/>
      <c r="K30" s="85"/>
      <c r="L30" s="85"/>
    </row>
    <row r="31" spans="1:17" s="12" customFormat="1" ht="24.95" customHeight="1" thickTop="1" thickBot="1" x14ac:dyDescent="0.3">
      <c r="A31" s="13"/>
      <c r="B31" s="90" t="s">
        <v>13</v>
      </c>
      <c r="C31" s="63">
        <f>SUM(C11:C13,C16:C21,C24:C29)</f>
        <v>20975226</v>
      </c>
      <c r="D31" s="63">
        <f>SUM(D11:D13,D16:D21,D24:D29)</f>
        <v>1923924.2499999998</v>
      </c>
      <c r="E31" s="62">
        <f>SUM(E11:E13,E16:E21,E24:E29)</f>
        <v>853346.24</v>
      </c>
      <c r="F31" s="102">
        <f>SUM(F11:F13,F16:F21,F24:F29)</f>
        <v>140236.89000000001</v>
      </c>
      <c r="G31" s="94"/>
      <c r="H31" s="94"/>
      <c r="I31" s="94"/>
      <c r="J31" s="95">
        <f>SUM(J11:J13,J16:J21,J24:J29)</f>
        <v>1.0000000000000002</v>
      </c>
      <c r="K31" s="64">
        <f>SUM(K11:K13,K16:K21,K24:K29)</f>
        <v>1</v>
      </c>
      <c r="L31" s="65">
        <f>SUM(L11:L13,L16:L21,L24:L29)</f>
        <v>1</v>
      </c>
      <c r="M31" s="13"/>
      <c r="N31" s="13"/>
      <c r="O31" s="13"/>
      <c r="P31" s="13"/>
      <c r="Q31" s="13"/>
    </row>
    <row r="32" spans="1:17" ht="15.75" thickTop="1" x14ac:dyDescent="0.25">
      <c r="B32" s="15"/>
    </row>
    <row r="33" spans="1:17" x14ac:dyDescent="0.25">
      <c r="B33" s="15"/>
    </row>
    <row r="34" spans="1:17" x14ac:dyDescent="0.25">
      <c r="B34" s="66" t="s">
        <v>396</v>
      </c>
      <c r="C34" s="67"/>
      <c r="D34" s="67"/>
      <c r="E34" s="67"/>
      <c r="F34" s="67"/>
    </row>
    <row r="35" spans="1:17" x14ac:dyDescent="0.25">
      <c r="A35" s="21"/>
      <c r="B35" s="67" t="s">
        <v>188</v>
      </c>
      <c r="C35" s="68"/>
      <c r="D35" s="68"/>
      <c r="E35" s="68"/>
      <c r="F35" s="68"/>
      <c r="G35" s="87"/>
      <c r="H35" s="88"/>
      <c r="I35"/>
      <c r="J35"/>
      <c r="K35"/>
      <c r="L35"/>
      <c r="M35"/>
      <c r="N35"/>
      <c r="O35"/>
      <c r="P35"/>
      <c r="Q35"/>
    </row>
    <row r="36" spans="1:17" ht="14.45" customHeight="1" x14ac:dyDescent="0.25">
      <c r="A36" s="21"/>
      <c r="B36" s="67"/>
      <c r="C36" s="68"/>
      <c r="D36" s="68"/>
      <c r="E36" s="68"/>
      <c r="F36" s="68"/>
      <c r="G36" s="87"/>
      <c r="H36" s="88"/>
      <c r="I36"/>
      <c r="J36"/>
      <c r="K36"/>
      <c r="L36"/>
      <c r="M36"/>
      <c r="N36"/>
      <c r="O36"/>
      <c r="P36"/>
      <c r="Q36"/>
    </row>
    <row r="37" spans="1:17" x14ac:dyDescent="0.25">
      <c r="A37"/>
      <c r="B37" s="79" t="s">
        <v>397</v>
      </c>
      <c r="C37" s="68"/>
      <c r="D37" s="68"/>
      <c r="E37" s="68"/>
      <c r="F37" s="68"/>
      <c r="G37" s="88"/>
      <c r="H37" s="88"/>
      <c r="I37"/>
      <c r="J37"/>
      <c r="K37"/>
      <c r="L37"/>
      <c r="M37"/>
      <c r="N37"/>
      <c r="O37"/>
      <c r="P37"/>
      <c r="Q37"/>
    </row>
    <row r="38" spans="1:17" x14ac:dyDescent="0.25">
      <c r="A38" s="21"/>
      <c r="B38" s="69" t="s">
        <v>189</v>
      </c>
      <c r="C38" s="68"/>
      <c r="D38" s="68"/>
      <c r="E38" s="68"/>
      <c r="F38" s="68"/>
      <c r="G38" s="88"/>
      <c r="H38" s="88"/>
      <c r="I38"/>
      <c r="J38"/>
      <c r="K38"/>
      <c r="L38"/>
      <c r="M38"/>
      <c r="N38"/>
      <c r="O38"/>
      <c r="P38"/>
      <c r="Q38"/>
    </row>
    <row r="39" spans="1:17" x14ac:dyDescent="0.25">
      <c r="B39" s="67" t="s">
        <v>190</v>
      </c>
      <c r="C39" s="67"/>
      <c r="D39" s="67"/>
      <c r="E39" s="67"/>
      <c r="F39" s="67"/>
      <c r="G39" s="87"/>
      <c r="H39" s="87"/>
    </row>
    <row r="40" spans="1:17" x14ac:dyDescent="0.25">
      <c r="B40" s="69" t="s">
        <v>382</v>
      </c>
      <c r="C40" s="67"/>
      <c r="D40" s="67"/>
      <c r="E40" s="67"/>
      <c r="F40" s="67"/>
      <c r="G40" s="87"/>
      <c r="H40" s="87"/>
    </row>
    <row r="41" spans="1:17" x14ac:dyDescent="0.25">
      <c r="B41" s="69"/>
      <c r="C41" s="67"/>
      <c r="D41" s="67"/>
      <c r="E41" s="67"/>
      <c r="F41" s="67"/>
      <c r="G41" s="87"/>
      <c r="H41" s="87"/>
    </row>
    <row r="42" spans="1:17" x14ac:dyDescent="0.25">
      <c r="B42" s="66" t="s">
        <v>398</v>
      </c>
    </row>
  </sheetData>
  <mergeCells count="8">
    <mergeCell ref="C6:C7"/>
    <mergeCell ref="D6:F6"/>
    <mergeCell ref="G6:I6"/>
    <mergeCell ref="J6:L6"/>
    <mergeCell ref="B7:B8"/>
    <mergeCell ref="D7:F7"/>
    <mergeCell ref="G7:I7"/>
    <mergeCell ref="J7:L7"/>
  </mergeCells>
  <hyperlinks>
    <hyperlink ref="B1" location="Start!A1" display="Back to home page" xr:uid="{663AED6F-4363-4393-90A7-36675CC538A8}"/>
  </hyperlinks>
  <pageMargins left="0.7" right="0.7" top="0.75" bottom="0.75" header="0.3" footer="0.3"/>
  <pageSetup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46712-BECE-408F-95C0-ACC710F7CB57}">
  <sheetPr>
    <tabColor rgb="FF92D050"/>
  </sheetPr>
  <dimension ref="A1:BI41"/>
  <sheetViews>
    <sheetView showGridLines="0" topLeftCell="A10" zoomScale="85" zoomScaleNormal="85" workbookViewId="0">
      <selection activeCell="B34" sqref="B34"/>
    </sheetView>
  </sheetViews>
  <sheetFormatPr defaultColWidth="8.7109375" defaultRowHeight="15" x14ac:dyDescent="0.25"/>
  <cols>
    <col min="1" max="1" width="2.7109375" style="7" customWidth="1"/>
    <col min="2" max="2" width="45.7109375" style="7" customWidth="1"/>
    <col min="3" max="32" width="12.7109375" style="7" customWidth="1"/>
    <col min="33" max="38" width="8.7109375" style="7"/>
  </cols>
  <sheetData>
    <row r="1" spans="1:38" x14ac:dyDescent="0.25">
      <c r="A1" s="21"/>
      <c r="B1" s="546" t="s">
        <v>432</v>
      </c>
      <c r="F1"/>
      <c r="G1"/>
      <c r="H1"/>
      <c r="I1"/>
      <c r="J1"/>
      <c r="K1"/>
      <c r="L1"/>
      <c r="M1"/>
      <c r="N1"/>
      <c r="T1"/>
      <c r="U1"/>
      <c r="V1"/>
      <c r="W1"/>
      <c r="X1"/>
      <c r="Y1"/>
      <c r="AA1"/>
      <c r="AB1"/>
      <c r="AC1"/>
      <c r="AD1"/>
      <c r="AE1"/>
      <c r="AF1"/>
      <c r="AG1"/>
      <c r="AH1"/>
      <c r="AI1"/>
      <c r="AJ1"/>
      <c r="AK1"/>
      <c r="AL1"/>
    </row>
    <row r="2" spans="1:38" x14ac:dyDescent="0.25">
      <c r="A2" s="21"/>
      <c r="F2"/>
      <c r="G2"/>
      <c r="H2"/>
      <c r="I2"/>
      <c r="J2"/>
      <c r="K2"/>
      <c r="L2"/>
      <c r="M2"/>
      <c r="N2"/>
      <c r="T2"/>
      <c r="U2"/>
      <c r="V2"/>
      <c r="W2"/>
      <c r="X2"/>
      <c r="Y2"/>
      <c r="AA2"/>
      <c r="AB2"/>
      <c r="AC2"/>
      <c r="AD2"/>
      <c r="AE2"/>
      <c r="AF2"/>
      <c r="AG2"/>
      <c r="AH2"/>
      <c r="AI2"/>
      <c r="AJ2"/>
      <c r="AK2"/>
      <c r="AL2"/>
    </row>
    <row r="3" spans="1:38" x14ac:dyDescent="0.25">
      <c r="A3" s="21"/>
      <c r="F3"/>
      <c r="G3"/>
      <c r="H3"/>
      <c r="I3"/>
      <c r="J3"/>
      <c r="K3"/>
      <c r="L3"/>
      <c r="M3"/>
      <c r="N3"/>
      <c r="T3"/>
      <c r="U3"/>
      <c r="V3"/>
      <c r="W3"/>
      <c r="X3"/>
      <c r="Y3"/>
      <c r="AA3"/>
      <c r="AB3"/>
      <c r="AC3"/>
      <c r="AD3"/>
      <c r="AE3"/>
      <c r="AF3"/>
      <c r="AG3"/>
      <c r="AH3"/>
      <c r="AI3"/>
      <c r="AJ3"/>
      <c r="AK3"/>
      <c r="AL3"/>
    </row>
    <row r="4" spans="1:38" x14ac:dyDescent="0.25">
      <c r="A4" s="21"/>
      <c r="F4"/>
      <c r="G4"/>
      <c r="H4"/>
      <c r="I4"/>
      <c r="J4"/>
      <c r="K4"/>
      <c r="L4"/>
      <c r="M4"/>
      <c r="N4"/>
      <c r="T4"/>
      <c r="U4"/>
      <c r="V4"/>
      <c r="W4"/>
      <c r="X4"/>
      <c r="Y4"/>
      <c r="AA4"/>
      <c r="AB4"/>
      <c r="AC4"/>
      <c r="AD4"/>
      <c r="AE4"/>
      <c r="AF4"/>
      <c r="AG4"/>
      <c r="AH4"/>
      <c r="AI4"/>
      <c r="AJ4"/>
      <c r="AK4"/>
      <c r="AL4"/>
    </row>
    <row r="5" spans="1:38" ht="15.75" thickBot="1" x14ac:dyDescent="0.3"/>
    <row r="6" spans="1:38" s="17" customFormat="1" ht="30" customHeight="1" thickTop="1" x14ac:dyDescent="0.3">
      <c r="A6" s="16"/>
      <c r="B6" s="38" t="s">
        <v>387</v>
      </c>
      <c r="C6" s="589" t="s">
        <v>390</v>
      </c>
      <c r="D6" s="589"/>
      <c r="E6" s="589"/>
      <c r="F6" s="589" t="s">
        <v>389</v>
      </c>
      <c r="G6" s="589"/>
      <c r="H6" s="589"/>
      <c r="I6" s="589"/>
      <c r="J6" s="589"/>
      <c r="K6" s="589"/>
      <c r="L6" s="589"/>
      <c r="M6" s="589"/>
      <c r="N6" s="589"/>
      <c r="O6" s="589" t="s">
        <v>392</v>
      </c>
      <c r="P6" s="589"/>
      <c r="Q6" s="589"/>
      <c r="R6" s="589"/>
      <c r="S6" s="589"/>
      <c r="T6" s="589"/>
      <c r="U6" s="589"/>
      <c r="V6" s="589"/>
      <c r="W6" s="589"/>
      <c r="X6" s="589" t="s">
        <v>399</v>
      </c>
      <c r="Y6" s="589"/>
      <c r="Z6" s="589"/>
      <c r="AA6" s="589"/>
      <c r="AB6" s="589"/>
      <c r="AC6" s="589"/>
      <c r="AD6" s="589"/>
      <c r="AE6" s="589"/>
      <c r="AF6" s="589"/>
      <c r="AG6" s="16"/>
      <c r="AH6" s="16"/>
      <c r="AI6" s="16"/>
      <c r="AJ6" s="16"/>
      <c r="AK6" s="16"/>
      <c r="AL6" s="16"/>
    </row>
    <row r="7" spans="1:38" s="17" customFormat="1" ht="25.15" customHeight="1" thickBot="1" x14ac:dyDescent="0.3">
      <c r="A7" s="16"/>
      <c r="B7" s="596" t="s">
        <v>171</v>
      </c>
      <c r="C7" s="591" t="s">
        <v>405</v>
      </c>
      <c r="D7" s="591"/>
      <c r="E7" s="591"/>
      <c r="F7" s="591" t="s">
        <v>14</v>
      </c>
      <c r="G7" s="591"/>
      <c r="H7" s="591"/>
      <c r="I7" s="591"/>
      <c r="J7" s="591"/>
      <c r="K7" s="591"/>
      <c r="L7" s="591"/>
      <c r="M7" s="591"/>
      <c r="N7" s="591"/>
      <c r="O7" s="591" t="s">
        <v>415</v>
      </c>
      <c r="P7" s="591"/>
      <c r="Q7" s="591"/>
      <c r="R7" s="591"/>
      <c r="S7" s="591"/>
      <c r="T7" s="591"/>
      <c r="U7" s="591"/>
      <c r="V7" s="591"/>
      <c r="W7" s="591"/>
      <c r="X7" s="591" t="s">
        <v>0</v>
      </c>
      <c r="Y7" s="591"/>
      <c r="Z7" s="591"/>
      <c r="AA7" s="591"/>
      <c r="AB7" s="591"/>
      <c r="AC7" s="591"/>
      <c r="AD7" s="591"/>
      <c r="AE7" s="591"/>
      <c r="AF7" s="591"/>
      <c r="AG7" s="16"/>
      <c r="AH7" s="16"/>
      <c r="AI7" s="16"/>
      <c r="AJ7" s="16"/>
      <c r="AK7" s="16"/>
      <c r="AL7" s="16"/>
    </row>
    <row r="8" spans="1:38" s="12" customFormat="1" ht="34.15" customHeight="1" thickTop="1" thickBot="1" x14ac:dyDescent="0.3">
      <c r="A8" s="13"/>
      <c r="B8" s="596"/>
      <c r="C8" s="635"/>
      <c r="D8" s="635"/>
      <c r="E8" s="635"/>
      <c r="F8" s="618" t="s">
        <v>388</v>
      </c>
      <c r="G8" s="618"/>
      <c r="H8" s="618"/>
      <c r="I8" s="618" t="s">
        <v>394</v>
      </c>
      <c r="J8" s="618"/>
      <c r="K8" s="618"/>
      <c r="L8" s="618" t="s">
        <v>395</v>
      </c>
      <c r="M8" s="618"/>
      <c r="N8" s="618"/>
      <c r="O8" s="620" t="s">
        <v>391</v>
      </c>
      <c r="P8" s="620"/>
      <c r="Q8" s="620"/>
      <c r="R8" s="620" t="s">
        <v>394</v>
      </c>
      <c r="S8" s="620"/>
      <c r="T8" s="620"/>
      <c r="U8" s="620" t="s">
        <v>395</v>
      </c>
      <c r="V8" s="620"/>
      <c r="W8" s="620"/>
      <c r="X8" s="618" t="s">
        <v>388</v>
      </c>
      <c r="Y8" s="618"/>
      <c r="Z8" s="618"/>
      <c r="AA8" s="618" t="s">
        <v>394</v>
      </c>
      <c r="AB8" s="618"/>
      <c r="AC8" s="618"/>
      <c r="AD8" s="618" t="s">
        <v>395</v>
      </c>
      <c r="AE8" s="618"/>
      <c r="AF8" s="618"/>
      <c r="AG8" s="13"/>
      <c r="AH8" s="13"/>
      <c r="AI8" s="13"/>
      <c r="AJ8" s="13"/>
      <c r="AK8" s="13"/>
      <c r="AL8" s="13"/>
    </row>
    <row r="9" spans="1:38" ht="34.15" customHeight="1" thickTop="1" thickBot="1" x14ac:dyDescent="0.3">
      <c r="B9" s="179" t="s">
        <v>409</v>
      </c>
      <c r="C9" s="108" t="s">
        <v>24</v>
      </c>
      <c r="D9" s="51" t="s">
        <v>23</v>
      </c>
      <c r="E9" s="109" t="s">
        <v>1</v>
      </c>
      <c r="F9" s="108" t="s">
        <v>24</v>
      </c>
      <c r="G9" s="51" t="s">
        <v>23</v>
      </c>
      <c r="H9" s="110" t="s">
        <v>1</v>
      </c>
      <c r="I9" s="51" t="s">
        <v>24</v>
      </c>
      <c r="J9" s="107" t="s">
        <v>23</v>
      </c>
      <c r="K9" s="51" t="s">
        <v>1</v>
      </c>
      <c r="L9" s="108" t="s">
        <v>24</v>
      </c>
      <c r="M9" s="51" t="s">
        <v>23</v>
      </c>
      <c r="N9" s="110" t="s">
        <v>1</v>
      </c>
      <c r="O9" s="51" t="s">
        <v>24</v>
      </c>
      <c r="P9" s="107" t="s">
        <v>23</v>
      </c>
      <c r="Q9" s="51" t="s">
        <v>1</v>
      </c>
      <c r="R9" s="108" t="s">
        <v>24</v>
      </c>
      <c r="S9" s="51" t="s">
        <v>23</v>
      </c>
      <c r="T9" s="110" t="s">
        <v>1</v>
      </c>
      <c r="U9" s="51" t="s">
        <v>24</v>
      </c>
      <c r="V9" s="107" t="s">
        <v>23</v>
      </c>
      <c r="W9" s="51" t="s">
        <v>1</v>
      </c>
      <c r="X9" s="108" t="s">
        <v>24</v>
      </c>
      <c r="Y9" s="51" t="s">
        <v>23</v>
      </c>
      <c r="Z9" s="110" t="s">
        <v>1</v>
      </c>
      <c r="AA9" s="51" t="s">
        <v>24</v>
      </c>
      <c r="AB9" s="109" t="s">
        <v>23</v>
      </c>
      <c r="AC9" s="110" t="s">
        <v>1</v>
      </c>
      <c r="AD9" s="51" t="s">
        <v>24</v>
      </c>
      <c r="AE9" s="107" t="s">
        <v>23</v>
      </c>
      <c r="AF9" s="110" t="s">
        <v>1</v>
      </c>
    </row>
    <row r="10" spans="1:38" ht="6" customHeight="1" thickTop="1" x14ac:dyDescent="0.25">
      <c r="B10" s="451"/>
      <c r="C10" s="452"/>
      <c r="D10" s="450"/>
      <c r="E10" s="454"/>
      <c r="F10" s="452"/>
      <c r="G10" s="450"/>
      <c r="H10" s="455"/>
      <c r="I10" s="450"/>
      <c r="J10" s="453"/>
      <c r="K10" s="450"/>
      <c r="L10" s="452"/>
      <c r="M10" s="450"/>
      <c r="N10" s="455"/>
      <c r="O10" s="450"/>
      <c r="P10" s="453"/>
      <c r="Q10" s="450"/>
      <c r="R10" s="452"/>
      <c r="S10" s="450"/>
      <c r="T10" s="455"/>
      <c r="U10" s="450"/>
      <c r="V10" s="453"/>
      <c r="W10" s="450"/>
      <c r="X10" s="452"/>
      <c r="Y10" s="450"/>
      <c r="Z10" s="455"/>
      <c r="AA10" s="450"/>
      <c r="AB10" s="454"/>
      <c r="AC10" s="455"/>
      <c r="AD10" s="450"/>
      <c r="AE10" s="453"/>
      <c r="AF10" s="455"/>
    </row>
    <row r="11" spans="1:38" x14ac:dyDescent="0.25">
      <c r="B11" s="59" t="s">
        <v>3</v>
      </c>
      <c r="C11" s="220">
        <v>1969000</v>
      </c>
      <c r="D11" s="176">
        <v>1833000</v>
      </c>
      <c r="E11" s="237">
        <v>1797000</v>
      </c>
      <c r="F11" s="220">
        <v>380804.60000000003</v>
      </c>
      <c r="G11" s="176">
        <v>350836.2</v>
      </c>
      <c r="H11" s="221">
        <v>343227</v>
      </c>
      <c r="I11" s="176">
        <v>54344.4</v>
      </c>
      <c r="J11" s="122">
        <v>51324</v>
      </c>
      <c r="K11" s="176">
        <v>48519</v>
      </c>
      <c r="L11" s="220">
        <v>69702.599999999991</v>
      </c>
      <c r="M11" s="176">
        <v>62322</v>
      </c>
      <c r="N11" s="221">
        <v>59301</v>
      </c>
      <c r="O11" s="55">
        <f t="shared" ref="O11:Q28" si="0">IFERROR(F11*1000/C11,"-")</f>
        <v>193.40000000000003</v>
      </c>
      <c r="P11" s="125">
        <f t="shared" si="0"/>
        <v>191.4</v>
      </c>
      <c r="Q11" s="55">
        <f t="shared" si="0"/>
        <v>191</v>
      </c>
      <c r="R11" s="335">
        <f t="shared" ref="R11:T28" si="1">IFERROR(I11*1000/C11,"-")</f>
        <v>27.6</v>
      </c>
      <c r="S11" s="55">
        <f t="shared" si="1"/>
        <v>28</v>
      </c>
      <c r="T11" s="284">
        <f t="shared" si="1"/>
        <v>27</v>
      </c>
      <c r="U11" s="55">
        <f t="shared" ref="U11:W28" si="2">IFERROR(L11*1000/C11,"-")</f>
        <v>35.399999999999991</v>
      </c>
      <c r="V11" s="125">
        <f t="shared" si="2"/>
        <v>34</v>
      </c>
      <c r="W11" s="55">
        <f t="shared" si="2"/>
        <v>33</v>
      </c>
      <c r="X11" s="456">
        <f t="shared" ref="X11:X28" si="3">F11/$F$30</f>
        <v>0.37288139244450375</v>
      </c>
      <c r="Y11" s="344">
        <f t="shared" ref="Y11:Y28" si="4">G11/$G$30</f>
        <v>0.33454767584874134</v>
      </c>
      <c r="Z11" s="355">
        <f t="shared" ref="Z11:Z28" si="5">H11/$H$30</f>
        <v>0.33297955421891295</v>
      </c>
      <c r="AA11" s="344">
        <f t="shared" ref="AA11:AA28" si="6">I11/$I$30</f>
        <v>0.28253107382229331</v>
      </c>
      <c r="AB11" s="358">
        <f t="shared" ref="AB11:AB28" si="7">J11/$J$30</f>
        <v>0.26346075859697032</v>
      </c>
      <c r="AC11" s="355">
        <f t="shared" ref="AC11:AC22" si="8">K11/$K$30</f>
        <v>0.257339252470285</v>
      </c>
      <c r="AD11" s="344">
        <f t="shared" ref="AD11:AD28" si="9">L11/$L$30</f>
        <v>0.24629754743436078</v>
      </c>
      <c r="AE11" s="354">
        <f t="shared" ref="AE11:AE28" si="10">M11/$M$30</f>
        <v>0.23028489081033146</v>
      </c>
      <c r="AF11" s="355">
        <f t="shared" ref="AF11:AF28" si="11">N11/$N$30</f>
        <v>0.22546879990266605</v>
      </c>
    </row>
    <row r="12" spans="1:38" x14ac:dyDescent="0.25">
      <c r="B12" s="70" t="s">
        <v>27</v>
      </c>
      <c r="C12" s="230">
        <v>970000</v>
      </c>
      <c r="D12" s="177">
        <v>1101000</v>
      </c>
      <c r="E12" s="244">
        <v>1157000</v>
      </c>
      <c r="F12" s="230">
        <v>112520</v>
      </c>
      <c r="G12" s="177">
        <v>135423</v>
      </c>
      <c r="H12" s="231">
        <v>136526</v>
      </c>
      <c r="I12" s="177">
        <v>31622</v>
      </c>
      <c r="J12" s="135">
        <v>34131</v>
      </c>
      <c r="K12" s="177">
        <v>34710</v>
      </c>
      <c r="L12" s="230">
        <v>45590</v>
      </c>
      <c r="M12" s="177">
        <v>47343</v>
      </c>
      <c r="N12" s="231">
        <v>45123</v>
      </c>
      <c r="O12" s="73">
        <f t="shared" si="0"/>
        <v>116</v>
      </c>
      <c r="P12" s="138">
        <f t="shared" si="0"/>
        <v>123</v>
      </c>
      <c r="Q12" s="73">
        <f t="shared" si="0"/>
        <v>118</v>
      </c>
      <c r="R12" s="153">
        <f t="shared" si="1"/>
        <v>32.6</v>
      </c>
      <c r="S12" s="73">
        <f t="shared" si="1"/>
        <v>31</v>
      </c>
      <c r="T12" s="285">
        <f t="shared" si="1"/>
        <v>30</v>
      </c>
      <c r="U12" s="73">
        <f t="shared" si="2"/>
        <v>47</v>
      </c>
      <c r="V12" s="138">
        <f t="shared" si="2"/>
        <v>43</v>
      </c>
      <c r="W12" s="73">
        <f t="shared" si="2"/>
        <v>39</v>
      </c>
      <c r="X12" s="155">
        <f t="shared" si="3"/>
        <v>0.11017885361115794</v>
      </c>
      <c r="Y12" s="365">
        <f t="shared" si="4"/>
        <v>0.12913561914780772</v>
      </c>
      <c r="Z12" s="158">
        <f t="shared" si="5"/>
        <v>0.13244985569110621</v>
      </c>
      <c r="AA12" s="365">
        <f t="shared" si="6"/>
        <v>0.16439959989269473</v>
      </c>
      <c r="AB12" s="157">
        <f t="shared" si="7"/>
        <v>0.17520417644129832</v>
      </c>
      <c r="AC12" s="158">
        <f t="shared" si="8"/>
        <v>0.18409788852292075</v>
      </c>
      <c r="AD12" s="365">
        <f t="shared" si="9"/>
        <v>0.1610944955788236</v>
      </c>
      <c r="AE12" s="156">
        <f t="shared" si="10"/>
        <v>0.17493625983815542</v>
      </c>
      <c r="AF12" s="158">
        <f t="shared" si="11"/>
        <v>0.17156251425790459</v>
      </c>
    </row>
    <row r="13" spans="1:38" x14ac:dyDescent="0.25">
      <c r="B13" s="59" t="s">
        <v>28</v>
      </c>
      <c r="C13" s="220">
        <v>136000</v>
      </c>
      <c r="D13" s="176">
        <v>166000</v>
      </c>
      <c r="E13" s="237">
        <v>224000</v>
      </c>
      <c r="F13" s="220">
        <v>11560</v>
      </c>
      <c r="G13" s="176">
        <v>15106</v>
      </c>
      <c r="H13" s="221">
        <v>20608</v>
      </c>
      <c r="I13" s="176">
        <v>2584</v>
      </c>
      <c r="J13" s="122">
        <v>4648</v>
      </c>
      <c r="K13" s="176">
        <v>5376</v>
      </c>
      <c r="L13" s="220">
        <v>4760</v>
      </c>
      <c r="M13" s="176">
        <v>6972</v>
      </c>
      <c r="N13" s="221">
        <v>8512</v>
      </c>
      <c r="O13" s="55">
        <f t="shared" si="0"/>
        <v>85</v>
      </c>
      <c r="P13" s="125">
        <f t="shared" si="0"/>
        <v>91</v>
      </c>
      <c r="Q13" s="55">
        <f t="shared" si="0"/>
        <v>92</v>
      </c>
      <c r="R13" s="335">
        <f t="shared" si="1"/>
        <v>19</v>
      </c>
      <c r="S13" s="55">
        <f t="shared" si="1"/>
        <v>28</v>
      </c>
      <c r="T13" s="284">
        <f t="shared" si="1"/>
        <v>24</v>
      </c>
      <c r="U13" s="55">
        <f t="shared" si="2"/>
        <v>35</v>
      </c>
      <c r="V13" s="125">
        <f t="shared" si="2"/>
        <v>42</v>
      </c>
      <c r="W13" s="55">
        <f t="shared" si="2"/>
        <v>38</v>
      </c>
      <c r="X13" s="456">
        <f t="shared" si="3"/>
        <v>1.1319476961828882E-2</v>
      </c>
      <c r="Y13" s="344">
        <f t="shared" si="4"/>
        <v>1.4404662892173289E-2</v>
      </c>
      <c r="Z13" s="355">
        <f t="shared" si="5"/>
        <v>1.9992723921321336E-2</v>
      </c>
      <c r="AA13" s="344">
        <f t="shared" si="6"/>
        <v>1.343395630013039E-2</v>
      </c>
      <c r="AB13" s="358">
        <f t="shared" si="7"/>
        <v>2.385951223518662E-2</v>
      </c>
      <c r="AC13" s="355">
        <f t="shared" si="8"/>
        <v>2.8513691982115296E-2</v>
      </c>
      <c r="AD13" s="344">
        <f t="shared" si="9"/>
        <v>1.6819692892195665E-2</v>
      </c>
      <c r="AE13" s="354">
        <f t="shared" si="10"/>
        <v>2.576211063075047E-2</v>
      </c>
      <c r="AF13" s="355">
        <f t="shared" si="11"/>
        <v>3.2363542347877666E-2</v>
      </c>
    </row>
    <row r="14" spans="1:38" x14ac:dyDescent="0.25">
      <c r="B14" s="70" t="s">
        <v>31</v>
      </c>
      <c r="C14" s="230">
        <v>705000</v>
      </c>
      <c r="D14" s="177">
        <v>652000</v>
      </c>
      <c r="E14" s="244">
        <v>601000</v>
      </c>
      <c r="F14" s="230">
        <v>138180</v>
      </c>
      <c r="G14" s="177">
        <v>125836</v>
      </c>
      <c r="H14" s="231">
        <v>114190</v>
      </c>
      <c r="I14" s="177">
        <v>19035</v>
      </c>
      <c r="J14" s="135">
        <v>19560</v>
      </c>
      <c r="K14" s="177">
        <v>16227</v>
      </c>
      <c r="L14" s="230">
        <v>22842</v>
      </c>
      <c r="M14" s="177">
        <v>20212</v>
      </c>
      <c r="N14" s="231">
        <v>19232</v>
      </c>
      <c r="O14" s="73">
        <f t="shared" si="0"/>
        <v>196</v>
      </c>
      <c r="P14" s="138">
        <f t="shared" si="0"/>
        <v>193</v>
      </c>
      <c r="Q14" s="73">
        <f t="shared" si="0"/>
        <v>190</v>
      </c>
      <c r="R14" s="153">
        <f t="shared" si="1"/>
        <v>27</v>
      </c>
      <c r="S14" s="73">
        <f t="shared" si="1"/>
        <v>30</v>
      </c>
      <c r="T14" s="285">
        <f t="shared" si="1"/>
        <v>27</v>
      </c>
      <c r="U14" s="73">
        <f t="shared" si="2"/>
        <v>32.4</v>
      </c>
      <c r="V14" s="138">
        <f t="shared" si="2"/>
        <v>31</v>
      </c>
      <c r="W14" s="73">
        <f t="shared" si="2"/>
        <v>32</v>
      </c>
      <c r="X14" s="155">
        <f t="shared" si="3"/>
        <v>0.13530495904718987</v>
      </c>
      <c r="Y14" s="365">
        <f t="shared" si="4"/>
        <v>0.1199937216800952</v>
      </c>
      <c r="Z14" s="158">
        <f t="shared" si="5"/>
        <v>0.11078072324222066</v>
      </c>
      <c r="AA14" s="365">
        <f t="shared" si="6"/>
        <v>9.8961051924528615E-2</v>
      </c>
      <c r="AB14" s="157">
        <f t="shared" si="7"/>
        <v>0.1004070695611554</v>
      </c>
      <c r="AC14" s="158">
        <f t="shared" si="8"/>
        <v>8.6066160675927247E-2</v>
      </c>
      <c r="AD14" s="365">
        <f t="shared" si="9"/>
        <v>8.0713324588977592E-2</v>
      </c>
      <c r="AE14" s="156">
        <f t="shared" si="10"/>
        <v>7.4684994272623137E-2</v>
      </c>
      <c r="AF14" s="158">
        <f t="shared" si="11"/>
        <v>7.3122138913813819E-2</v>
      </c>
    </row>
    <row r="15" spans="1:38" x14ac:dyDescent="0.25">
      <c r="B15" s="59" t="s">
        <v>32</v>
      </c>
      <c r="C15" s="220">
        <v>36000</v>
      </c>
      <c r="D15" s="176">
        <v>15000</v>
      </c>
      <c r="E15" s="237">
        <v>25000</v>
      </c>
      <c r="F15" s="220">
        <v>3168</v>
      </c>
      <c r="G15" s="176">
        <v>1215</v>
      </c>
      <c r="H15" s="221">
        <v>1950</v>
      </c>
      <c r="I15" s="176">
        <v>468</v>
      </c>
      <c r="J15" s="122">
        <v>225</v>
      </c>
      <c r="K15" s="176">
        <v>400</v>
      </c>
      <c r="L15" s="220">
        <v>972</v>
      </c>
      <c r="M15" s="176">
        <v>240</v>
      </c>
      <c r="N15" s="221">
        <v>375</v>
      </c>
      <c r="O15" s="55">
        <f t="shared" si="0"/>
        <v>88</v>
      </c>
      <c r="P15" s="125">
        <f t="shared" si="0"/>
        <v>81</v>
      </c>
      <c r="Q15" s="55">
        <f t="shared" si="0"/>
        <v>78</v>
      </c>
      <c r="R15" s="335">
        <f t="shared" si="1"/>
        <v>13</v>
      </c>
      <c r="S15" s="55">
        <f t="shared" si="1"/>
        <v>15</v>
      </c>
      <c r="T15" s="284">
        <f t="shared" si="1"/>
        <v>16</v>
      </c>
      <c r="U15" s="55">
        <f t="shared" si="2"/>
        <v>27</v>
      </c>
      <c r="V15" s="125">
        <f t="shared" si="2"/>
        <v>16</v>
      </c>
      <c r="W15" s="55">
        <f t="shared" si="2"/>
        <v>15</v>
      </c>
      <c r="X15" s="456">
        <f t="shared" si="3"/>
        <v>3.1020850359060465E-3</v>
      </c>
      <c r="Y15" s="344">
        <f t="shared" si="4"/>
        <v>1.1585903226526246E-3</v>
      </c>
      <c r="Z15" s="355">
        <f t="shared" si="5"/>
        <v>1.8917804564526691E-3</v>
      </c>
      <c r="AA15" s="344">
        <f t="shared" si="6"/>
        <v>2.433084964574699E-3</v>
      </c>
      <c r="AB15" s="358">
        <f t="shared" si="7"/>
        <v>1.1549892970991803E-3</v>
      </c>
      <c r="AC15" s="355">
        <f t="shared" si="8"/>
        <v>2.1215544629550071E-3</v>
      </c>
      <c r="AD15" s="344">
        <f t="shared" si="9"/>
        <v>3.4346095569777698E-3</v>
      </c>
      <c r="AE15" s="354">
        <f t="shared" si="10"/>
        <v>8.8681964305509372E-4</v>
      </c>
      <c r="AF15" s="355">
        <f t="shared" si="11"/>
        <v>1.4257904582300428E-3</v>
      </c>
    </row>
    <row r="16" spans="1:38" x14ac:dyDescent="0.25">
      <c r="B16" s="70" t="s">
        <v>33</v>
      </c>
      <c r="C16" s="230">
        <v>155000</v>
      </c>
      <c r="D16" s="177">
        <v>214000</v>
      </c>
      <c r="E16" s="244">
        <v>199000</v>
      </c>
      <c r="F16" s="230">
        <v>155</v>
      </c>
      <c r="G16" s="177">
        <v>214</v>
      </c>
      <c r="H16" s="231">
        <v>199</v>
      </c>
      <c r="I16" s="177">
        <v>2325</v>
      </c>
      <c r="J16" s="135">
        <v>3638</v>
      </c>
      <c r="K16" s="177">
        <v>2985</v>
      </c>
      <c r="L16" s="230">
        <v>3100</v>
      </c>
      <c r="M16" s="177">
        <v>4708</v>
      </c>
      <c r="N16" s="231">
        <v>4378</v>
      </c>
      <c r="O16" s="73">
        <f t="shared" si="0"/>
        <v>1</v>
      </c>
      <c r="P16" s="138">
        <f t="shared" si="0"/>
        <v>1</v>
      </c>
      <c r="Q16" s="73">
        <f t="shared" si="0"/>
        <v>1</v>
      </c>
      <c r="R16" s="153">
        <f t="shared" si="1"/>
        <v>15</v>
      </c>
      <c r="S16" s="73">
        <f t="shared" si="1"/>
        <v>17</v>
      </c>
      <c r="T16" s="285">
        <f t="shared" si="1"/>
        <v>15</v>
      </c>
      <c r="U16" s="73">
        <f t="shared" si="2"/>
        <v>20</v>
      </c>
      <c r="V16" s="138">
        <f t="shared" si="2"/>
        <v>22</v>
      </c>
      <c r="W16" s="73">
        <f t="shared" si="2"/>
        <v>22</v>
      </c>
      <c r="X16" s="155">
        <f t="shared" si="3"/>
        <v>1.5177499386535265E-4</v>
      </c>
      <c r="Y16" s="365">
        <f t="shared" si="4"/>
        <v>2.0406446835198491E-4</v>
      </c>
      <c r="Z16" s="158">
        <f t="shared" si="5"/>
        <v>1.9305862094055445E-4</v>
      </c>
      <c r="AA16" s="365">
        <f t="shared" si="6"/>
        <v>1.2087441330419177E-2</v>
      </c>
      <c r="AB16" s="157">
        <f t="shared" si="7"/>
        <v>1.8674893612652524E-2</v>
      </c>
      <c r="AC16" s="158">
        <f t="shared" si="8"/>
        <v>1.5832100179801741E-2</v>
      </c>
      <c r="AD16" s="365">
        <f t="shared" si="9"/>
        <v>1.0954001673488773E-2</v>
      </c>
      <c r="AE16" s="156">
        <f t="shared" si="10"/>
        <v>1.7396445331264089E-2</v>
      </c>
      <c r="AF16" s="158">
        <f t="shared" si="11"/>
        <v>1.6645628336349673E-2</v>
      </c>
    </row>
    <row r="17" spans="2:32" x14ac:dyDescent="0.25">
      <c r="B17" s="59" t="s">
        <v>26</v>
      </c>
      <c r="C17" s="220">
        <v>146000</v>
      </c>
      <c r="D17" s="176">
        <v>129000</v>
      </c>
      <c r="E17" s="237">
        <v>142000</v>
      </c>
      <c r="F17" s="220">
        <v>23360</v>
      </c>
      <c r="G17" s="176">
        <v>20124</v>
      </c>
      <c r="H17" s="221">
        <v>20164</v>
      </c>
      <c r="I17" s="176">
        <v>16790</v>
      </c>
      <c r="J17" s="122">
        <v>14319</v>
      </c>
      <c r="K17" s="176">
        <v>14910</v>
      </c>
      <c r="L17" s="220">
        <v>30660</v>
      </c>
      <c r="M17" s="176">
        <v>23994</v>
      </c>
      <c r="N17" s="221">
        <v>29394</v>
      </c>
      <c r="O17" s="55">
        <f t="shared" si="0"/>
        <v>160</v>
      </c>
      <c r="P17" s="125">
        <f t="shared" si="0"/>
        <v>156</v>
      </c>
      <c r="Q17" s="55">
        <f t="shared" si="0"/>
        <v>142</v>
      </c>
      <c r="R17" s="335">
        <f t="shared" si="1"/>
        <v>115</v>
      </c>
      <c r="S17" s="55">
        <f t="shared" si="1"/>
        <v>111</v>
      </c>
      <c r="T17" s="284">
        <f t="shared" si="1"/>
        <v>105</v>
      </c>
      <c r="U17" s="55">
        <f t="shared" si="2"/>
        <v>210</v>
      </c>
      <c r="V17" s="125">
        <f t="shared" si="2"/>
        <v>186</v>
      </c>
      <c r="W17" s="55">
        <f t="shared" si="2"/>
        <v>207</v>
      </c>
      <c r="X17" s="456">
        <f t="shared" si="3"/>
        <v>2.2873960365771859E-2</v>
      </c>
      <c r="Y17" s="344">
        <f t="shared" si="4"/>
        <v>1.918968860334273E-2</v>
      </c>
      <c r="Z17" s="355">
        <f t="shared" si="5"/>
        <v>1.9561980063544419E-2</v>
      </c>
      <c r="AA17" s="344">
        <f t="shared" si="6"/>
        <v>8.7289522553865795E-2</v>
      </c>
      <c r="AB17" s="358">
        <f t="shared" si="7"/>
        <v>7.3503518867391829E-2</v>
      </c>
      <c r="AC17" s="355">
        <f t="shared" si="8"/>
        <v>7.9080942606647886E-2</v>
      </c>
      <c r="AD17" s="344">
        <f t="shared" si="9"/>
        <v>0.10833861009973089</v>
      </c>
      <c r="AE17" s="354">
        <f t="shared" si="10"/>
        <v>8.8659793814432994E-2</v>
      </c>
      <c r="AF17" s="355">
        <f t="shared" si="11"/>
        <v>0.11175915927790367</v>
      </c>
    </row>
    <row r="18" spans="2:32" x14ac:dyDescent="0.25">
      <c r="B18" s="70" t="s">
        <v>34</v>
      </c>
      <c r="C18" s="230">
        <v>113000</v>
      </c>
      <c r="D18" s="177">
        <v>90000</v>
      </c>
      <c r="E18" s="244">
        <v>116000</v>
      </c>
      <c r="F18" s="230">
        <v>10396</v>
      </c>
      <c r="G18" s="177">
        <v>8820</v>
      </c>
      <c r="H18" s="231">
        <v>10672</v>
      </c>
      <c r="I18" s="177">
        <v>2938</v>
      </c>
      <c r="J18" s="135">
        <v>2070</v>
      </c>
      <c r="K18" s="177">
        <v>2088</v>
      </c>
      <c r="L18" s="230">
        <v>9040</v>
      </c>
      <c r="M18" s="177">
        <v>5760</v>
      </c>
      <c r="N18" s="231">
        <v>5800</v>
      </c>
      <c r="O18" s="73">
        <f t="shared" si="0"/>
        <v>92</v>
      </c>
      <c r="P18" s="138">
        <f t="shared" si="0"/>
        <v>98</v>
      </c>
      <c r="Q18" s="73">
        <f t="shared" si="0"/>
        <v>92</v>
      </c>
      <c r="R18" s="153">
        <f t="shared" si="1"/>
        <v>26</v>
      </c>
      <c r="S18" s="73">
        <f t="shared" si="1"/>
        <v>23</v>
      </c>
      <c r="T18" s="285">
        <f t="shared" si="1"/>
        <v>18</v>
      </c>
      <c r="U18" s="73">
        <f t="shared" si="2"/>
        <v>80</v>
      </c>
      <c r="V18" s="138">
        <f t="shared" si="2"/>
        <v>64</v>
      </c>
      <c r="W18" s="73">
        <f t="shared" si="2"/>
        <v>50</v>
      </c>
      <c r="X18" s="155">
        <f t="shared" si="3"/>
        <v>1.0179695717575524E-2</v>
      </c>
      <c r="Y18" s="365">
        <f t="shared" si="4"/>
        <v>8.4105075274042377E-3</v>
      </c>
      <c r="Z18" s="158">
        <f t="shared" si="5"/>
        <v>1.0353374887827121E-2</v>
      </c>
      <c r="AA18" s="365">
        <f t="shared" si="6"/>
        <v>1.5274366722052277E-2</v>
      </c>
      <c r="AB18" s="157">
        <f t="shared" si="7"/>
        <v>1.0625901533312459E-2</v>
      </c>
      <c r="AC18" s="158">
        <f t="shared" si="8"/>
        <v>1.1074514296625136E-2</v>
      </c>
      <c r="AD18" s="365">
        <f t="shared" si="9"/>
        <v>3.1943282299464033E-2</v>
      </c>
      <c r="AE18" s="156">
        <f t="shared" si="10"/>
        <v>2.1283671433322247E-2</v>
      </c>
      <c r="AF18" s="158">
        <f t="shared" si="11"/>
        <v>2.2052225753957995E-2</v>
      </c>
    </row>
    <row r="19" spans="2:32" x14ac:dyDescent="0.25">
      <c r="B19" s="59" t="s">
        <v>9</v>
      </c>
      <c r="C19" s="220">
        <v>129000</v>
      </c>
      <c r="D19" s="176">
        <v>123000</v>
      </c>
      <c r="E19" s="237">
        <v>117000</v>
      </c>
      <c r="F19" s="220">
        <v>8256</v>
      </c>
      <c r="G19" s="176">
        <v>7380</v>
      </c>
      <c r="H19" s="221">
        <v>6903</v>
      </c>
      <c r="I19" s="176">
        <v>5805</v>
      </c>
      <c r="J19" s="122">
        <v>4551</v>
      </c>
      <c r="K19" s="176">
        <v>5382</v>
      </c>
      <c r="L19" s="220">
        <v>8127.0000000000009</v>
      </c>
      <c r="M19" s="176">
        <v>7380</v>
      </c>
      <c r="N19" s="221">
        <v>9360</v>
      </c>
      <c r="O19" s="55">
        <f t="shared" si="0"/>
        <v>64</v>
      </c>
      <c r="P19" s="125">
        <f t="shared" si="0"/>
        <v>60</v>
      </c>
      <c r="Q19" s="55">
        <f t="shared" si="0"/>
        <v>59</v>
      </c>
      <c r="R19" s="335">
        <f t="shared" si="1"/>
        <v>45</v>
      </c>
      <c r="S19" s="55">
        <f t="shared" si="1"/>
        <v>37</v>
      </c>
      <c r="T19" s="284">
        <f t="shared" si="1"/>
        <v>46</v>
      </c>
      <c r="U19" s="55">
        <f t="shared" si="2"/>
        <v>63.000000000000007</v>
      </c>
      <c r="V19" s="125">
        <f t="shared" si="2"/>
        <v>60</v>
      </c>
      <c r="W19" s="55">
        <f t="shared" si="2"/>
        <v>80</v>
      </c>
      <c r="X19" s="456">
        <f t="shared" si="3"/>
        <v>8.0842216087248491E-3</v>
      </c>
      <c r="Y19" s="344">
        <f t="shared" si="4"/>
        <v>7.0373634412974236E-3</v>
      </c>
      <c r="Z19" s="355">
        <f t="shared" si="5"/>
        <v>6.6969028158424485E-3</v>
      </c>
      <c r="AA19" s="344">
        <f t="shared" si="6"/>
        <v>3.0179611579820784E-2</v>
      </c>
      <c r="AB19" s="358">
        <f t="shared" si="7"/>
        <v>2.336158351599275E-2</v>
      </c>
      <c r="AC19" s="355">
        <f t="shared" si="8"/>
        <v>2.8545515299059621E-2</v>
      </c>
      <c r="AD19" s="344">
        <f t="shared" si="9"/>
        <v>2.8717152129175246E-2</v>
      </c>
      <c r="AE19" s="354">
        <f t="shared" si="10"/>
        <v>2.726970402394413E-2</v>
      </c>
      <c r="AF19" s="355">
        <f t="shared" si="11"/>
        <v>3.5587729837421866E-2</v>
      </c>
    </row>
    <row r="20" spans="2:32" x14ac:dyDescent="0.25">
      <c r="B20" s="70" t="s">
        <v>35</v>
      </c>
      <c r="C20" s="230">
        <v>48000</v>
      </c>
      <c r="D20" s="177">
        <v>40000</v>
      </c>
      <c r="E20" s="244">
        <v>36000</v>
      </c>
      <c r="F20" s="230">
        <v>2064</v>
      </c>
      <c r="G20" s="177">
        <v>1600</v>
      </c>
      <c r="H20" s="231">
        <v>1080</v>
      </c>
      <c r="I20" s="177">
        <v>720</v>
      </c>
      <c r="J20" s="135">
        <v>360</v>
      </c>
      <c r="K20" s="177">
        <v>180</v>
      </c>
      <c r="L20" s="230">
        <v>1440</v>
      </c>
      <c r="M20" s="177">
        <v>440</v>
      </c>
      <c r="N20" s="231">
        <v>972</v>
      </c>
      <c r="O20" s="73">
        <f t="shared" si="0"/>
        <v>43</v>
      </c>
      <c r="P20" s="138">
        <f t="shared" si="0"/>
        <v>40</v>
      </c>
      <c r="Q20" s="73">
        <f t="shared" si="0"/>
        <v>30</v>
      </c>
      <c r="R20" s="153">
        <f t="shared" si="1"/>
        <v>15</v>
      </c>
      <c r="S20" s="73">
        <f t="shared" si="1"/>
        <v>9</v>
      </c>
      <c r="T20" s="285">
        <f t="shared" si="1"/>
        <v>5</v>
      </c>
      <c r="U20" s="73">
        <f t="shared" si="2"/>
        <v>30</v>
      </c>
      <c r="V20" s="138">
        <f t="shared" si="2"/>
        <v>11</v>
      </c>
      <c r="W20" s="73">
        <f t="shared" si="2"/>
        <v>27</v>
      </c>
      <c r="X20" s="155">
        <f t="shared" si="3"/>
        <v>2.0210554021812123E-3</v>
      </c>
      <c r="Y20" s="365">
        <f t="shared" si="4"/>
        <v>1.5257156512297936E-3</v>
      </c>
      <c r="Z20" s="158">
        <f t="shared" si="5"/>
        <v>1.0477553297276322E-3</v>
      </c>
      <c r="AA20" s="365">
        <f t="shared" si="6"/>
        <v>3.743207637807229E-3</v>
      </c>
      <c r="AB20" s="157">
        <f t="shared" si="7"/>
        <v>1.8479828753586883E-3</v>
      </c>
      <c r="AC20" s="158">
        <f t="shared" si="8"/>
        <v>9.5469950832975322E-4</v>
      </c>
      <c r="AD20" s="365">
        <f t="shared" si="9"/>
        <v>5.0883104547818818E-3</v>
      </c>
      <c r="AE20" s="156">
        <f t="shared" si="10"/>
        <v>1.6258360122676718E-3</v>
      </c>
      <c r="AF20" s="158">
        <f t="shared" si="11"/>
        <v>3.6956488677322707E-3</v>
      </c>
    </row>
    <row r="21" spans="2:32" x14ac:dyDescent="0.25">
      <c r="B21" s="59" t="s">
        <v>37</v>
      </c>
      <c r="C21" s="220">
        <v>69000</v>
      </c>
      <c r="D21" s="176">
        <v>79000</v>
      </c>
      <c r="E21" s="237">
        <v>86000</v>
      </c>
      <c r="F21" s="220">
        <v>4416</v>
      </c>
      <c r="G21" s="176">
        <v>4819</v>
      </c>
      <c r="H21" s="221">
        <v>4472</v>
      </c>
      <c r="I21" s="176">
        <v>1656</v>
      </c>
      <c r="J21" s="122">
        <v>1659</v>
      </c>
      <c r="K21" s="176">
        <v>1548</v>
      </c>
      <c r="L21" s="220">
        <v>2622</v>
      </c>
      <c r="M21" s="176">
        <v>2370</v>
      </c>
      <c r="N21" s="221">
        <v>2236</v>
      </c>
      <c r="O21" s="55">
        <f t="shared" si="0"/>
        <v>64</v>
      </c>
      <c r="P21" s="125">
        <f t="shared" si="0"/>
        <v>61</v>
      </c>
      <c r="Q21" s="55">
        <f t="shared" si="0"/>
        <v>52</v>
      </c>
      <c r="R21" s="335">
        <f t="shared" si="1"/>
        <v>24</v>
      </c>
      <c r="S21" s="55">
        <f t="shared" si="1"/>
        <v>21</v>
      </c>
      <c r="T21" s="284">
        <f t="shared" si="1"/>
        <v>18</v>
      </c>
      <c r="U21" s="55">
        <f t="shared" si="2"/>
        <v>38</v>
      </c>
      <c r="V21" s="125">
        <f t="shared" si="2"/>
        <v>30</v>
      </c>
      <c r="W21" s="55">
        <f t="shared" si="2"/>
        <v>26</v>
      </c>
      <c r="X21" s="456">
        <f t="shared" si="3"/>
        <v>4.3241185348993376E-3</v>
      </c>
      <c r="Y21" s="344">
        <f t="shared" si="4"/>
        <v>4.5952648270477349E-3</v>
      </c>
      <c r="Z21" s="355">
        <f t="shared" si="5"/>
        <v>4.3384831801314546E-3</v>
      </c>
      <c r="AA21" s="344">
        <f t="shared" si="6"/>
        <v>8.6093775669566271E-3</v>
      </c>
      <c r="AB21" s="358">
        <f t="shared" si="7"/>
        <v>8.5161210839446218E-3</v>
      </c>
      <c r="AC21" s="355">
        <f t="shared" si="8"/>
        <v>8.2104157716358771E-3</v>
      </c>
      <c r="AD21" s="344">
        <f t="shared" si="9"/>
        <v>9.2649652864153428E-3</v>
      </c>
      <c r="AE21" s="354">
        <f t="shared" si="10"/>
        <v>8.7573439751690504E-3</v>
      </c>
      <c r="AF21" s="355">
        <f t="shared" si="11"/>
        <v>8.5015132389396689E-3</v>
      </c>
    </row>
    <row r="22" spans="2:32" x14ac:dyDescent="0.25">
      <c r="B22" s="70" t="s">
        <v>38</v>
      </c>
      <c r="C22" s="230">
        <v>164000</v>
      </c>
      <c r="D22" s="177">
        <v>187000</v>
      </c>
      <c r="E22" s="244">
        <v>164000</v>
      </c>
      <c r="F22" s="230">
        <v>7708</v>
      </c>
      <c r="G22" s="177">
        <v>15147</v>
      </c>
      <c r="H22" s="231">
        <v>10004</v>
      </c>
      <c r="I22" s="177">
        <v>4264</v>
      </c>
      <c r="J22" s="135">
        <v>4675</v>
      </c>
      <c r="K22" s="177">
        <v>5576</v>
      </c>
      <c r="L22" s="230">
        <v>3936</v>
      </c>
      <c r="M22" s="177">
        <v>3927</v>
      </c>
      <c r="N22" s="231">
        <v>2624</v>
      </c>
      <c r="O22" s="73">
        <f t="shared" si="0"/>
        <v>47</v>
      </c>
      <c r="P22" s="138">
        <f t="shared" si="0"/>
        <v>81</v>
      </c>
      <c r="Q22" s="73">
        <f t="shared" si="0"/>
        <v>61</v>
      </c>
      <c r="R22" s="153">
        <f t="shared" si="1"/>
        <v>26</v>
      </c>
      <c r="S22" s="73">
        <f t="shared" si="1"/>
        <v>25</v>
      </c>
      <c r="T22" s="285">
        <f t="shared" si="1"/>
        <v>34</v>
      </c>
      <c r="U22" s="73">
        <f t="shared" si="2"/>
        <v>24</v>
      </c>
      <c r="V22" s="138">
        <f t="shared" si="2"/>
        <v>21</v>
      </c>
      <c r="W22" s="73">
        <f t="shared" si="2"/>
        <v>16</v>
      </c>
      <c r="X22" s="155">
        <f t="shared" si="3"/>
        <v>7.5476235658976662E-3</v>
      </c>
      <c r="Y22" s="365">
        <f t="shared" si="4"/>
        <v>1.4443759355736052E-2</v>
      </c>
      <c r="Z22" s="158">
        <f t="shared" si="5"/>
        <v>9.7053188135141043E-3</v>
      </c>
      <c r="AA22" s="365">
        <f t="shared" si="6"/>
        <v>2.2168107455013922E-2</v>
      </c>
      <c r="AB22" s="157">
        <f t="shared" si="7"/>
        <v>2.3998110950838522E-2</v>
      </c>
      <c r="AC22" s="158">
        <f t="shared" si="8"/>
        <v>2.9574469213592799E-2</v>
      </c>
      <c r="AD22" s="365">
        <f t="shared" si="9"/>
        <v>1.3908048576403809E-2</v>
      </c>
      <c r="AE22" s="156">
        <f t="shared" si="10"/>
        <v>1.4510586409488969E-2</v>
      </c>
      <c r="AF22" s="158">
        <f t="shared" si="11"/>
        <v>9.9767310997216849E-3</v>
      </c>
    </row>
    <row r="23" spans="2:32" x14ac:dyDescent="0.25">
      <c r="B23" s="59" t="s">
        <v>39</v>
      </c>
      <c r="C23" s="220">
        <v>4000</v>
      </c>
      <c r="D23" s="176">
        <v>3000</v>
      </c>
      <c r="E23" s="237">
        <v>3000</v>
      </c>
      <c r="F23" s="220">
        <v>0</v>
      </c>
      <c r="G23" s="176">
        <v>0</v>
      </c>
      <c r="H23" s="221">
        <v>0</v>
      </c>
      <c r="I23" s="176">
        <v>0</v>
      </c>
      <c r="J23" s="122">
        <v>0</v>
      </c>
      <c r="K23" s="176">
        <v>0</v>
      </c>
      <c r="L23" s="220">
        <v>0</v>
      </c>
      <c r="M23" s="176">
        <v>0</v>
      </c>
      <c r="N23" s="221">
        <v>0</v>
      </c>
      <c r="O23" s="55">
        <f t="shared" si="0"/>
        <v>0</v>
      </c>
      <c r="P23" s="125">
        <f t="shared" si="0"/>
        <v>0</v>
      </c>
      <c r="Q23" s="55">
        <f t="shared" si="0"/>
        <v>0</v>
      </c>
      <c r="R23" s="335">
        <f t="shared" si="1"/>
        <v>0</v>
      </c>
      <c r="S23" s="55">
        <f t="shared" si="1"/>
        <v>0</v>
      </c>
      <c r="T23" s="284">
        <f t="shared" si="1"/>
        <v>0</v>
      </c>
      <c r="U23" s="55">
        <f t="shared" si="2"/>
        <v>0</v>
      </c>
      <c r="V23" s="125">
        <f t="shared" si="2"/>
        <v>0</v>
      </c>
      <c r="W23" s="55">
        <f t="shared" si="2"/>
        <v>0</v>
      </c>
      <c r="X23" s="456">
        <f t="shared" si="3"/>
        <v>0</v>
      </c>
      <c r="Y23" s="344">
        <f t="shared" si="4"/>
        <v>0</v>
      </c>
      <c r="Z23" s="355">
        <f t="shared" si="5"/>
        <v>0</v>
      </c>
      <c r="AA23" s="344">
        <f t="shared" si="6"/>
        <v>0</v>
      </c>
      <c r="AB23" s="358">
        <f t="shared" si="7"/>
        <v>0</v>
      </c>
      <c r="AC23" s="355">
        <v>0</v>
      </c>
      <c r="AD23" s="344">
        <f t="shared" si="9"/>
        <v>0</v>
      </c>
      <c r="AE23" s="354">
        <f t="shared" si="10"/>
        <v>0</v>
      </c>
      <c r="AF23" s="355">
        <f t="shared" si="11"/>
        <v>0</v>
      </c>
    </row>
    <row r="24" spans="2:32" x14ac:dyDescent="0.25">
      <c r="B24" s="70" t="s">
        <v>40</v>
      </c>
      <c r="C24" s="230">
        <v>10000</v>
      </c>
      <c r="D24" s="177">
        <v>8000</v>
      </c>
      <c r="E24" s="244">
        <v>7000</v>
      </c>
      <c r="F24" s="230">
        <v>0</v>
      </c>
      <c r="G24" s="177">
        <v>0</v>
      </c>
      <c r="H24" s="231">
        <v>0</v>
      </c>
      <c r="I24" s="177">
        <v>50</v>
      </c>
      <c r="J24" s="135">
        <v>40</v>
      </c>
      <c r="K24" s="177">
        <v>35</v>
      </c>
      <c r="L24" s="230">
        <v>100</v>
      </c>
      <c r="M24" s="177">
        <v>80</v>
      </c>
      <c r="N24" s="231">
        <v>70</v>
      </c>
      <c r="O24" s="73">
        <f t="shared" si="0"/>
        <v>0</v>
      </c>
      <c r="P24" s="138">
        <f t="shared" si="0"/>
        <v>0</v>
      </c>
      <c r="Q24" s="73">
        <f t="shared" si="0"/>
        <v>0</v>
      </c>
      <c r="R24" s="153">
        <f t="shared" si="1"/>
        <v>5</v>
      </c>
      <c r="S24" s="73">
        <f t="shared" si="1"/>
        <v>5</v>
      </c>
      <c r="T24" s="285">
        <f t="shared" si="1"/>
        <v>5</v>
      </c>
      <c r="U24" s="73">
        <f t="shared" si="2"/>
        <v>10</v>
      </c>
      <c r="V24" s="138">
        <f t="shared" si="2"/>
        <v>10</v>
      </c>
      <c r="W24" s="73">
        <f t="shared" si="2"/>
        <v>10</v>
      </c>
      <c r="X24" s="155">
        <f t="shared" si="3"/>
        <v>0</v>
      </c>
      <c r="Y24" s="365">
        <f t="shared" si="4"/>
        <v>0</v>
      </c>
      <c r="Z24" s="158">
        <f t="shared" si="5"/>
        <v>0</v>
      </c>
      <c r="AA24" s="365">
        <f t="shared" si="6"/>
        <v>2.5994497484772426E-4</v>
      </c>
      <c r="AB24" s="157">
        <f t="shared" si="7"/>
        <v>2.0533143059540981E-4</v>
      </c>
      <c r="AC24" s="158">
        <f>K24/$K$30</f>
        <v>1.8563601550856311E-4</v>
      </c>
      <c r="AD24" s="365">
        <f t="shared" si="9"/>
        <v>3.533548926931862E-4</v>
      </c>
      <c r="AE24" s="156">
        <f t="shared" si="10"/>
        <v>2.9560654768503124E-4</v>
      </c>
      <c r="AF24" s="158">
        <f t="shared" si="11"/>
        <v>2.661475522029413E-4</v>
      </c>
    </row>
    <row r="25" spans="2:32" x14ac:dyDescent="0.25">
      <c r="B25" s="59" t="s">
        <v>41</v>
      </c>
      <c r="C25" s="220">
        <v>0</v>
      </c>
      <c r="D25" s="176">
        <v>0</v>
      </c>
      <c r="E25" s="237">
        <v>60000</v>
      </c>
      <c r="F25" s="220">
        <v>0</v>
      </c>
      <c r="G25" s="176">
        <v>0</v>
      </c>
      <c r="H25" s="221">
        <v>3660</v>
      </c>
      <c r="I25" s="176">
        <v>0</v>
      </c>
      <c r="J25" s="122">
        <v>0</v>
      </c>
      <c r="K25" s="176">
        <v>2040</v>
      </c>
      <c r="L25" s="220">
        <v>0</v>
      </c>
      <c r="M25" s="176">
        <v>0</v>
      </c>
      <c r="N25" s="221">
        <v>960</v>
      </c>
      <c r="O25" s="55" t="str">
        <f t="shared" si="0"/>
        <v>-</v>
      </c>
      <c r="P25" s="125" t="str">
        <f t="shared" si="0"/>
        <v>-</v>
      </c>
      <c r="Q25" s="55">
        <f t="shared" si="0"/>
        <v>61</v>
      </c>
      <c r="R25" s="335" t="str">
        <f t="shared" si="1"/>
        <v>-</v>
      </c>
      <c r="S25" s="55" t="str">
        <f t="shared" si="1"/>
        <v>-</v>
      </c>
      <c r="T25" s="284">
        <f t="shared" si="1"/>
        <v>34</v>
      </c>
      <c r="U25" s="55" t="str">
        <f t="shared" si="2"/>
        <v>-</v>
      </c>
      <c r="V25" s="125" t="str">
        <f t="shared" si="2"/>
        <v>-</v>
      </c>
      <c r="W25" s="55">
        <f t="shared" si="2"/>
        <v>16</v>
      </c>
      <c r="X25" s="456">
        <f t="shared" si="3"/>
        <v>0</v>
      </c>
      <c r="Y25" s="344">
        <f t="shared" si="4"/>
        <v>0</v>
      </c>
      <c r="Z25" s="355">
        <f t="shared" si="5"/>
        <v>3.5507263951880868E-3</v>
      </c>
      <c r="AA25" s="344">
        <f t="shared" si="6"/>
        <v>0</v>
      </c>
      <c r="AB25" s="358">
        <f t="shared" si="7"/>
        <v>0</v>
      </c>
      <c r="AC25" s="355">
        <f>K25/$K$30</f>
        <v>1.0819927761070536E-2</v>
      </c>
      <c r="AD25" s="344">
        <f t="shared" si="9"/>
        <v>0</v>
      </c>
      <c r="AE25" s="354">
        <f t="shared" si="10"/>
        <v>0</v>
      </c>
      <c r="AF25" s="355">
        <f t="shared" si="11"/>
        <v>3.6500235730689092E-3</v>
      </c>
    </row>
    <row r="26" spans="2:32" x14ac:dyDescent="0.25">
      <c r="B26" s="70" t="s">
        <v>42</v>
      </c>
      <c r="C26" s="230">
        <v>34000</v>
      </c>
      <c r="D26" s="177">
        <v>36000</v>
      </c>
      <c r="E26" s="244">
        <v>35000</v>
      </c>
      <c r="F26" s="230">
        <v>1326</v>
      </c>
      <c r="G26" s="177">
        <v>2088</v>
      </c>
      <c r="H26" s="231">
        <v>3045</v>
      </c>
      <c r="I26" s="177">
        <v>442</v>
      </c>
      <c r="J26" s="135">
        <v>432</v>
      </c>
      <c r="K26" s="177">
        <v>490</v>
      </c>
      <c r="L26" s="230">
        <v>1292</v>
      </c>
      <c r="M26" s="177">
        <v>2232</v>
      </c>
      <c r="N26" s="231">
        <v>2625</v>
      </c>
      <c r="O26" s="73">
        <f t="shared" si="0"/>
        <v>39</v>
      </c>
      <c r="P26" s="138">
        <f t="shared" si="0"/>
        <v>58</v>
      </c>
      <c r="Q26" s="73">
        <f t="shared" si="0"/>
        <v>87</v>
      </c>
      <c r="R26" s="153">
        <f t="shared" si="1"/>
        <v>13</v>
      </c>
      <c r="S26" s="73">
        <f t="shared" si="1"/>
        <v>12</v>
      </c>
      <c r="T26" s="285">
        <f t="shared" si="1"/>
        <v>14</v>
      </c>
      <c r="U26" s="73">
        <f t="shared" si="2"/>
        <v>38</v>
      </c>
      <c r="V26" s="138">
        <f t="shared" si="2"/>
        <v>62</v>
      </c>
      <c r="W26" s="73">
        <f t="shared" si="2"/>
        <v>75</v>
      </c>
      <c r="X26" s="155">
        <f t="shared" si="3"/>
        <v>1.2984105926803716E-3</v>
      </c>
      <c r="Y26" s="365">
        <f t="shared" si="4"/>
        <v>1.9910589248548806E-3</v>
      </c>
      <c r="Z26" s="158">
        <f t="shared" si="5"/>
        <v>2.9540879435376293E-3</v>
      </c>
      <c r="AA26" s="365">
        <f t="shared" si="6"/>
        <v>2.2979135776538821E-3</v>
      </c>
      <c r="AB26" s="157">
        <f t="shared" si="7"/>
        <v>2.2175794504304259E-3</v>
      </c>
      <c r="AC26" s="158">
        <f>K26/$K$30</f>
        <v>2.5989042171198837E-3</v>
      </c>
      <c r="AD26" s="365">
        <f t="shared" si="9"/>
        <v>4.5653452135959657E-3</v>
      </c>
      <c r="AE26" s="156">
        <f t="shared" si="10"/>
        <v>8.2474226804123713E-3</v>
      </c>
      <c r="AF26" s="158">
        <f t="shared" si="11"/>
        <v>9.9805332076102985E-3</v>
      </c>
    </row>
    <row r="27" spans="2:32" x14ac:dyDescent="0.25">
      <c r="B27" s="59" t="s">
        <v>10</v>
      </c>
      <c r="C27" s="220">
        <v>11136000</v>
      </c>
      <c r="D27" s="176">
        <v>11050000</v>
      </c>
      <c r="E27" s="237">
        <v>11274000</v>
      </c>
      <c r="F27" s="220">
        <v>317260</v>
      </c>
      <c r="G27" s="176">
        <v>359900</v>
      </c>
      <c r="H27" s="221">
        <v>354000</v>
      </c>
      <c r="I27" s="176">
        <v>49230</v>
      </c>
      <c r="J27" s="122">
        <v>53100</v>
      </c>
      <c r="K27" s="176">
        <v>48000</v>
      </c>
      <c r="L27" s="220">
        <v>78768</v>
      </c>
      <c r="M27" s="176">
        <v>82600</v>
      </c>
      <c r="N27" s="221">
        <v>72000</v>
      </c>
      <c r="O27" s="55">
        <f t="shared" si="0"/>
        <v>28.489583333333332</v>
      </c>
      <c r="P27" s="125">
        <f t="shared" si="0"/>
        <v>32.570135746606333</v>
      </c>
      <c r="Q27" s="55">
        <f t="shared" si="0"/>
        <v>31.399680681213411</v>
      </c>
      <c r="R27" s="335">
        <f t="shared" si="1"/>
        <v>4.4207974137931032</v>
      </c>
      <c r="S27" s="55">
        <f t="shared" si="1"/>
        <v>4.8054298642533935</v>
      </c>
      <c r="T27" s="284">
        <f t="shared" si="1"/>
        <v>4.2575838211814796</v>
      </c>
      <c r="U27" s="55">
        <f t="shared" si="2"/>
        <v>7.0732758620689653</v>
      </c>
      <c r="V27" s="125">
        <f t="shared" si="2"/>
        <v>7.4751131221719458</v>
      </c>
      <c r="W27" s="55">
        <f t="shared" si="2"/>
        <v>6.386375731772219</v>
      </c>
      <c r="X27" s="456">
        <f t="shared" si="3"/>
        <v>0.31065893260465666</v>
      </c>
      <c r="Y27" s="344">
        <f t="shared" si="4"/>
        <v>0.3431906642985017</v>
      </c>
      <c r="Z27" s="355">
        <f t="shared" si="5"/>
        <v>0.34343091363294609</v>
      </c>
      <c r="AA27" s="344">
        <f t="shared" si="6"/>
        <v>0.25594182223506928</v>
      </c>
      <c r="AB27" s="358">
        <f t="shared" si="7"/>
        <v>0.2725774741154065</v>
      </c>
      <c r="AC27" s="355">
        <f>K27/$K$30</f>
        <v>0.25458653555460087</v>
      </c>
      <c r="AD27" s="344">
        <f t="shared" si="9"/>
        <v>0.27833058187656889</v>
      </c>
      <c r="AE27" s="354">
        <f t="shared" si="10"/>
        <v>0.30521376048479476</v>
      </c>
      <c r="AF27" s="355">
        <f t="shared" si="11"/>
        <v>0.2737517679801682</v>
      </c>
    </row>
    <row r="28" spans="2:32" x14ac:dyDescent="0.25">
      <c r="B28" s="70" t="s">
        <v>43</v>
      </c>
      <c r="C28" s="230">
        <v>5000</v>
      </c>
      <c r="D28" s="177">
        <v>5000</v>
      </c>
      <c r="E28" s="244">
        <v>5000</v>
      </c>
      <c r="F28" s="230">
        <v>75</v>
      </c>
      <c r="G28" s="177">
        <v>180</v>
      </c>
      <c r="H28" s="231">
        <v>75</v>
      </c>
      <c r="I28" s="177">
        <v>75</v>
      </c>
      <c r="J28" s="135">
        <v>75</v>
      </c>
      <c r="K28" s="177">
        <v>75</v>
      </c>
      <c r="L28" s="230">
        <v>50</v>
      </c>
      <c r="M28" s="177">
        <v>50</v>
      </c>
      <c r="N28" s="231">
        <v>50</v>
      </c>
      <c r="O28" s="73">
        <f t="shared" si="0"/>
        <v>15</v>
      </c>
      <c r="P28" s="138">
        <f t="shared" si="0"/>
        <v>36</v>
      </c>
      <c r="Q28" s="73">
        <f t="shared" si="0"/>
        <v>15</v>
      </c>
      <c r="R28" s="153">
        <f t="shared" si="1"/>
        <v>15</v>
      </c>
      <c r="S28" s="73">
        <f t="shared" si="1"/>
        <v>15</v>
      </c>
      <c r="T28" s="285">
        <f t="shared" si="1"/>
        <v>15</v>
      </c>
      <c r="U28" s="73">
        <f t="shared" si="2"/>
        <v>10</v>
      </c>
      <c r="V28" s="138">
        <f t="shared" si="2"/>
        <v>10</v>
      </c>
      <c r="W28" s="73">
        <f t="shared" si="2"/>
        <v>10</v>
      </c>
      <c r="X28" s="155">
        <f t="shared" si="3"/>
        <v>7.3439513160654512E-5</v>
      </c>
      <c r="Y28" s="365">
        <f t="shared" si="4"/>
        <v>1.7164301076335179E-4</v>
      </c>
      <c r="Z28" s="158">
        <f t="shared" si="5"/>
        <v>7.2760786786641116E-5</v>
      </c>
      <c r="AA28" s="365">
        <f t="shared" si="6"/>
        <v>3.8991746227158634E-4</v>
      </c>
      <c r="AB28" s="157">
        <f t="shared" si="7"/>
        <v>3.8499643236639342E-4</v>
      </c>
      <c r="AC28" s="158">
        <f>K28/$K$30</f>
        <v>3.9779146180406383E-4</v>
      </c>
      <c r="AD28" s="365">
        <f t="shared" si="9"/>
        <v>1.766774463465931E-4</v>
      </c>
      <c r="AE28" s="156">
        <f t="shared" si="10"/>
        <v>1.8475409230314451E-4</v>
      </c>
      <c r="AF28" s="158">
        <f t="shared" si="11"/>
        <v>1.9010539443067235E-4</v>
      </c>
    </row>
    <row r="29" spans="2:32" ht="6" customHeight="1" thickBot="1" x14ac:dyDescent="0.3">
      <c r="B29" s="59"/>
      <c r="C29" s="220"/>
      <c r="D29" s="176"/>
      <c r="E29" s="237"/>
      <c r="F29" s="220"/>
      <c r="G29" s="176"/>
      <c r="H29" s="221"/>
      <c r="I29" s="176"/>
      <c r="J29" s="122"/>
      <c r="K29" s="176"/>
      <c r="L29" s="220"/>
      <c r="M29" s="176"/>
      <c r="N29" s="221"/>
      <c r="O29" s="124"/>
      <c r="P29" s="125"/>
      <c r="Q29" s="55"/>
      <c r="R29" s="335"/>
      <c r="S29" s="55"/>
      <c r="T29" s="284"/>
      <c r="U29" s="55"/>
      <c r="V29" s="125"/>
      <c r="W29" s="55"/>
      <c r="X29" s="456"/>
      <c r="Y29" s="344"/>
      <c r="Z29" s="355"/>
      <c r="AA29" s="344"/>
      <c r="AB29" s="358"/>
      <c r="AC29" s="355"/>
      <c r="AD29" s="344"/>
      <c r="AE29" s="354"/>
      <c r="AF29" s="355"/>
    </row>
    <row r="30" spans="2:32" ht="24.95" customHeight="1" thickTop="1" thickBot="1" x14ac:dyDescent="0.3">
      <c r="B30" s="61" t="s">
        <v>13</v>
      </c>
      <c r="C30" s="457">
        <f>SUM(C11:C28)</f>
        <v>15829000</v>
      </c>
      <c r="D30" s="458">
        <f t="shared" ref="D30:E30" si="12">SUM(D11:D28)</f>
        <v>15731000</v>
      </c>
      <c r="E30" s="459">
        <f t="shared" si="12"/>
        <v>16048000</v>
      </c>
      <c r="F30" s="457">
        <f>SUM(F11:F28)</f>
        <v>1021248.6000000001</v>
      </c>
      <c r="G30" s="458">
        <f t="shared" ref="G30:N30" si="13">SUM(G11:G28)</f>
        <v>1048688.2</v>
      </c>
      <c r="H30" s="460">
        <f>SUM(H11:H28)</f>
        <v>1030775</v>
      </c>
      <c r="I30" s="458">
        <f t="shared" si="13"/>
        <v>192348.4</v>
      </c>
      <c r="J30" s="461">
        <f t="shared" si="13"/>
        <v>194807</v>
      </c>
      <c r="K30" s="458">
        <f t="shared" si="13"/>
        <v>188541</v>
      </c>
      <c r="L30" s="457">
        <f t="shared" si="13"/>
        <v>283001.59999999998</v>
      </c>
      <c r="M30" s="458">
        <f t="shared" si="13"/>
        <v>270630</v>
      </c>
      <c r="N30" s="460">
        <f t="shared" si="13"/>
        <v>263012</v>
      </c>
      <c r="O30" s="462"/>
      <c r="P30" s="462"/>
      <c r="Q30" s="463"/>
      <c r="R30" s="463"/>
      <c r="S30" s="463"/>
      <c r="T30" s="463"/>
      <c r="U30" s="463"/>
      <c r="V30" s="463"/>
      <c r="W30" s="463"/>
      <c r="X30" s="464">
        <f>SUM(X11:X28)</f>
        <v>0.99999999999999967</v>
      </c>
      <c r="Y30" s="465">
        <f t="shared" ref="Y30:AE30" si="14">SUM(Y11:Y28)</f>
        <v>1.0000000000000002</v>
      </c>
      <c r="Z30" s="466">
        <f t="shared" si="14"/>
        <v>0.99999999999999989</v>
      </c>
      <c r="AA30" s="465">
        <f t="shared" si="14"/>
        <v>1.0000000000000002</v>
      </c>
      <c r="AB30" s="467">
        <f t="shared" si="14"/>
        <v>0.99999999999999989</v>
      </c>
      <c r="AC30" s="466">
        <f t="shared" si="14"/>
        <v>0.99999999999999978</v>
      </c>
      <c r="AD30" s="465">
        <f t="shared" si="14"/>
        <v>1</v>
      </c>
      <c r="AE30" s="468">
        <f t="shared" si="14"/>
        <v>0.99999999999999989</v>
      </c>
      <c r="AF30" s="466">
        <f>SUM(AF11:AF28)</f>
        <v>0.99999999999999989</v>
      </c>
    </row>
    <row r="31" spans="2:32" ht="15.75" thickTop="1" x14ac:dyDescent="0.2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row>
    <row r="33" spans="1:61" x14ac:dyDescent="0.25">
      <c r="B33" s="66" t="s">
        <v>396</v>
      </c>
      <c r="C33" s="67"/>
      <c r="D33" s="67"/>
      <c r="E33" s="67"/>
      <c r="F33" s="67"/>
      <c r="G33" s="67"/>
      <c r="H33" s="67"/>
      <c r="I33" s="67"/>
      <c r="J33" s="67"/>
      <c r="K33" s="67"/>
    </row>
    <row r="34" spans="1:61" x14ac:dyDescent="0.25">
      <c r="A34" s="21"/>
      <c r="B34" s="67" t="s">
        <v>173</v>
      </c>
      <c r="C34" s="67"/>
      <c r="D34" s="67"/>
      <c r="E34" s="68"/>
      <c r="F34" s="68"/>
      <c r="G34" s="68"/>
      <c r="H34" s="68"/>
      <c r="I34" s="68"/>
      <c r="J34" s="68"/>
      <c r="K34" s="68"/>
      <c r="L34"/>
      <c r="M34"/>
      <c r="N34"/>
      <c r="O34"/>
      <c r="R34"/>
      <c r="S34"/>
      <c r="T34"/>
      <c r="U34"/>
      <c r="V34"/>
      <c r="W34"/>
      <c r="X34"/>
      <c r="Y34"/>
      <c r="Z34"/>
      <c r="AA34"/>
      <c r="AB34"/>
      <c r="AC34"/>
      <c r="AD34"/>
      <c r="AE34"/>
      <c r="AF34"/>
      <c r="AG34"/>
      <c r="AH34"/>
      <c r="AI34"/>
      <c r="AJ34"/>
      <c r="AK34"/>
      <c r="AL34"/>
    </row>
    <row r="35" spans="1:61" x14ac:dyDescent="0.25">
      <c r="A35" s="21"/>
      <c r="B35" s="67"/>
      <c r="C35" s="67"/>
      <c r="D35" s="67"/>
      <c r="E35" s="68"/>
      <c r="F35" s="68"/>
      <c r="G35" s="68"/>
      <c r="H35" s="68"/>
      <c r="I35" s="68"/>
      <c r="J35" s="68"/>
      <c r="K35" s="68"/>
      <c r="L35"/>
      <c r="M35"/>
      <c r="N35"/>
      <c r="O35"/>
      <c r="R35"/>
      <c r="S35"/>
      <c r="T35"/>
      <c r="U35"/>
      <c r="V35"/>
      <c r="W35"/>
      <c r="X35"/>
      <c r="Y35"/>
      <c r="Z35"/>
      <c r="AA35"/>
      <c r="AB35"/>
      <c r="AC35"/>
      <c r="AD35"/>
      <c r="AE35"/>
      <c r="AF35"/>
      <c r="AG35"/>
      <c r="AH35"/>
      <c r="AI35"/>
      <c r="AJ35"/>
      <c r="AK35"/>
      <c r="AL35"/>
    </row>
    <row r="36" spans="1:61" x14ac:dyDescent="0.25">
      <c r="A36"/>
      <c r="B36" s="79" t="s">
        <v>397</v>
      </c>
      <c r="C36" s="68"/>
      <c r="D36" s="68"/>
      <c r="E36" s="68"/>
      <c r="F36" s="68"/>
      <c r="G36" s="68"/>
      <c r="H36" s="68"/>
      <c r="I36" s="68"/>
      <c r="J36" s="68"/>
      <c r="K36" s="68"/>
      <c r="L36"/>
      <c r="M36"/>
      <c r="N36"/>
      <c r="O36"/>
      <c r="P36"/>
      <c r="Q36"/>
      <c r="R36"/>
      <c r="S36"/>
      <c r="T36"/>
      <c r="U36"/>
      <c r="V36"/>
      <c r="W36"/>
      <c r="X36"/>
      <c r="Y36"/>
      <c r="Z36"/>
      <c r="AA36"/>
      <c r="AB36"/>
      <c r="AC36"/>
      <c r="AD36"/>
      <c r="AE36"/>
      <c r="AF36"/>
      <c r="AG36"/>
      <c r="AH36"/>
      <c r="AI36"/>
      <c r="AJ36"/>
      <c r="AK36"/>
      <c r="AL36"/>
    </row>
    <row r="37" spans="1:61" x14ac:dyDescent="0.25">
      <c r="A37" s="21"/>
      <c r="B37" s="68" t="s">
        <v>172</v>
      </c>
      <c r="C37" s="68"/>
      <c r="D37" s="68"/>
      <c r="E37" s="68"/>
      <c r="F37" s="68"/>
      <c r="G37" s="68"/>
      <c r="H37" s="68"/>
      <c r="I37" s="68"/>
      <c r="J37" s="68"/>
      <c r="K37" s="68"/>
      <c r="L37"/>
      <c r="M37"/>
      <c r="N37"/>
      <c r="O37"/>
      <c r="P37"/>
      <c r="Q37"/>
      <c r="R37"/>
      <c r="S37"/>
      <c r="T37"/>
      <c r="U37"/>
      <c r="V37"/>
      <c r="W37"/>
      <c r="X37"/>
      <c r="Y37"/>
      <c r="Z37"/>
      <c r="AA37"/>
      <c r="AB37"/>
      <c r="AC37"/>
      <c r="AD37"/>
      <c r="AE37"/>
      <c r="AF37"/>
      <c r="AG37"/>
      <c r="AH37"/>
      <c r="AI37"/>
      <c r="AJ37"/>
      <c r="AK37"/>
      <c r="AL37"/>
    </row>
    <row r="38" spans="1:61" x14ac:dyDescent="0.25">
      <c r="A38"/>
      <c r="B38" s="69" t="s">
        <v>179</v>
      </c>
      <c r="C38" s="67"/>
      <c r="D38" s="67"/>
      <c r="E38" s="67"/>
      <c r="F38" s="68"/>
      <c r="G38" s="68"/>
      <c r="H38" s="68"/>
      <c r="I38" s="68"/>
      <c r="J38" s="68"/>
      <c r="K38" s="68"/>
      <c r="L38"/>
      <c r="M38"/>
      <c r="N38"/>
      <c r="AB38" s="22"/>
      <c r="AC38" s="22"/>
      <c r="AH38"/>
      <c r="AI38"/>
      <c r="AJ38"/>
      <c r="AK38"/>
      <c r="AL38"/>
      <c r="AR38" s="7"/>
      <c r="AS38" s="7"/>
      <c r="AT38" s="7"/>
      <c r="AU38" s="7"/>
      <c r="AV38" s="7"/>
      <c r="AW38" s="7"/>
      <c r="AX38" s="7"/>
      <c r="AY38" s="7"/>
      <c r="AZ38" s="7"/>
      <c r="BA38" s="7"/>
      <c r="BB38" s="7"/>
      <c r="BC38" s="7"/>
      <c r="BD38" s="7"/>
      <c r="BE38" s="7"/>
      <c r="BF38" s="7"/>
      <c r="BG38" s="7"/>
      <c r="BH38" s="7"/>
      <c r="BI38" s="7"/>
    </row>
    <row r="39" spans="1:61" x14ac:dyDescent="0.25">
      <c r="B39" s="69" t="s">
        <v>382</v>
      </c>
      <c r="C39" s="67"/>
      <c r="D39" s="67"/>
      <c r="E39" s="67"/>
      <c r="F39" s="67"/>
      <c r="G39" s="67"/>
      <c r="H39" s="67"/>
      <c r="I39" s="67"/>
      <c r="J39" s="67"/>
      <c r="K39" s="67"/>
    </row>
    <row r="40" spans="1:61" x14ac:dyDescent="0.25">
      <c r="B40" s="69"/>
      <c r="C40" s="67"/>
      <c r="D40" s="67"/>
      <c r="E40" s="67"/>
      <c r="F40" s="67"/>
      <c r="G40" s="67"/>
      <c r="H40" s="67"/>
      <c r="I40" s="67"/>
      <c r="J40" s="67"/>
      <c r="K40" s="67"/>
    </row>
    <row r="41" spans="1:61" x14ac:dyDescent="0.25">
      <c r="B41" s="79" t="s">
        <v>398</v>
      </c>
      <c r="C41" s="67"/>
      <c r="D41" s="67"/>
      <c r="E41" s="67"/>
      <c r="F41" s="67"/>
      <c r="G41" s="67"/>
      <c r="H41" s="67"/>
      <c r="I41" s="67"/>
      <c r="J41" s="67"/>
      <c r="K41" s="67"/>
    </row>
  </sheetData>
  <mergeCells count="19">
    <mergeCell ref="L8:N8"/>
    <mergeCell ref="O8:Q8"/>
    <mergeCell ref="R8:T8"/>
    <mergeCell ref="C6:E6"/>
    <mergeCell ref="F6:N6"/>
    <mergeCell ref="O6:W6"/>
    <mergeCell ref="X6:AF6"/>
    <mergeCell ref="B7:B8"/>
    <mergeCell ref="U8:W8"/>
    <mergeCell ref="X8:Z8"/>
    <mergeCell ref="AA8:AC8"/>
    <mergeCell ref="AD8:AF8"/>
    <mergeCell ref="C7:E7"/>
    <mergeCell ref="F7:N7"/>
    <mergeCell ref="O7:W7"/>
    <mergeCell ref="X7:AF7"/>
    <mergeCell ref="C8:E8"/>
    <mergeCell ref="F8:H8"/>
    <mergeCell ref="I8:K8"/>
  </mergeCells>
  <hyperlinks>
    <hyperlink ref="B1" location="Start!A1" display="Back to home page" xr:uid="{836CEC39-E1B2-46BD-97B8-176ED76A9427}"/>
  </hyperlinks>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13C45-9A48-4651-98E1-8E4920725569}">
  <sheetPr>
    <tabColor theme="9" tint="0.39997558519241921"/>
  </sheetPr>
  <dimension ref="A1:W5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20" sqref="B20"/>
    </sheetView>
  </sheetViews>
  <sheetFormatPr defaultColWidth="11.42578125" defaultRowHeight="15" x14ac:dyDescent="0.25"/>
  <cols>
    <col min="1" max="1" width="2.7109375" customWidth="1"/>
    <col min="2" max="2" width="56.28515625" customWidth="1"/>
    <col min="3" max="3" width="18.7109375" customWidth="1"/>
    <col min="4" max="4" width="18.7109375" style="2" customWidth="1"/>
    <col min="5" max="5" width="18.7109375" style="29" customWidth="1"/>
    <col min="6" max="8" width="15.7109375" customWidth="1"/>
    <col min="9" max="17" width="15.7109375" style="2" customWidth="1"/>
  </cols>
  <sheetData>
    <row r="1" spans="1:23" x14ac:dyDescent="0.25">
      <c r="A1" s="21"/>
      <c r="B1" s="546" t="s">
        <v>432</v>
      </c>
      <c r="C1" s="20"/>
      <c r="D1" s="32"/>
      <c r="E1" s="33"/>
      <c r="F1" s="20"/>
      <c r="G1" s="20"/>
      <c r="H1" s="20"/>
      <c r="I1" s="32"/>
      <c r="J1" s="32"/>
      <c r="K1" s="32"/>
      <c r="L1" s="32"/>
      <c r="O1" s="30"/>
    </row>
    <row r="2" spans="1:23" x14ac:dyDescent="0.25">
      <c r="A2" s="21"/>
      <c r="B2" s="7"/>
      <c r="G2" s="7"/>
      <c r="O2" s="30"/>
    </row>
    <row r="3" spans="1:23" x14ac:dyDescent="0.25">
      <c r="A3" s="21"/>
      <c r="B3" s="7"/>
      <c r="G3" s="7"/>
      <c r="O3" s="30"/>
    </row>
    <row r="4" spans="1:23" x14ac:dyDescent="0.25">
      <c r="A4" s="21"/>
      <c r="B4" s="7"/>
      <c r="G4" s="7"/>
      <c r="O4" s="30"/>
    </row>
    <row r="5" spans="1:23" ht="15.75" thickBot="1" x14ac:dyDescent="0.3"/>
    <row r="6" spans="1:23" ht="34.9" customHeight="1" thickTop="1" x14ac:dyDescent="0.3">
      <c r="B6" s="38" t="s">
        <v>387</v>
      </c>
      <c r="C6" s="589" t="s">
        <v>420</v>
      </c>
      <c r="D6" s="589" t="s">
        <v>421</v>
      </c>
      <c r="E6" s="589" t="s">
        <v>422</v>
      </c>
      <c r="F6" s="589" t="s">
        <v>389</v>
      </c>
      <c r="G6" s="589"/>
      <c r="H6" s="589"/>
      <c r="I6" s="589" t="s">
        <v>424</v>
      </c>
      <c r="J6" s="589"/>
      <c r="K6" s="589"/>
      <c r="L6" s="589" t="s">
        <v>425</v>
      </c>
      <c r="M6" s="589"/>
      <c r="N6" s="589"/>
      <c r="O6" s="589" t="s">
        <v>399</v>
      </c>
      <c r="P6" s="589"/>
      <c r="Q6" s="589"/>
    </row>
    <row r="7" spans="1:23" ht="25.15" customHeight="1" thickBot="1" x14ac:dyDescent="0.3">
      <c r="B7" s="596" t="s">
        <v>248</v>
      </c>
      <c r="C7" s="590"/>
      <c r="D7" s="590"/>
      <c r="E7" s="590"/>
      <c r="F7" s="591" t="s">
        <v>423</v>
      </c>
      <c r="G7" s="591"/>
      <c r="H7" s="591"/>
      <c r="I7" s="591" t="s">
        <v>415</v>
      </c>
      <c r="J7" s="591"/>
      <c r="K7" s="591"/>
      <c r="L7" s="591" t="s">
        <v>415</v>
      </c>
      <c r="M7" s="591"/>
      <c r="N7" s="591"/>
      <c r="O7" s="591" t="s">
        <v>0</v>
      </c>
      <c r="P7" s="591"/>
      <c r="Q7" s="591"/>
    </row>
    <row r="8" spans="1:23" s="1" customFormat="1" ht="34.15" customHeight="1" thickTop="1" thickBot="1" x14ac:dyDescent="0.3">
      <c r="B8" s="596"/>
      <c r="C8" s="203" t="s">
        <v>405</v>
      </c>
      <c r="D8" s="563" t="s">
        <v>0</v>
      </c>
      <c r="E8" s="562" t="s">
        <v>405</v>
      </c>
      <c r="F8" s="541" t="s">
        <v>388</v>
      </c>
      <c r="G8" s="40" t="s">
        <v>394</v>
      </c>
      <c r="H8" s="541" t="s">
        <v>395</v>
      </c>
      <c r="I8" s="541" t="s">
        <v>388</v>
      </c>
      <c r="J8" s="541" t="s">
        <v>426</v>
      </c>
      <c r="K8" s="541" t="s">
        <v>395</v>
      </c>
      <c r="L8" s="541" t="s">
        <v>391</v>
      </c>
      <c r="M8" s="541" t="s">
        <v>394</v>
      </c>
      <c r="N8" s="541" t="s">
        <v>427</v>
      </c>
      <c r="O8" s="541" t="s">
        <v>388</v>
      </c>
      <c r="P8" s="541" t="s">
        <v>394</v>
      </c>
      <c r="Q8" s="541" t="s">
        <v>395</v>
      </c>
    </row>
    <row r="9" spans="1:23" ht="34.15" customHeight="1" thickTop="1" thickBot="1" x14ac:dyDescent="0.3">
      <c r="B9" s="407" t="s">
        <v>393</v>
      </c>
      <c r="C9" s="411">
        <v>2018</v>
      </c>
      <c r="D9" s="415">
        <v>2018</v>
      </c>
      <c r="E9" s="403">
        <v>2018</v>
      </c>
      <c r="F9" s="411">
        <v>2018</v>
      </c>
      <c r="G9" s="415">
        <v>2018</v>
      </c>
      <c r="H9" s="405">
        <v>2018</v>
      </c>
      <c r="I9" s="415">
        <v>2018</v>
      </c>
      <c r="J9" s="415">
        <v>2018</v>
      </c>
      <c r="K9" s="415">
        <v>2018</v>
      </c>
      <c r="L9" s="415">
        <v>2018</v>
      </c>
      <c r="M9" s="415">
        <v>2018</v>
      </c>
      <c r="N9" s="415">
        <v>2018</v>
      </c>
      <c r="O9" s="415">
        <v>2018</v>
      </c>
      <c r="P9" s="415">
        <v>2018</v>
      </c>
      <c r="Q9" s="415">
        <v>2018</v>
      </c>
      <c r="R9" s="406"/>
      <c r="S9" s="404"/>
    </row>
    <row r="10" spans="1:23" ht="6" customHeight="1" thickTop="1" x14ac:dyDescent="0.25">
      <c r="B10" s="408"/>
      <c r="C10" s="412"/>
      <c r="D10" s="416"/>
      <c r="E10" s="419"/>
      <c r="F10" s="401"/>
      <c r="G10" s="416"/>
      <c r="H10" s="421"/>
      <c r="I10" s="416"/>
      <c r="J10" s="416"/>
      <c r="K10" s="416"/>
      <c r="L10" s="416"/>
      <c r="M10" s="416"/>
      <c r="N10" s="416"/>
      <c r="O10" s="424"/>
      <c r="P10" s="424"/>
      <c r="Q10" s="424"/>
    </row>
    <row r="11" spans="1:23" s="31" customFormat="1" x14ac:dyDescent="0.25">
      <c r="B11" s="409" t="s">
        <v>233</v>
      </c>
      <c r="C11" s="413">
        <v>16079300</v>
      </c>
      <c r="D11" s="417">
        <v>0.90500000000000003</v>
      </c>
      <c r="E11" s="420">
        <f t="shared" ref="E11:E23" si="0">C11/D11</f>
        <v>17767182.320441987</v>
      </c>
      <c r="F11" s="399">
        <v>1434463.3333333333</v>
      </c>
      <c r="G11" s="420">
        <v>349463.33333333337</v>
      </c>
      <c r="H11" s="422">
        <v>363443.33333333331</v>
      </c>
      <c r="I11" s="425">
        <f>IFERROR(F11*1000/C11,"-")</f>
        <v>89.211802337995636</v>
      </c>
      <c r="J11" s="426">
        <f>IFERROR(G11*1000/C11,"-")</f>
        <v>21.733740482069081</v>
      </c>
      <c r="K11" s="426">
        <f>IFERROR(H11*1000/C11,"-")</f>
        <v>22.603181315936222</v>
      </c>
      <c r="L11" s="427">
        <f t="shared" ref="L11:L23" si="1">F11*1000/E11</f>
        <v>80.736681115886057</v>
      </c>
      <c r="M11" s="427">
        <f t="shared" ref="M11:M23" si="2">G11*1000/E11</f>
        <v>19.66903513627252</v>
      </c>
      <c r="N11" s="427">
        <f t="shared" ref="N11:N23" si="3">H11*1000/E11</f>
        <v>20.455879090922284</v>
      </c>
      <c r="O11" s="428">
        <f t="shared" ref="O11:Q26" si="4">F11/F$28</f>
        <v>0.99869807379902542</v>
      </c>
      <c r="P11" s="428">
        <f t="shared" si="4"/>
        <v>0.99837158365869938</v>
      </c>
      <c r="Q11" s="428">
        <f t="shared" si="4"/>
        <v>0.99772149118793596</v>
      </c>
      <c r="R11" s="396"/>
      <c r="S11" s="396"/>
      <c r="T11" s="396"/>
      <c r="U11" s="396"/>
      <c r="V11" s="396"/>
      <c r="W11" s="396"/>
    </row>
    <row r="12" spans="1:23" s="29" customFormat="1" x14ac:dyDescent="0.25">
      <c r="B12" s="434" t="s">
        <v>234</v>
      </c>
      <c r="C12" s="435">
        <v>4492700</v>
      </c>
      <c r="D12" s="436">
        <v>0.95599999999999996</v>
      </c>
      <c r="E12" s="198">
        <f t="shared" si="0"/>
        <v>4699476.9874476986</v>
      </c>
      <c r="F12" s="313">
        <v>487646.66666666674</v>
      </c>
      <c r="G12" s="198">
        <v>90766.666666666672</v>
      </c>
      <c r="H12" s="437">
        <v>89796.666666666672</v>
      </c>
      <c r="I12" s="438">
        <f t="shared" ref="I12:I26" si="5">IFERROR(F12*1000/C12,"-")</f>
        <v>108.5420051787715</v>
      </c>
      <c r="J12" s="438">
        <f t="shared" ref="J12:J26" si="6">IFERROR(G12*1000/C12,"-")</f>
        <v>20.203144360110105</v>
      </c>
      <c r="K12" s="438">
        <f t="shared" ref="K12:K26" si="7">IFERROR(H12*1000/C12,"-")</f>
        <v>19.987238557363426</v>
      </c>
      <c r="L12" s="439">
        <f t="shared" si="1"/>
        <v>103.76615695090557</v>
      </c>
      <c r="M12" s="439">
        <f t="shared" si="2"/>
        <v>19.314206008265263</v>
      </c>
      <c r="N12" s="439">
        <f t="shared" si="3"/>
        <v>19.107800060839438</v>
      </c>
      <c r="O12" s="440">
        <f t="shared" si="4"/>
        <v>0.33950800649802754</v>
      </c>
      <c r="P12" s="440">
        <f t="shared" si="4"/>
        <v>0.25930863727264075</v>
      </c>
      <c r="Q12" s="440">
        <f t="shared" si="4"/>
        <v>0.24650903167950813</v>
      </c>
      <c r="R12" s="397"/>
      <c r="S12" s="397"/>
      <c r="T12" s="397"/>
      <c r="U12" s="397"/>
      <c r="V12" s="397"/>
      <c r="W12" s="397"/>
    </row>
    <row r="13" spans="1:23" s="29" customFormat="1" x14ac:dyDescent="0.25">
      <c r="B13" s="410" t="s">
        <v>235</v>
      </c>
      <c r="C13" s="414">
        <v>3105000</v>
      </c>
      <c r="D13" s="418">
        <v>0.94700000000000006</v>
      </c>
      <c r="E13" s="341">
        <f t="shared" si="0"/>
        <v>3278775.0791974654</v>
      </c>
      <c r="F13" s="400">
        <v>350153.33333333331</v>
      </c>
      <c r="G13" s="341">
        <v>63393.333333333328</v>
      </c>
      <c r="H13" s="423">
        <v>68973.333333333328</v>
      </c>
      <c r="I13" s="425">
        <f t="shared" si="5"/>
        <v>112.77079978529254</v>
      </c>
      <c r="J13" s="425">
        <f t="shared" si="6"/>
        <v>20.416532474503487</v>
      </c>
      <c r="K13" s="425">
        <f t="shared" si="7"/>
        <v>22.21363392377885</v>
      </c>
      <c r="L13" s="429">
        <f t="shared" si="1"/>
        <v>106.79394739667204</v>
      </c>
      <c r="M13" s="429">
        <f t="shared" si="2"/>
        <v>19.334456253354805</v>
      </c>
      <c r="N13" s="429">
        <f t="shared" si="3"/>
        <v>21.036311325818573</v>
      </c>
      <c r="O13" s="430">
        <f t="shared" si="4"/>
        <v>0.243782780227431</v>
      </c>
      <c r="P13" s="430">
        <f t="shared" si="4"/>
        <v>0.18110656127987809</v>
      </c>
      <c r="Q13" s="430">
        <f t="shared" si="4"/>
        <v>0.18934499734631507</v>
      </c>
      <c r="R13" s="397"/>
      <c r="S13" s="397"/>
      <c r="T13" s="397"/>
      <c r="U13" s="397"/>
      <c r="V13" s="397"/>
      <c r="W13" s="397"/>
    </row>
    <row r="14" spans="1:23" s="29" customFormat="1" x14ac:dyDescent="0.25">
      <c r="B14" s="434" t="s">
        <v>236</v>
      </c>
      <c r="C14" s="435">
        <v>1625500</v>
      </c>
      <c r="D14" s="436">
        <v>0.84900000000000009</v>
      </c>
      <c r="E14" s="198">
        <f t="shared" si="0"/>
        <v>1914605.4181389869</v>
      </c>
      <c r="F14" s="313">
        <v>117570</v>
      </c>
      <c r="G14" s="198">
        <v>31920</v>
      </c>
      <c r="H14" s="437">
        <v>32020.000000000004</v>
      </c>
      <c r="I14" s="438">
        <f t="shared" si="5"/>
        <v>72.3285143032913</v>
      </c>
      <c r="J14" s="438">
        <f t="shared" si="6"/>
        <v>19.637034758535837</v>
      </c>
      <c r="K14" s="438">
        <f t="shared" si="7"/>
        <v>19.698554290987392</v>
      </c>
      <c r="L14" s="439">
        <f t="shared" si="1"/>
        <v>61.406908643494312</v>
      </c>
      <c r="M14" s="439">
        <f t="shared" si="2"/>
        <v>16.671842509996925</v>
      </c>
      <c r="N14" s="439">
        <f t="shared" si="3"/>
        <v>16.724072593048295</v>
      </c>
      <c r="O14" s="440">
        <f t="shared" si="4"/>
        <v>8.1854258528660961E-2</v>
      </c>
      <c r="P14" s="440">
        <f t="shared" si="4"/>
        <v>9.1191315112846394E-2</v>
      </c>
      <c r="Q14" s="440">
        <f t="shared" si="4"/>
        <v>8.7901026701561122E-2</v>
      </c>
      <c r="R14" s="397"/>
      <c r="S14" s="397"/>
      <c r="T14" s="397"/>
      <c r="U14" s="397"/>
      <c r="V14" s="397"/>
      <c r="W14" s="397"/>
    </row>
    <row r="15" spans="1:23" s="29" customFormat="1" x14ac:dyDescent="0.25">
      <c r="B15" s="410" t="s">
        <v>237</v>
      </c>
      <c r="C15" s="414">
        <v>1136300</v>
      </c>
      <c r="D15" s="418">
        <v>0.83099999999999996</v>
      </c>
      <c r="E15" s="341">
        <f t="shared" si="0"/>
        <v>1367388.6883273167</v>
      </c>
      <c r="F15" s="400">
        <v>50150</v>
      </c>
      <c r="G15" s="341">
        <v>20750</v>
      </c>
      <c r="H15" s="423">
        <v>21710</v>
      </c>
      <c r="I15" s="425">
        <f t="shared" si="5"/>
        <v>44.134471530405705</v>
      </c>
      <c r="J15" s="425">
        <f t="shared" si="6"/>
        <v>18.261022617266566</v>
      </c>
      <c r="K15" s="425">
        <f t="shared" si="7"/>
        <v>19.105869928716007</v>
      </c>
      <c r="L15" s="429">
        <f t="shared" si="1"/>
        <v>36.675745841767132</v>
      </c>
      <c r="M15" s="429">
        <f t="shared" si="2"/>
        <v>15.174909794948515</v>
      </c>
      <c r="N15" s="429">
        <f t="shared" si="3"/>
        <v>15.876977910763001</v>
      </c>
      <c r="O15" s="430">
        <f t="shared" si="4"/>
        <v>3.4915293571594348E-2</v>
      </c>
      <c r="P15" s="430">
        <f t="shared" si="4"/>
        <v>5.9280068564898585E-2</v>
      </c>
      <c r="Q15" s="430">
        <f t="shared" si="4"/>
        <v>5.9598103987847963E-2</v>
      </c>
      <c r="R15" s="397"/>
      <c r="S15" s="397"/>
      <c r="T15" s="397"/>
      <c r="U15" s="397"/>
      <c r="V15" s="397"/>
      <c r="W15" s="397"/>
    </row>
    <row r="16" spans="1:23" s="29" customFormat="1" x14ac:dyDescent="0.25">
      <c r="B16" s="434" t="s">
        <v>295</v>
      </c>
      <c r="C16" s="435">
        <v>919200</v>
      </c>
      <c r="D16" s="436">
        <v>0.93099999999999994</v>
      </c>
      <c r="E16" s="198">
        <f t="shared" si="0"/>
        <v>987325.4564983889</v>
      </c>
      <c r="F16" s="313">
        <v>124656.66666666666</v>
      </c>
      <c r="G16" s="198">
        <v>24976.666666666668</v>
      </c>
      <c r="H16" s="437">
        <v>25786.666666666668</v>
      </c>
      <c r="I16" s="438">
        <f t="shared" si="5"/>
        <v>135.61430229184796</v>
      </c>
      <c r="J16" s="438">
        <f t="shared" si="6"/>
        <v>27.172178706121265</v>
      </c>
      <c r="K16" s="438">
        <f t="shared" si="7"/>
        <v>28.053379750507688</v>
      </c>
      <c r="L16" s="439">
        <f t="shared" si="1"/>
        <v>126.25691543371046</v>
      </c>
      <c r="M16" s="439">
        <f t="shared" si="2"/>
        <v>25.297298375398896</v>
      </c>
      <c r="N16" s="439">
        <f t="shared" si="3"/>
        <v>26.117696547722655</v>
      </c>
      <c r="O16" s="440">
        <f t="shared" si="4"/>
        <v>8.6788117892782554E-2</v>
      </c>
      <c r="P16" s="440">
        <f t="shared" si="4"/>
        <v>7.1355109037234563E-2</v>
      </c>
      <c r="Q16" s="440">
        <f t="shared" si="4"/>
        <v>7.0789334016580968E-2</v>
      </c>
      <c r="R16" s="397"/>
      <c r="S16" s="397"/>
      <c r="T16" s="397"/>
      <c r="U16" s="397"/>
      <c r="V16" s="397"/>
      <c r="W16" s="397"/>
    </row>
    <row r="17" spans="1:23" s="29" customFormat="1" x14ac:dyDescent="0.25">
      <c r="B17" s="410" t="s">
        <v>238</v>
      </c>
      <c r="C17" s="414">
        <v>4132100.0000000005</v>
      </c>
      <c r="D17" s="418">
        <v>0.9</v>
      </c>
      <c r="E17" s="341">
        <f t="shared" si="0"/>
        <v>4591222.2222222229</v>
      </c>
      <c r="F17" s="400">
        <v>231023.33333333337</v>
      </c>
      <c r="G17" s="341">
        <v>97053.333333333343</v>
      </c>
      <c r="H17" s="423">
        <v>97863.333333333343</v>
      </c>
      <c r="I17" s="425">
        <f t="shared" si="5"/>
        <v>55.909424586368516</v>
      </c>
      <c r="J17" s="425">
        <f t="shared" si="6"/>
        <v>23.48765357405032</v>
      </c>
      <c r="K17" s="425">
        <f t="shared" si="7"/>
        <v>23.683679807684552</v>
      </c>
      <c r="L17" s="429">
        <f t="shared" si="1"/>
        <v>50.318482127731663</v>
      </c>
      <c r="M17" s="429">
        <f t="shared" si="2"/>
        <v>21.138888216645288</v>
      </c>
      <c r="N17" s="429">
        <f t="shared" si="3"/>
        <v>21.315311826916094</v>
      </c>
      <c r="O17" s="430">
        <f t="shared" si="4"/>
        <v>0.16084242283592487</v>
      </c>
      <c r="P17" s="430">
        <f t="shared" si="4"/>
        <v>0.27726883153985338</v>
      </c>
      <c r="Q17" s="430">
        <f t="shared" si="4"/>
        <v>0.26865357515418831</v>
      </c>
      <c r="R17" s="397"/>
      <c r="S17" s="397"/>
      <c r="T17" s="397"/>
      <c r="U17" s="397"/>
      <c r="V17" s="397"/>
      <c r="W17" s="397"/>
    </row>
    <row r="18" spans="1:23" s="29" customFormat="1" x14ac:dyDescent="0.25">
      <c r="B18" s="434" t="s">
        <v>239</v>
      </c>
      <c r="C18" s="435">
        <v>231600</v>
      </c>
      <c r="D18" s="436">
        <v>0.93700000000000006</v>
      </c>
      <c r="E18" s="198">
        <f t="shared" si="0"/>
        <v>247171.82497331908</v>
      </c>
      <c r="F18" s="313">
        <v>41990</v>
      </c>
      <c r="G18" s="198">
        <v>13810</v>
      </c>
      <c r="H18" s="437">
        <v>18189.999999999996</v>
      </c>
      <c r="I18" s="438">
        <f t="shared" si="5"/>
        <v>181.30397236614854</v>
      </c>
      <c r="J18" s="438">
        <f t="shared" si="6"/>
        <v>59.6286701208981</v>
      </c>
      <c r="K18" s="438">
        <f t="shared" si="7"/>
        <v>78.540587219343678</v>
      </c>
      <c r="L18" s="439">
        <f t="shared" si="1"/>
        <v>169.88182210708121</v>
      </c>
      <c r="M18" s="439">
        <f t="shared" si="2"/>
        <v>55.872063903281528</v>
      </c>
      <c r="N18" s="439">
        <f t="shared" si="3"/>
        <v>73.592530224525035</v>
      </c>
      <c r="O18" s="440">
        <f t="shared" si="4"/>
        <v>2.9234161058250181E-2</v>
      </c>
      <c r="P18" s="440">
        <f t="shared" si="4"/>
        <v>3.9453385391867442E-2</v>
      </c>
      <c r="Q18" s="440">
        <f t="shared" si="4"/>
        <v>4.993503047162387E-2</v>
      </c>
      <c r="R18" s="397"/>
      <c r="S18" s="397"/>
      <c r="T18" s="397"/>
      <c r="U18" s="397"/>
      <c r="V18" s="397"/>
      <c r="W18" s="397"/>
    </row>
    <row r="19" spans="1:23" s="29" customFormat="1" x14ac:dyDescent="0.25">
      <c r="B19" s="410" t="s">
        <v>240</v>
      </c>
      <c r="C19" s="414">
        <v>67500</v>
      </c>
      <c r="D19" s="418">
        <v>0.68900000000000006</v>
      </c>
      <c r="E19" s="341">
        <f t="shared" si="0"/>
        <v>97968.06966618287</v>
      </c>
      <c r="F19" s="400">
        <v>3260</v>
      </c>
      <c r="G19" s="341">
        <v>960</v>
      </c>
      <c r="H19" s="423">
        <v>930.00000000000011</v>
      </c>
      <c r="I19" s="425">
        <f t="shared" si="5"/>
        <v>48.296296296296298</v>
      </c>
      <c r="J19" s="425">
        <f t="shared" si="6"/>
        <v>14.222222222222221</v>
      </c>
      <c r="K19" s="425">
        <f t="shared" si="7"/>
        <v>13.77777777777778</v>
      </c>
      <c r="L19" s="429">
        <f t="shared" si="1"/>
        <v>33.276148148148152</v>
      </c>
      <c r="M19" s="429">
        <f t="shared" si="2"/>
        <v>9.7991111111111113</v>
      </c>
      <c r="N19" s="429">
        <f t="shared" si="3"/>
        <v>9.4928888888888903</v>
      </c>
      <c r="O19" s="430">
        <f t="shared" si="4"/>
        <v>2.2696681364585756E-3</v>
      </c>
      <c r="P19" s="430">
        <f t="shared" si="4"/>
        <v>2.7425959432435007E-3</v>
      </c>
      <c r="Q19" s="430">
        <f t="shared" si="4"/>
        <v>2.5530279460478406E-3</v>
      </c>
      <c r="R19" s="397"/>
      <c r="S19" s="397"/>
      <c r="T19" s="397"/>
      <c r="U19" s="397"/>
      <c r="V19" s="397"/>
      <c r="W19" s="397"/>
    </row>
    <row r="20" spans="1:23" s="29" customFormat="1" x14ac:dyDescent="0.25">
      <c r="B20" s="434" t="s">
        <v>241</v>
      </c>
      <c r="C20" s="435">
        <v>12100</v>
      </c>
      <c r="D20" s="436">
        <v>0.87400000000000011</v>
      </c>
      <c r="E20" s="198">
        <f t="shared" si="0"/>
        <v>13844.393592677343</v>
      </c>
      <c r="F20" s="313">
        <v>2203.333333333333</v>
      </c>
      <c r="G20" s="198">
        <v>913.33333333333348</v>
      </c>
      <c r="H20" s="437">
        <v>1993.3333333333333</v>
      </c>
      <c r="I20" s="438">
        <f t="shared" si="5"/>
        <v>182.09366391184571</v>
      </c>
      <c r="J20" s="438">
        <f t="shared" si="6"/>
        <v>75.482093663911854</v>
      </c>
      <c r="K20" s="438">
        <f t="shared" si="7"/>
        <v>164.73829201101927</v>
      </c>
      <c r="L20" s="439">
        <f t="shared" si="1"/>
        <v>159.14986225895316</v>
      </c>
      <c r="M20" s="439">
        <f t="shared" si="2"/>
        <v>65.971349862258975</v>
      </c>
      <c r="N20" s="439">
        <f t="shared" si="3"/>
        <v>143.98126721763089</v>
      </c>
      <c r="O20" s="440">
        <f t="shared" si="4"/>
        <v>1.5339986075655605E-3</v>
      </c>
      <c r="P20" s="440">
        <f t="shared" si="4"/>
        <v>2.6092753071136087E-3</v>
      </c>
      <c r="Q20" s="440">
        <f t="shared" si="4"/>
        <v>5.4720814040738648E-3</v>
      </c>
      <c r="R20" s="397"/>
      <c r="S20" s="397"/>
      <c r="T20" s="397"/>
      <c r="U20" s="397"/>
      <c r="V20" s="397"/>
      <c r="W20" s="397"/>
    </row>
    <row r="21" spans="1:23" s="29" customFormat="1" x14ac:dyDescent="0.25">
      <c r="B21" s="410" t="s">
        <v>242</v>
      </c>
      <c r="C21" s="414">
        <v>27600</v>
      </c>
      <c r="D21" s="418">
        <v>0.88700000000000001</v>
      </c>
      <c r="E21" s="341">
        <f t="shared" si="0"/>
        <v>31116.121758737318</v>
      </c>
      <c r="F21" s="400">
        <v>3966.666666666667</v>
      </c>
      <c r="G21" s="341">
        <v>1266.6666666666667</v>
      </c>
      <c r="H21" s="423">
        <v>1956.6666666666667</v>
      </c>
      <c r="I21" s="425">
        <f t="shared" si="5"/>
        <v>143.71980676328505</v>
      </c>
      <c r="J21" s="425">
        <f t="shared" si="6"/>
        <v>45.893719806763286</v>
      </c>
      <c r="K21" s="425">
        <f t="shared" si="7"/>
        <v>70.893719806763286</v>
      </c>
      <c r="L21" s="429">
        <f t="shared" si="1"/>
        <v>127.47946859903382</v>
      </c>
      <c r="M21" s="429">
        <f t="shared" si="2"/>
        <v>40.707729468599034</v>
      </c>
      <c r="N21" s="429">
        <f t="shared" si="3"/>
        <v>62.882729468599038</v>
      </c>
      <c r="O21" s="430">
        <f t="shared" si="4"/>
        <v>2.7616616384311915E-3</v>
      </c>
      <c r="P21" s="430">
        <f t="shared" si="4"/>
        <v>3.6187029806685083E-3</v>
      </c>
      <c r="Q21" s="430">
        <f t="shared" si="4"/>
        <v>5.3714243882798645E-3</v>
      </c>
      <c r="R21" s="397"/>
      <c r="S21" s="397"/>
      <c r="T21" s="397"/>
      <c r="U21" s="397"/>
      <c r="V21" s="397"/>
      <c r="W21" s="397"/>
    </row>
    <row r="22" spans="1:23" s="29" customFormat="1" x14ac:dyDescent="0.25">
      <c r="B22" s="434" t="s">
        <v>243</v>
      </c>
      <c r="C22" s="435">
        <v>1400</v>
      </c>
      <c r="D22" s="436">
        <v>0.41399999999999998</v>
      </c>
      <c r="E22" s="198">
        <f t="shared" si="0"/>
        <v>3381.6425120772947</v>
      </c>
      <c r="F22" s="313">
        <v>100</v>
      </c>
      <c r="G22" s="198">
        <v>40</v>
      </c>
      <c r="H22" s="437">
        <v>50</v>
      </c>
      <c r="I22" s="438">
        <f t="shared" si="5"/>
        <v>71.428571428571431</v>
      </c>
      <c r="J22" s="438">
        <f t="shared" si="6"/>
        <v>28.571428571428573</v>
      </c>
      <c r="K22" s="438">
        <f t="shared" si="7"/>
        <v>35.714285714285715</v>
      </c>
      <c r="L22" s="439">
        <f t="shared" si="1"/>
        <v>29.571428571428573</v>
      </c>
      <c r="M22" s="439">
        <f t="shared" si="2"/>
        <v>11.828571428571429</v>
      </c>
      <c r="N22" s="439">
        <f t="shared" si="3"/>
        <v>14.785714285714286</v>
      </c>
      <c r="O22" s="440">
        <f t="shared" si="4"/>
        <v>6.9621721977256913E-5</v>
      </c>
      <c r="P22" s="440">
        <f t="shared" si="4"/>
        <v>1.142748309684792E-4</v>
      </c>
      <c r="Q22" s="440">
        <f t="shared" si="4"/>
        <v>1.3725956699181936E-4</v>
      </c>
      <c r="R22" s="397"/>
      <c r="S22" s="397"/>
      <c r="T22" s="397"/>
      <c r="U22" s="397"/>
      <c r="V22" s="397"/>
      <c r="W22" s="397"/>
    </row>
    <row r="23" spans="1:23" s="29" customFormat="1" x14ac:dyDescent="0.25">
      <c r="B23" s="410" t="s">
        <v>294</v>
      </c>
      <c r="C23" s="414">
        <v>328100</v>
      </c>
      <c r="D23" s="418">
        <v>0.61199999999999999</v>
      </c>
      <c r="E23" s="341">
        <f t="shared" si="0"/>
        <v>536111.11111111112</v>
      </c>
      <c r="F23" s="400">
        <v>21376.666666666664</v>
      </c>
      <c r="G23" s="341">
        <v>3406.666666666667</v>
      </c>
      <c r="H23" s="423">
        <v>3706.666666666667</v>
      </c>
      <c r="I23" s="425">
        <f t="shared" si="5"/>
        <v>65.152900538453721</v>
      </c>
      <c r="J23" s="425">
        <f t="shared" si="6"/>
        <v>10.383013308950524</v>
      </c>
      <c r="K23" s="425">
        <f t="shared" si="7"/>
        <v>11.297368688408007</v>
      </c>
      <c r="L23" s="429">
        <f t="shared" si="1"/>
        <v>39.87357512953367</v>
      </c>
      <c r="M23" s="429">
        <f t="shared" si="2"/>
        <v>6.3544041450777202</v>
      </c>
      <c r="N23" s="429">
        <f t="shared" si="3"/>
        <v>6.9139896373056997</v>
      </c>
      <c r="O23" s="430">
        <f t="shared" si="4"/>
        <v>1.488280343467162E-2</v>
      </c>
      <c r="P23" s="430">
        <f t="shared" si="4"/>
        <v>9.7324064374821467E-3</v>
      </c>
      <c r="Q23" s="430">
        <f t="shared" si="4"/>
        <v>1.0175509232993542E-2</v>
      </c>
      <c r="R23" s="397"/>
      <c r="S23" s="397"/>
      <c r="T23" s="397"/>
      <c r="U23" s="397"/>
      <c r="V23" s="397"/>
      <c r="W23" s="397"/>
    </row>
    <row r="24" spans="1:23" s="31" customFormat="1" x14ac:dyDescent="0.25">
      <c r="B24" s="441" t="s">
        <v>244</v>
      </c>
      <c r="C24" s="442">
        <v>4100</v>
      </c>
      <c r="D24" s="443" t="s">
        <v>203</v>
      </c>
      <c r="E24" s="444"/>
      <c r="F24" s="445">
        <v>123.33333333333334</v>
      </c>
      <c r="G24" s="444">
        <v>3.3333333333333335</v>
      </c>
      <c r="H24" s="446">
        <v>3.3333333333333335</v>
      </c>
      <c r="I24" s="447">
        <f t="shared" si="5"/>
        <v>30.081300813008131</v>
      </c>
      <c r="J24" s="447">
        <f t="shared" si="6"/>
        <v>0.81300813008130079</v>
      </c>
      <c r="K24" s="447">
        <f t="shared" si="7"/>
        <v>0.81300813008130079</v>
      </c>
      <c r="L24" s="448"/>
      <c r="M24" s="448"/>
      <c r="N24" s="448"/>
      <c r="O24" s="449">
        <f t="shared" si="4"/>
        <v>8.5866790438616871E-5</v>
      </c>
      <c r="P24" s="449">
        <f t="shared" si="4"/>
        <v>9.5229025807066003E-6</v>
      </c>
      <c r="Q24" s="449">
        <f t="shared" si="4"/>
        <v>9.1506377994546251E-6</v>
      </c>
      <c r="R24" s="396"/>
      <c r="S24" s="396"/>
      <c r="T24" s="396"/>
      <c r="U24" s="396"/>
      <c r="V24" s="396"/>
      <c r="W24" s="396"/>
    </row>
    <row r="25" spans="1:23" s="31" customFormat="1" x14ac:dyDescent="0.25">
      <c r="B25" s="409" t="s">
        <v>245</v>
      </c>
      <c r="C25" s="413">
        <v>1300</v>
      </c>
      <c r="D25" s="417" t="s">
        <v>203</v>
      </c>
      <c r="E25" s="420"/>
      <c r="F25" s="399">
        <v>63.333333333333321</v>
      </c>
      <c r="G25" s="420">
        <v>3.3333333333333335</v>
      </c>
      <c r="H25" s="422">
        <v>3.3333333333333335</v>
      </c>
      <c r="I25" s="426">
        <f t="shared" si="5"/>
        <v>48.717948717948708</v>
      </c>
      <c r="J25" s="426">
        <f t="shared" si="6"/>
        <v>2.5641025641025643</v>
      </c>
      <c r="K25" s="426">
        <f t="shared" si="7"/>
        <v>2.5641025641025643</v>
      </c>
      <c r="L25" s="427"/>
      <c r="M25" s="427"/>
      <c r="N25" s="427"/>
      <c r="O25" s="428">
        <f t="shared" si="4"/>
        <v>4.4093757252262705E-5</v>
      </c>
      <c r="P25" s="428">
        <f t="shared" si="4"/>
        <v>9.5229025807066003E-6</v>
      </c>
      <c r="Q25" s="428">
        <f t="shared" si="4"/>
        <v>9.1506377994546251E-6</v>
      </c>
      <c r="R25" s="396"/>
      <c r="S25" s="396"/>
      <c r="T25" s="396"/>
      <c r="U25" s="396"/>
      <c r="V25" s="396"/>
      <c r="W25" s="396"/>
    </row>
    <row r="26" spans="1:23" s="31" customFormat="1" x14ac:dyDescent="0.25">
      <c r="B26" s="441" t="s">
        <v>246</v>
      </c>
      <c r="C26" s="442">
        <v>33200</v>
      </c>
      <c r="D26" s="443">
        <v>0.48899999999999999</v>
      </c>
      <c r="E26" s="444">
        <f>C26/D26</f>
        <v>67893.660531697344</v>
      </c>
      <c r="F26" s="445">
        <v>1683.3333333333333</v>
      </c>
      <c r="G26" s="444">
        <v>563.33333333333326</v>
      </c>
      <c r="H26" s="446">
        <v>823.33333333333326</v>
      </c>
      <c r="I26" s="447">
        <f t="shared" si="5"/>
        <v>50.70281124497992</v>
      </c>
      <c r="J26" s="447">
        <f t="shared" si="6"/>
        <v>16.967871485943771</v>
      </c>
      <c r="K26" s="447">
        <f t="shared" si="7"/>
        <v>24.799196787148592</v>
      </c>
      <c r="L26" s="448">
        <f>F26*1000/E26</f>
        <v>24.793674698795179</v>
      </c>
      <c r="M26" s="448">
        <f>G26*1000/E26</f>
        <v>8.2972891566265048</v>
      </c>
      <c r="N26" s="448">
        <f>H26*1000/E26</f>
        <v>12.126807228915661</v>
      </c>
      <c r="O26" s="449">
        <f t="shared" si="4"/>
        <v>1.1719656532838247E-3</v>
      </c>
      <c r="P26" s="449">
        <f t="shared" si="4"/>
        <v>1.6093705361394151E-3</v>
      </c>
      <c r="Q26" s="449">
        <f t="shared" si="4"/>
        <v>2.2602075364652921E-3</v>
      </c>
      <c r="R26" s="396"/>
      <c r="S26" s="396"/>
      <c r="T26" s="396"/>
      <c r="U26" s="396"/>
      <c r="V26" s="396"/>
      <c r="W26" s="396"/>
    </row>
    <row r="27" spans="1:23" s="31" customFormat="1" ht="6" customHeight="1" thickBot="1" x14ac:dyDescent="0.3">
      <c r="B27" s="409"/>
      <c r="C27" s="413"/>
      <c r="D27" s="417"/>
      <c r="E27" s="420"/>
      <c r="F27" s="399"/>
      <c r="G27" s="420"/>
      <c r="H27" s="422"/>
      <c r="I27" s="426"/>
      <c r="J27" s="426"/>
      <c r="K27" s="426"/>
      <c r="L27" s="427"/>
      <c r="M27" s="427"/>
      <c r="N27" s="427"/>
      <c r="O27" s="428"/>
      <c r="P27" s="428"/>
      <c r="Q27" s="428"/>
      <c r="R27" s="396"/>
      <c r="S27" s="396"/>
      <c r="T27" s="396"/>
      <c r="U27" s="396"/>
      <c r="V27" s="396"/>
      <c r="W27" s="396"/>
    </row>
    <row r="28" spans="1:23" ht="25.15" customHeight="1" thickTop="1" thickBot="1" x14ac:dyDescent="0.3">
      <c r="B28" s="506" t="s">
        <v>13</v>
      </c>
      <c r="C28" s="507">
        <f>SUM(C12:C26)</f>
        <v>16117700</v>
      </c>
      <c r="D28" s="508" t="s">
        <v>17</v>
      </c>
      <c r="E28" s="509">
        <f>SUM(E12:E26)</f>
        <v>17836280.675977878</v>
      </c>
      <c r="F28" s="510">
        <f>SUM(F11,F24:F26)</f>
        <v>1436333.333333333</v>
      </c>
      <c r="G28" s="508">
        <f>SUM(G11,G24:G26)</f>
        <v>350033.33333333331</v>
      </c>
      <c r="H28" s="511">
        <f>SUM(H11,H24:H26)</f>
        <v>364273.33333333326</v>
      </c>
      <c r="I28" s="512"/>
      <c r="J28" s="512"/>
      <c r="K28" s="512"/>
      <c r="L28" s="513"/>
      <c r="M28" s="513"/>
      <c r="N28" s="513"/>
      <c r="O28" s="514">
        <f>SUM(O11,O24:O26)</f>
        <v>1.0000000000000002</v>
      </c>
      <c r="P28" s="514">
        <f>SUM(P11,P24:P26)</f>
        <v>1.0000000000000002</v>
      </c>
      <c r="Q28" s="514">
        <f>SUM(Q11,Q24:Q26)</f>
        <v>1.0000000000000002</v>
      </c>
      <c r="R28" s="36"/>
      <c r="S28" s="36"/>
      <c r="T28" s="36"/>
      <c r="U28" s="36"/>
      <c r="V28" s="36"/>
      <c r="W28" s="36"/>
    </row>
    <row r="29" spans="1:23" ht="15.75" thickTop="1" x14ac:dyDescent="0.25">
      <c r="B29" s="287"/>
      <c r="C29" s="287"/>
      <c r="D29" s="402"/>
      <c r="E29" s="515"/>
      <c r="F29" s="287"/>
      <c r="G29" s="287"/>
      <c r="H29" s="287"/>
      <c r="I29" s="402"/>
      <c r="J29" s="402"/>
      <c r="K29" s="402"/>
      <c r="L29" s="402"/>
      <c r="M29" s="402"/>
      <c r="N29" s="402"/>
      <c r="O29" s="402"/>
      <c r="P29" s="402"/>
      <c r="Q29" s="402"/>
      <c r="R29" s="36"/>
      <c r="S29" s="36"/>
      <c r="T29" s="36"/>
      <c r="U29" s="36"/>
      <c r="V29" s="36"/>
      <c r="W29" s="36"/>
    </row>
    <row r="30" spans="1:23" x14ac:dyDescent="0.25">
      <c r="B30" s="36"/>
      <c r="C30" s="36"/>
      <c r="D30" s="398"/>
      <c r="E30" s="397"/>
      <c r="F30" s="36"/>
      <c r="G30" s="36"/>
      <c r="H30" s="36"/>
      <c r="I30" s="402"/>
      <c r="J30" s="402"/>
      <c r="K30" s="402"/>
      <c r="L30" s="402"/>
      <c r="M30" s="402"/>
      <c r="N30" s="402"/>
      <c r="O30" s="398"/>
      <c r="P30" s="398"/>
      <c r="Q30" s="398"/>
      <c r="R30" s="36"/>
      <c r="S30" s="36"/>
      <c r="T30" s="36"/>
      <c r="U30" s="36"/>
      <c r="V30" s="36"/>
      <c r="W30" s="36"/>
    </row>
    <row r="31" spans="1:23" x14ac:dyDescent="0.25">
      <c r="B31" s="79" t="s">
        <v>416</v>
      </c>
      <c r="C31" s="88"/>
      <c r="D31" s="516"/>
      <c r="E31" s="517"/>
      <c r="F31" s="88"/>
      <c r="O31" s="34"/>
    </row>
    <row r="32" spans="1:23" x14ac:dyDescent="0.25">
      <c r="A32" s="21"/>
      <c r="B32" s="69" t="s">
        <v>368</v>
      </c>
      <c r="C32" s="68"/>
      <c r="D32" s="518"/>
      <c r="E32" s="519"/>
      <c r="F32" s="68"/>
      <c r="G32" s="431"/>
    </row>
    <row r="33" spans="1:7" x14ac:dyDescent="0.25">
      <c r="A33" s="21"/>
      <c r="B33" s="69" t="s">
        <v>247</v>
      </c>
      <c r="C33" s="68"/>
      <c r="D33" s="518"/>
      <c r="E33" s="519"/>
      <c r="F33" s="68"/>
      <c r="G33" s="431"/>
    </row>
    <row r="34" spans="1:7" x14ac:dyDescent="0.25">
      <c r="A34" s="21"/>
      <c r="B34" s="69"/>
      <c r="C34" s="68"/>
      <c r="D34" s="518"/>
      <c r="E34" s="519"/>
      <c r="F34" s="68"/>
      <c r="G34" s="431"/>
    </row>
    <row r="35" spans="1:7" x14ac:dyDescent="0.25">
      <c r="A35" s="21"/>
      <c r="B35" s="77" t="s">
        <v>397</v>
      </c>
      <c r="C35" s="68"/>
      <c r="D35" s="518"/>
      <c r="E35" s="519"/>
      <c r="F35" s="68"/>
      <c r="G35" s="431"/>
    </row>
    <row r="36" spans="1:7" x14ac:dyDescent="0.25">
      <c r="A36" s="21"/>
      <c r="B36" s="68" t="s">
        <v>189</v>
      </c>
      <c r="C36" s="68"/>
      <c r="D36" s="518"/>
      <c r="E36" s="519"/>
      <c r="F36" s="68"/>
      <c r="G36" s="431"/>
    </row>
    <row r="37" spans="1:7" x14ac:dyDescent="0.25">
      <c r="B37" s="69" t="s">
        <v>382</v>
      </c>
      <c r="C37" s="68"/>
      <c r="D37" s="518"/>
      <c r="E37" s="519"/>
      <c r="F37" s="68"/>
      <c r="G37" s="431"/>
    </row>
    <row r="38" spans="1:7" x14ac:dyDescent="0.25">
      <c r="B38" s="68"/>
      <c r="C38" s="68"/>
      <c r="D38" s="518"/>
      <c r="E38" s="519"/>
      <c r="F38" s="68"/>
      <c r="G38" s="431"/>
    </row>
    <row r="39" spans="1:7" x14ac:dyDescent="0.25">
      <c r="B39" s="79" t="s">
        <v>398</v>
      </c>
      <c r="C39" s="68"/>
      <c r="D39" s="518"/>
      <c r="E39" s="519"/>
      <c r="F39" s="68"/>
      <c r="G39" s="431"/>
    </row>
    <row r="40" spans="1:7" x14ac:dyDescent="0.25">
      <c r="B40" s="431"/>
      <c r="C40" s="431"/>
      <c r="D40" s="432"/>
      <c r="E40" s="433"/>
      <c r="F40" s="431"/>
      <c r="G40" s="431"/>
    </row>
    <row r="41" spans="1:7" x14ac:dyDescent="0.25">
      <c r="B41" s="431"/>
      <c r="C41" s="431"/>
      <c r="D41" s="432"/>
      <c r="E41" s="433"/>
      <c r="F41" s="431"/>
      <c r="G41" s="431"/>
    </row>
    <row r="42" spans="1:7" x14ac:dyDescent="0.25">
      <c r="B42" s="431"/>
      <c r="C42" s="431"/>
      <c r="D42" s="432"/>
      <c r="E42" s="433"/>
      <c r="F42" s="431"/>
      <c r="G42" s="431"/>
    </row>
    <row r="43" spans="1:7" x14ac:dyDescent="0.25">
      <c r="B43" s="431"/>
      <c r="C43" s="431"/>
      <c r="D43" s="432"/>
      <c r="E43" s="433"/>
      <c r="F43" s="431"/>
      <c r="G43" s="431"/>
    </row>
    <row r="44" spans="1:7" x14ac:dyDescent="0.25">
      <c r="B44" s="431"/>
      <c r="C44" s="431"/>
      <c r="D44" s="432"/>
      <c r="E44" s="433"/>
      <c r="F44" s="431"/>
      <c r="G44" s="431"/>
    </row>
    <row r="45" spans="1:7" x14ac:dyDescent="0.25">
      <c r="B45" s="431"/>
      <c r="C45" s="431"/>
      <c r="D45" s="432"/>
      <c r="E45" s="433"/>
      <c r="F45" s="431"/>
      <c r="G45" s="431"/>
    </row>
    <row r="46" spans="1:7" x14ac:dyDescent="0.25">
      <c r="B46" s="431"/>
      <c r="C46" s="431"/>
      <c r="D46" s="432"/>
      <c r="E46" s="433"/>
      <c r="F46" s="431"/>
      <c r="G46" s="431"/>
    </row>
    <row r="47" spans="1:7" x14ac:dyDescent="0.25">
      <c r="B47" s="431"/>
      <c r="C47" s="431"/>
      <c r="D47" s="432"/>
      <c r="E47" s="433"/>
      <c r="F47" s="431"/>
      <c r="G47" s="431"/>
    </row>
    <row r="48" spans="1:7" x14ac:dyDescent="0.25">
      <c r="B48" s="431"/>
      <c r="C48" s="431"/>
      <c r="D48" s="432"/>
      <c r="E48" s="433"/>
      <c r="F48" s="431"/>
      <c r="G48" s="431"/>
    </row>
    <row r="49" spans="2:7" x14ac:dyDescent="0.25">
      <c r="B49" s="431"/>
      <c r="C49" s="431"/>
      <c r="D49" s="432"/>
      <c r="E49" s="433"/>
      <c r="F49" s="431"/>
      <c r="G49" s="431"/>
    </row>
    <row r="50" spans="2:7" x14ac:dyDescent="0.25">
      <c r="B50" s="431"/>
      <c r="C50" s="431"/>
      <c r="D50" s="432"/>
      <c r="E50" s="433"/>
      <c r="F50" s="431"/>
      <c r="G50" s="431"/>
    </row>
  </sheetData>
  <mergeCells count="12">
    <mergeCell ref="L7:N7"/>
    <mergeCell ref="L6:N6"/>
    <mergeCell ref="O7:Q7"/>
    <mergeCell ref="O6:Q6"/>
    <mergeCell ref="B7:B8"/>
    <mergeCell ref="C6:C7"/>
    <mergeCell ref="D6:D7"/>
    <mergeCell ref="E6:E7"/>
    <mergeCell ref="F7:H7"/>
    <mergeCell ref="I7:K7"/>
    <mergeCell ref="F6:H6"/>
    <mergeCell ref="I6:K6"/>
  </mergeCells>
  <hyperlinks>
    <hyperlink ref="B1" location="Start!A1" display="Back to home page" xr:uid="{1D80ADF7-766B-4D8F-B293-D1FECEF1DBB1}"/>
  </hyperlinks>
  <pageMargins left="0.7" right="0.7" top="0.75" bottom="0.75" header="0.3" footer="0.3"/>
  <pageSetup paperSize="9" orientation="portrait" horizontalDpi="4294967293" verticalDpi="0" r:id="rId1"/>
  <drawing r:id="rId2"/>
  <legacyDrawing r:id="rId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6C02D-5800-4285-9788-150898164899}">
  <sheetPr>
    <tabColor rgb="FF92D050"/>
  </sheetPr>
  <dimension ref="A1:Q39"/>
  <sheetViews>
    <sheetView showGridLines="0" zoomScale="80" zoomScaleNormal="80" workbookViewId="0">
      <pane xSplit="2" ySplit="9" topLeftCell="C16"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191</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39" t="s">
        <v>388</v>
      </c>
      <c r="E8" s="539" t="s">
        <v>394</v>
      </c>
      <c r="F8" s="539" t="s">
        <v>395</v>
      </c>
      <c r="G8" s="538" t="s">
        <v>388</v>
      </c>
      <c r="H8" s="538" t="s">
        <v>394</v>
      </c>
      <c r="I8" s="538" t="s">
        <v>404</v>
      </c>
      <c r="J8" s="539" t="s">
        <v>388</v>
      </c>
      <c r="K8" s="539" t="s">
        <v>394</v>
      </c>
      <c r="L8" s="539" t="s">
        <v>395</v>
      </c>
      <c r="M8" s="13"/>
      <c r="N8" s="13"/>
      <c r="O8" s="13"/>
      <c r="P8" s="13"/>
      <c r="Q8" s="13"/>
    </row>
    <row r="9" spans="1:17" ht="34.15" customHeight="1" thickTop="1" thickBot="1" x14ac:dyDescent="0.3">
      <c r="B9" s="182" t="s">
        <v>393</v>
      </c>
      <c r="C9" s="50" t="s">
        <v>2</v>
      </c>
      <c r="D9" s="49" t="s">
        <v>2</v>
      </c>
      <c r="E9" s="49" t="s">
        <v>2</v>
      </c>
      <c r="F9" s="52" t="s">
        <v>2</v>
      </c>
      <c r="G9" s="49" t="s">
        <v>2</v>
      </c>
      <c r="H9" s="49" t="s">
        <v>2</v>
      </c>
      <c r="I9" s="49" t="s">
        <v>2</v>
      </c>
      <c r="J9" s="49" t="s">
        <v>2</v>
      </c>
      <c r="K9" s="49" t="s">
        <v>2</v>
      </c>
      <c r="L9" s="49" t="s">
        <v>2</v>
      </c>
    </row>
    <row r="10" spans="1:17" ht="6" customHeight="1" thickTop="1" x14ac:dyDescent="0.25">
      <c r="B10" s="96"/>
      <c r="C10" s="175"/>
      <c r="D10" s="98"/>
      <c r="E10" s="98"/>
      <c r="F10" s="97"/>
      <c r="G10" s="98"/>
      <c r="H10" s="98"/>
      <c r="I10" s="98"/>
      <c r="J10" s="98"/>
      <c r="K10" s="98"/>
      <c r="L10" s="98"/>
    </row>
    <row r="11" spans="1:17" x14ac:dyDescent="0.25">
      <c r="B11" s="89" t="s">
        <v>3</v>
      </c>
      <c r="C11" s="172">
        <v>18407142.710000001</v>
      </c>
      <c r="D11" s="53">
        <v>1444758.3823642498</v>
      </c>
      <c r="E11" s="53">
        <v>439927.812749025</v>
      </c>
      <c r="F11" s="164">
        <v>110174.91937462499</v>
      </c>
      <c r="G11" s="56">
        <f>IFERROR(D11*1000/C11,"-")</f>
        <v>78.489008594438701</v>
      </c>
      <c r="H11" s="56">
        <f>IFERROR(E11*1000/C11,"-")</f>
        <v>23.899842560031143</v>
      </c>
      <c r="I11" s="56">
        <f>IFERROR(F11*1000/C11,"-")</f>
        <v>5.9854438633091354</v>
      </c>
      <c r="J11" s="57">
        <f t="shared" ref="J11:J27" si="0">D11/$D$29</f>
        <v>0.12732435641189635</v>
      </c>
      <c r="K11" s="57">
        <f t="shared" ref="K11:K27" si="1">E11/$E$29</f>
        <v>0.1118913855560683</v>
      </c>
      <c r="L11" s="57">
        <f t="shared" ref="L11:L27" si="2">F11/$F$29</f>
        <v>2.5009683896210871E-2</v>
      </c>
    </row>
    <row r="12" spans="1:17" x14ac:dyDescent="0.25">
      <c r="B12" s="103" t="s">
        <v>16</v>
      </c>
      <c r="C12" s="174">
        <v>1027902.4400000001</v>
      </c>
      <c r="D12" s="71">
        <v>194455.649061</v>
      </c>
      <c r="E12" s="71">
        <v>46661.060474999998</v>
      </c>
      <c r="F12" s="166">
        <v>42928.175637000008</v>
      </c>
      <c r="G12" s="74">
        <f t="shared" ref="G12:G27" si="3">IFERROR(D12*1000/C12,"-")</f>
        <v>189.17714511992011</v>
      </c>
      <c r="H12" s="74">
        <f t="shared" ref="H12:H27" si="4">IFERROR(E12*1000/C12,"-")</f>
        <v>45.394444705277671</v>
      </c>
      <c r="I12" s="74">
        <f t="shared" ref="I12:I27" si="5">IFERROR(F12*1000/C12,"-")</f>
        <v>41.762889128855463</v>
      </c>
      <c r="J12" s="75">
        <f t="shared" si="0"/>
        <v>1.7137080268628077E-2</v>
      </c>
      <c r="K12" s="75">
        <f t="shared" si="1"/>
        <v>1.1867789570835256E-2</v>
      </c>
      <c r="L12" s="75">
        <f t="shared" si="2"/>
        <v>9.7446869851729821E-3</v>
      </c>
    </row>
    <row r="13" spans="1:17" x14ac:dyDescent="0.25">
      <c r="B13" s="89" t="s">
        <v>68</v>
      </c>
      <c r="C13" s="172">
        <v>36318545.07</v>
      </c>
      <c r="D13" s="53">
        <v>5725532.2260431247</v>
      </c>
      <c r="E13" s="53">
        <v>1961702.0829933749</v>
      </c>
      <c r="F13" s="164">
        <v>2116798.26345</v>
      </c>
      <c r="G13" s="56">
        <f t="shared" si="3"/>
        <v>157.64762093326678</v>
      </c>
      <c r="H13" s="56">
        <f t="shared" si="4"/>
        <v>54.013784946847672</v>
      </c>
      <c r="I13" s="56">
        <f t="shared" si="5"/>
        <v>58.284225300603431</v>
      </c>
      <c r="J13" s="57">
        <f t="shared" si="0"/>
        <v>0.50458243724016627</v>
      </c>
      <c r="K13" s="57">
        <f t="shared" si="1"/>
        <v>0.49893995731425933</v>
      </c>
      <c r="L13" s="57">
        <f t="shared" si="2"/>
        <v>0.48051276771004936</v>
      </c>
    </row>
    <row r="14" spans="1:17" x14ac:dyDescent="0.25">
      <c r="B14" s="103" t="s">
        <v>5</v>
      </c>
      <c r="C14" s="174">
        <v>5349139.5480000004</v>
      </c>
      <c r="D14" s="71">
        <v>347206.56819945457</v>
      </c>
      <c r="E14" s="71">
        <v>110200.89105903968</v>
      </c>
      <c r="F14" s="166">
        <v>34052.439137952104</v>
      </c>
      <c r="G14" s="74">
        <f t="shared" si="3"/>
        <v>64.908863394538329</v>
      </c>
      <c r="H14" s="74">
        <f t="shared" si="4"/>
        <v>20.601610795561111</v>
      </c>
      <c r="I14" s="74">
        <f t="shared" si="5"/>
        <v>6.3659657468992439</v>
      </c>
      <c r="J14" s="75">
        <f t="shared" si="0"/>
        <v>3.0598786189864897E-2</v>
      </c>
      <c r="K14" s="75">
        <f t="shared" si="1"/>
        <v>2.8028531119817492E-2</v>
      </c>
      <c r="L14" s="75">
        <f t="shared" si="2"/>
        <v>7.7298966368137649E-3</v>
      </c>
    </row>
    <row r="15" spans="1:17" x14ac:dyDescent="0.25">
      <c r="B15" s="89" t="s">
        <v>6</v>
      </c>
      <c r="C15" s="172">
        <v>30796604.599999998</v>
      </c>
      <c r="D15" s="53">
        <v>170175.6590025</v>
      </c>
      <c r="E15" s="53">
        <v>797374.79167499987</v>
      </c>
      <c r="F15" s="164">
        <v>1291332.9418424999</v>
      </c>
      <c r="G15" s="56">
        <f t="shared" si="3"/>
        <v>5.5257928986918259</v>
      </c>
      <c r="H15" s="56">
        <f t="shared" si="4"/>
        <v>25.891646239306521</v>
      </c>
      <c r="I15" s="56">
        <f t="shared" si="5"/>
        <v>41.931016701837969</v>
      </c>
      <c r="J15" s="57">
        <f t="shared" si="0"/>
        <v>1.4997321714102974E-2</v>
      </c>
      <c r="K15" s="57">
        <f t="shared" si="1"/>
        <v>0.20280456852791875</v>
      </c>
      <c r="L15" s="57">
        <f t="shared" si="2"/>
        <v>0.29313231054365729</v>
      </c>
    </row>
    <row r="16" spans="1:17" x14ac:dyDescent="0.25">
      <c r="B16" s="103" t="s">
        <v>56</v>
      </c>
      <c r="C16" s="174">
        <v>830132.3918000001</v>
      </c>
      <c r="D16" s="71">
        <v>56680.828081500003</v>
      </c>
      <c r="E16" s="71">
        <v>30607.605433500001</v>
      </c>
      <c r="F16" s="166">
        <v>14871.891938250001</v>
      </c>
      <c r="G16" s="74">
        <f t="shared" si="3"/>
        <v>68.279263213181352</v>
      </c>
      <c r="H16" s="74">
        <f t="shared" si="4"/>
        <v>36.870751865413467</v>
      </c>
      <c r="I16" s="74">
        <f t="shared" si="5"/>
        <v>17.915084491526525</v>
      </c>
      <c r="J16" s="75">
        <f t="shared" si="0"/>
        <v>4.9951950751519029E-3</v>
      </c>
      <c r="K16" s="75">
        <f t="shared" si="1"/>
        <v>7.7847485002307338E-3</v>
      </c>
      <c r="L16" s="75">
        <f t="shared" si="2"/>
        <v>3.3759163920922567E-3</v>
      </c>
    </row>
    <row r="17" spans="1:17" x14ac:dyDescent="0.25">
      <c r="B17" s="89" t="s">
        <v>19</v>
      </c>
      <c r="C17" s="172">
        <v>1389044.2264</v>
      </c>
      <c r="D17" s="53">
        <v>58214.772683039999</v>
      </c>
      <c r="E17" s="53">
        <v>17709.363408810001</v>
      </c>
      <c r="F17" s="164">
        <v>9889.6464332100004</v>
      </c>
      <c r="G17" s="56">
        <f t="shared" si="3"/>
        <v>41.909948997027847</v>
      </c>
      <c r="H17" s="56">
        <f t="shared" si="4"/>
        <v>12.749315732521733</v>
      </c>
      <c r="I17" s="56">
        <f t="shared" si="5"/>
        <v>7.1197491377514286</v>
      </c>
      <c r="J17" s="57">
        <f t="shared" si="0"/>
        <v>5.1303792772625515E-3</v>
      </c>
      <c r="K17" s="57">
        <f t="shared" si="1"/>
        <v>4.5042053530226119E-3</v>
      </c>
      <c r="L17" s="57">
        <f t="shared" si="2"/>
        <v>2.2449476935749589E-3</v>
      </c>
    </row>
    <row r="18" spans="1:17" x14ac:dyDescent="0.25">
      <c r="B18" s="103" t="s">
        <v>25</v>
      </c>
      <c r="C18" s="174">
        <v>5558645.4902000008</v>
      </c>
      <c r="D18" s="71">
        <v>455443.00771447498</v>
      </c>
      <c r="E18" s="71">
        <v>159623.11706764501</v>
      </c>
      <c r="F18" s="166">
        <v>218313.58399884001</v>
      </c>
      <c r="G18" s="74">
        <f t="shared" si="3"/>
        <v>81.934170566809811</v>
      </c>
      <c r="H18" s="74">
        <f t="shared" si="4"/>
        <v>28.71618946541269</v>
      </c>
      <c r="I18" s="74">
        <f t="shared" si="5"/>
        <v>39.27460104871431</v>
      </c>
      <c r="J18" s="75">
        <f t="shared" si="0"/>
        <v>4.0137498800767508E-2</v>
      </c>
      <c r="K18" s="75">
        <f t="shared" si="1"/>
        <v>4.0598596446700511E-2</v>
      </c>
      <c r="L18" s="75">
        <f t="shared" si="2"/>
        <v>4.9557138385502471E-2</v>
      </c>
    </row>
    <row r="19" spans="1:17" x14ac:dyDescent="0.25">
      <c r="B19" s="89" t="s">
        <v>71</v>
      </c>
      <c r="C19" s="172">
        <v>827663.80719999992</v>
      </c>
      <c r="D19" s="53">
        <v>99095.566038420002</v>
      </c>
      <c r="E19" s="53">
        <v>59743.067336400003</v>
      </c>
      <c r="F19" s="164">
        <v>34788.276787499999</v>
      </c>
      <c r="G19" s="56">
        <f t="shared" si="3"/>
        <v>119.72924897327806</v>
      </c>
      <c r="H19" s="56">
        <f t="shared" si="4"/>
        <v>72.182771333824263</v>
      </c>
      <c r="I19" s="56">
        <f t="shared" si="5"/>
        <v>42.031893245627479</v>
      </c>
      <c r="J19" s="57">
        <f t="shared" si="0"/>
        <v>8.7331413495362973E-3</v>
      </c>
      <c r="K19" s="57">
        <f t="shared" si="1"/>
        <v>1.5195071527457315E-2</v>
      </c>
      <c r="L19" s="57">
        <f t="shared" si="2"/>
        <v>7.8969316309719928E-3</v>
      </c>
    </row>
    <row r="20" spans="1:17" x14ac:dyDescent="0.25">
      <c r="B20" s="103" t="s">
        <v>72</v>
      </c>
      <c r="C20" s="174">
        <v>458104.55200000003</v>
      </c>
      <c r="D20" s="71">
        <v>54848.513962199999</v>
      </c>
      <c r="E20" s="71">
        <v>33067.256124</v>
      </c>
      <c r="F20" s="166">
        <v>19255.001625000001</v>
      </c>
      <c r="G20" s="74">
        <f t="shared" si="3"/>
        <v>119.72924897327805</v>
      </c>
      <c r="H20" s="74">
        <f t="shared" si="4"/>
        <v>72.182771333824235</v>
      </c>
      <c r="I20" s="74">
        <f t="shared" si="5"/>
        <v>42.031893245627472</v>
      </c>
      <c r="J20" s="75">
        <f t="shared" si="0"/>
        <v>4.8337160217460824E-3</v>
      </c>
      <c r="K20" s="75">
        <f t="shared" si="1"/>
        <v>8.4103368712505761E-3</v>
      </c>
      <c r="L20" s="75">
        <f t="shared" si="2"/>
        <v>4.3708813838550242E-3</v>
      </c>
    </row>
    <row r="21" spans="1:17" x14ac:dyDescent="0.25">
      <c r="B21" s="89" t="s">
        <v>73</v>
      </c>
      <c r="C21" s="172">
        <v>369559.25520000001</v>
      </c>
      <c r="D21" s="53">
        <v>44247.052076220003</v>
      </c>
      <c r="E21" s="53">
        <v>26675.811212400004</v>
      </c>
      <c r="F21" s="164">
        <v>15533.2751625</v>
      </c>
      <c r="G21" s="56">
        <f t="shared" si="3"/>
        <v>119.72924897327806</v>
      </c>
      <c r="H21" s="56">
        <f t="shared" si="4"/>
        <v>72.182771333824263</v>
      </c>
      <c r="I21" s="56">
        <f t="shared" si="5"/>
        <v>42.031893245627472</v>
      </c>
      <c r="J21" s="57">
        <f t="shared" si="0"/>
        <v>3.8994253277902144E-3</v>
      </c>
      <c r="K21" s="57">
        <f t="shared" si="1"/>
        <v>6.784734656206738E-3</v>
      </c>
      <c r="L21" s="57">
        <f t="shared" si="2"/>
        <v>3.5260502471169686E-3</v>
      </c>
    </row>
    <row r="22" spans="1:17" x14ac:dyDescent="0.25">
      <c r="B22" s="103" t="s">
        <v>57</v>
      </c>
      <c r="C22" s="174">
        <v>2792.3334</v>
      </c>
      <c r="D22" s="71">
        <v>312.97882500000003</v>
      </c>
      <c r="E22" s="71">
        <v>117.367059375</v>
      </c>
      <c r="F22" s="166">
        <v>469.46823749999999</v>
      </c>
      <c r="G22" s="74">
        <f t="shared" si="3"/>
        <v>112.0850486550066</v>
      </c>
      <c r="H22" s="74">
        <f t="shared" si="4"/>
        <v>42.031893245627472</v>
      </c>
      <c r="I22" s="74">
        <f t="shared" si="5"/>
        <v>168.12757298250989</v>
      </c>
      <c r="J22" s="75">
        <f t="shared" si="0"/>
        <v>2.7582347297729456E-5</v>
      </c>
      <c r="K22" s="75">
        <f t="shared" si="1"/>
        <v>2.9851176742039684E-5</v>
      </c>
      <c r="L22" s="75">
        <f t="shared" si="2"/>
        <v>1.0656919275123558E-4</v>
      </c>
    </row>
    <row r="23" spans="1:17" x14ac:dyDescent="0.25">
      <c r="B23" s="89" t="s">
        <v>8</v>
      </c>
      <c r="C23" s="172">
        <v>449525.20879999996</v>
      </c>
      <c r="D23" s="53">
        <v>115049.23435865999</v>
      </c>
      <c r="E23" s="53">
        <v>71849.088287399994</v>
      </c>
      <c r="F23" s="164">
        <v>77996.064985200006</v>
      </c>
      <c r="G23" s="56">
        <f t="shared" si="3"/>
        <v>255.93500009884204</v>
      </c>
      <c r="H23" s="56">
        <f t="shared" si="4"/>
        <v>159.83327938203939</v>
      </c>
      <c r="I23" s="56">
        <f t="shared" si="5"/>
        <v>173.50765531795022</v>
      </c>
      <c r="J23" s="57">
        <f t="shared" si="0"/>
        <v>1.013911384713783E-2</v>
      </c>
      <c r="K23" s="57">
        <f t="shared" si="1"/>
        <v>1.8274120904476231E-2</v>
      </c>
      <c r="L23" s="57">
        <f t="shared" si="2"/>
        <v>1.7705090609555191E-2</v>
      </c>
    </row>
    <row r="24" spans="1:17" x14ac:dyDescent="0.25">
      <c r="B24" s="103" t="s">
        <v>20</v>
      </c>
      <c r="C24" s="174">
        <v>1976846.59454</v>
      </c>
      <c r="D24" s="71">
        <v>165469.56186849231</v>
      </c>
      <c r="E24" s="71">
        <v>31915.004183845565</v>
      </c>
      <c r="F24" s="166">
        <v>101949.29283294451</v>
      </c>
      <c r="G24" s="74">
        <f t="shared" si="3"/>
        <v>83.703794885002722</v>
      </c>
      <c r="H24" s="74">
        <f t="shared" si="4"/>
        <v>16.144401023323709</v>
      </c>
      <c r="I24" s="74">
        <f t="shared" si="5"/>
        <v>51.571676383248892</v>
      </c>
      <c r="J24" s="75">
        <f t="shared" si="0"/>
        <v>1.4582580539306087E-2</v>
      </c>
      <c r="K24" s="75">
        <f t="shared" si="1"/>
        <v>8.1172727312774588E-3</v>
      </c>
      <c r="L24" s="75">
        <f t="shared" si="2"/>
        <v>2.3142468373627136E-2</v>
      </c>
    </row>
    <row r="25" spans="1:17" x14ac:dyDescent="0.25">
      <c r="B25" s="89" t="s">
        <v>9</v>
      </c>
      <c r="C25" s="172">
        <v>796786.26540000003</v>
      </c>
      <c r="D25" s="53">
        <v>159812.79644815999</v>
      </c>
      <c r="E25" s="53">
        <v>80429.957266406665</v>
      </c>
      <c r="F25" s="164">
        <v>55635.802519847508</v>
      </c>
      <c r="G25" s="56">
        <f t="shared" si="3"/>
        <v>200.57172592945147</v>
      </c>
      <c r="H25" s="56">
        <f t="shared" si="4"/>
        <v>100.94295140244353</v>
      </c>
      <c r="I25" s="56">
        <f t="shared" si="5"/>
        <v>69.825252938963999</v>
      </c>
      <c r="J25" s="57">
        <f t="shared" si="0"/>
        <v>1.4084058415947126E-2</v>
      </c>
      <c r="K25" s="57">
        <f t="shared" si="1"/>
        <v>2.0456581961749473E-2</v>
      </c>
      <c r="L25" s="57">
        <f t="shared" si="2"/>
        <v>1.2629315657605712E-2</v>
      </c>
    </row>
    <row r="26" spans="1:17" x14ac:dyDescent="0.25">
      <c r="B26" s="103" t="s">
        <v>21</v>
      </c>
      <c r="C26" s="174">
        <v>1490670.9981500001</v>
      </c>
      <c r="D26" s="71">
        <v>88154.229428244071</v>
      </c>
      <c r="E26" s="71">
        <v>52722.445594365046</v>
      </c>
      <c r="F26" s="166">
        <v>92087.157335879383</v>
      </c>
      <c r="G26" s="74">
        <f t="shared" si="3"/>
        <v>59.137280820280282</v>
      </c>
      <c r="H26" s="74">
        <f t="shared" si="4"/>
        <v>35.368264130580343</v>
      </c>
      <c r="I26" s="74">
        <f t="shared" si="5"/>
        <v>61.775641607144912</v>
      </c>
      <c r="J26" s="75">
        <f t="shared" si="0"/>
        <v>7.7688980136389422E-3</v>
      </c>
      <c r="K26" s="75">
        <f t="shared" si="1"/>
        <v>1.3409444269038224E-2</v>
      </c>
      <c r="L26" s="75">
        <f t="shared" si="2"/>
        <v>2.0903765656863395E-2</v>
      </c>
    </row>
    <row r="27" spans="1:17" x14ac:dyDescent="0.25">
      <c r="B27" s="89" t="s">
        <v>12</v>
      </c>
      <c r="C27" s="172"/>
      <c r="D27" s="53">
        <v>2266708.5198836792</v>
      </c>
      <c r="E27" s="53">
        <v>71156.135410813149</v>
      </c>
      <c r="F27" s="164">
        <v>204002.43548875209</v>
      </c>
      <c r="G27" s="56" t="str">
        <f t="shared" si="3"/>
        <v>-</v>
      </c>
      <c r="H27" s="56" t="str">
        <f t="shared" si="4"/>
        <v>-</v>
      </c>
      <c r="I27" s="56" t="str">
        <f t="shared" si="5"/>
        <v>-</v>
      </c>
      <c r="J27" s="57">
        <f t="shared" si="0"/>
        <v>0.19976157050929541</v>
      </c>
      <c r="K27" s="57">
        <f t="shared" si="1"/>
        <v>1.8097875040406261E-2</v>
      </c>
      <c r="L27" s="57">
        <f t="shared" si="2"/>
        <v>4.6308510635551407E-2</v>
      </c>
    </row>
    <row r="28" spans="1:17" s="7" customFormat="1" ht="6" customHeight="1" thickBot="1" x14ac:dyDescent="0.3">
      <c r="B28" s="89"/>
      <c r="C28" s="167"/>
      <c r="D28" s="167"/>
      <c r="E28" s="168"/>
      <c r="F28" s="186"/>
      <c r="G28" s="100"/>
      <c r="H28" s="84"/>
      <c r="I28" s="101"/>
      <c r="J28" s="85"/>
      <c r="K28" s="85"/>
      <c r="L28" s="85"/>
    </row>
    <row r="29" spans="1:17" s="12" customFormat="1" ht="24.95" customHeight="1" thickTop="1" thickBot="1" x14ac:dyDescent="0.3">
      <c r="A29" s="13"/>
      <c r="B29" s="90" t="s">
        <v>13</v>
      </c>
      <c r="C29" s="63">
        <f>SUM(C11:C19,C22:C27)</f>
        <v>105221441.68389001</v>
      </c>
      <c r="D29" s="63">
        <f>SUM(D11:D19,D22:D27)</f>
        <v>11347069.98</v>
      </c>
      <c r="E29" s="62">
        <f>SUM(E11:E19,E22:E27)</f>
        <v>3931739.79</v>
      </c>
      <c r="F29" s="102">
        <f>SUM(F11:F19,F22:F27)</f>
        <v>4405290.3600000003</v>
      </c>
      <c r="G29" s="94"/>
      <c r="H29" s="94"/>
      <c r="I29" s="94"/>
      <c r="J29" s="95">
        <f>SUM(J11:J19,J22:J27)</f>
        <v>1</v>
      </c>
      <c r="K29" s="64">
        <f>SUM(K11:K19,K22:K27)</f>
        <v>1</v>
      </c>
      <c r="L29" s="65">
        <f>SUM(L11:L19,L22:L27)</f>
        <v>1</v>
      </c>
      <c r="M29" s="13"/>
      <c r="N29" s="13"/>
      <c r="O29" s="13"/>
      <c r="P29" s="13"/>
      <c r="Q29" s="13"/>
    </row>
    <row r="30" spans="1:17" ht="15.75" thickTop="1" x14ac:dyDescent="0.25">
      <c r="B30" s="15"/>
    </row>
    <row r="31" spans="1:17" x14ac:dyDescent="0.25">
      <c r="B31" s="15"/>
    </row>
    <row r="32" spans="1:17" x14ac:dyDescent="0.25">
      <c r="B32" s="66" t="s">
        <v>396</v>
      </c>
      <c r="C32" s="67"/>
      <c r="D32" s="67"/>
      <c r="E32" s="67"/>
      <c r="F32" s="67"/>
    </row>
    <row r="33" spans="1:17" x14ac:dyDescent="0.25">
      <c r="A33" s="21"/>
      <c r="B33" s="67" t="s">
        <v>192</v>
      </c>
      <c r="C33" s="68"/>
      <c r="D33" s="68"/>
      <c r="E33" s="68"/>
      <c r="F33" s="68"/>
      <c r="G33" s="87"/>
      <c r="H33" s="88"/>
      <c r="I33"/>
      <c r="J33"/>
      <c r="K33"/>
      <c r="L33"/>
      <c r="M33"/>
      <c r="N33"/>
      <c r="O33"/>
      <c r="P33"/>
      <c r="Q33"/>
    </row>
    <row r="34" spans="1:17" ht="14.45" customHeight="1" x14ac:dyDescent="0.25">
      <c r="A34" s="21"/>
      <c r="B34" s="67"/>
      <c r="C34" s="68"/>
      <c r="D34" s="68"/>
      <c r="E34" s="68"/>
      <c r="F34" s="68"/>
      <c r="G34" s="87"/>
      <c r="H34" s="88"/>
      <c r="I34"/>
      <c r="J34"/>
      <c r="K34"/>
      <c r="L34"/>
      <c r="M34"/>
      <c r="N34"/>
      <c r="O34"/>
      <c r="P34"/>
      <c r="Q34"/>
    </row>
    <row r="35" spans="1:17" x14ac:dyDescent="0.25">
      <c r="A35"/>
      <c r="B35" s="79" t="s">
        <v>397</v>
      </c>
      <c r="C35" s="68"/>
      <c r="D35" s="68"/>
      <c r="E35" s="68"/>
      <c r="F35" s="68"/>
      <c r="G35" s="88"/>
      <c r="H35" s="88"/>
      <c r="I35"/>
      <c r="J35"/>
      <c r="K35"/>
      <c r="L35"/>
      <c r="M35"/>
      <c r="N35"/>
      <c r="O35"/>
      <c r="P35"/>
      <c r="Q35"/>
    </row>
    <row r="36" spans="1:17" x14ac:dyDescent="0.25">
      <c r="A36" s="21"/>
      <c r="B36" s="69" t="s">
        <v>193</v>
      </c>
      <c r="C36" s="68"/>
      <c r="D36" s="68"/>
      <c r="E36" s="68"/>
      <c r="F36" s="68"/>
      <c r="G36" s="88"/>
      <c r="H36" s="88"/>
      <c r="I36"/>
      <c r="J36"/>
      <c r="K36"/>
      <c r="L36"/>
      <c r="M36"/>
      <c r="N36"/>
      <c r="O36"/>
      <c r="P36"/>
      <c r="Q36"/>
    </row>
    <row r="37" spans="1:17" x14ac:dyDescent="0.25">
      <c r="B37" s="67" t="s">
        <v>382</v>
      </c>
      <c r="C37" s="67"/>
      <c r="D37" s="67"/>
      <c r="E37" s="67"/>
      <c r="F37" s="67"/>
      <c r="G37" s="87"/>
      <c r="H37" s="87"/>
    </row>
    <row r="38" spans="1:17" x14ac:dyDescent="0.25">
      <c r="B38" s="87"/>
      <c r="C38" s="87"/>
      <c r="D38" s="87"/>
      <c r="E38" s="87"/>
      <c r="F38" s="87"/>
      <c r="G38" s="87"/>
      <c r="H38" s="87"/>
    </row>
    <row r="39" spans="1:17" x14ac:dyDescent="0.25">
      <c r="B39" s="66" t="s">
        <v>398</v>
      </c>
    </row>
  </sheetData>
  <mergeCells count="8">
    <mergeCell ref="C6:C7"/>
    <mergeCell ref="D6:F6"/>
    <mergeCell ref="G6:I6"/>
    <mergeCell ref="J6:L6"/>
    <mergeCell ref="B7:B8"/>
    <mergeCell ref="D7:F7"/>
    <mergeCell ref="G7:I7"/>
    <mergeCell ref="J7:L7"/>
  </mergeCells>
  <hyperlinks>
    <hyperlink ref="B1" location="Start!A1" display="Back to home page" xr:uid="{1D9257E3-800F-4AA4-A279-94BE2220A192}"/>
  </hyperlinks>
  <pageMargins left="0.7" right="0.7" top="0.75" bottom="0.75" header="0.3" footer="0.3"/>
  <pageSetup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DE4E4-ACB7-4BC7-A3D9-BEB369B07A9B}">
  <sheetPr>
    <tabColor rgb="FF92D050"/>
  </sheetPr>
  <dimension ref="A1:Q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249</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52">
        <v>2018</v>
      </c>
      <c r="D9" s="50">
        <v>2018</v>
      </c>
      <c r="E9" s="49">
        <v>2018</v>
      </c>
      <c r="F9" s="49">
        <v>2018</v>
      </c>
      <c r="G9" s="49">
        <v>2018</v>
      </c>
      <c r="H9" s="49">
        <v>2018</v>
      </c>
      <c r="I9" s="49">
        <v>2018</v>
      </c>
      <c r="J9" s="49">
        <v>2018</v>
      </c>
      <c r="K9" s="49">
        <v>2018</v>
      </c>
      <c r="L9" s="49">
        <v>2018</v>
      </c>
    </row>
    <row r="10" spans="1:17" ht="6" customHeight="1" thickTop="1" x14ac:dyDescent="0.25">
      <c r="B10" s="96"/>
      <c r="C10" s="97"/>
      <c r="D10" s="178"/>
      <c r="E10" s="98"/>
      <c r="F10" s="98"/>
      <c r="G10" s="98"/>
      <c r="H10" s="98"/>
      <c r="I10" s="98"/>
      <c r="J10" s="98"/>
      <c r="K10" s="98"/>
      <c r="L10" s="98"/>
    </row>
    <row r="11" spans="1:17" x14ac:dyDescent="0.25">
      <c r="B11" s="192" t="s">
        <v>3</v>
      </c>
      <c r="C11" s="191">
        <v>198400</v>
      </c>
      <c r="D11" s="469">
        <v>23411.200000000001</v>
      </c>
      <c r="E11" s="341">
        <v>8531.2000000000007</v>
      </c>
      <c r="F11" s="341">
        <v>4166.3999999999996</v>
      </c>
      <c r="G11" s="56">
        <f>IFERROR(D11*1000/C11,"-")</f>
        <v>118</v>
      </c>
      <c r="H11" s="56">
        <f>IFERROR(E11*1000/C11,"-")</f>
        <v>43</v>
      </c>
      <c r="I11" s="56">
        <f>IFERROR(F11*1000/C11,"-")</f>
        <v>20.999999999999996</v>
      </c>
      <c r="J11" s="57">
        <f t="shared" ref="J11:J22" si="0">D11/$D$24</f>
        <v>0.22026958378795164</v>
      </c>
      <c r="K11" s="57">
        <f t="shared" ref="K11:K22" si="1">E11/$E$24</f>
        <v>5.8857816416049737E-2</v>
      </c>
      <c r="L11" s="57">
        <f t="shared" ref="L11:L22" si="2">F11/$F$24</f>
        <v>8.6219651930371163E-2</v>
      </c>
    </row>
    <row r="12" spans="1:17" x14ac:dyDescent="0.25">
      <c r="B12" s="103" t="s">
        <v>16</v>
      </c>
      <c r="C12" s="71">
        <v>145000</v>
      </c>
      <c r="D12" s="472">
        <v>11890</v>
      </c>
      <c r="E12" s="198">
        <v>6525</v>
      </c>
      <c r="F12" s="198">
        <v>4350</v>
      </c>
      <c r="G12" s="74">
        <f t="shared" ref="G12:G22" si="3">IFERROR(D12*1000/C12,"-")</f>
        <v>82</v>
      </c>
      <c r="H12" s="74">
        <f t="shared" ref="H12:H22" si="4">IFERROR(E12*1000/C12,"-")</f>
        <v>45</v>
      </c>
      <c r="I12" s="74">
        <f t="shared" ref="I12:I22" si="5">IFERROR(F12*1000/C12,"-")</f>
        <v>30</v>
      </c>
      <c r="J12" s="75">
        <f t="shared" si="0"/>
        <v>0.11186976110745049</v>
      </c>
      <c r="K12" s="75">
        <f t="shared" si="1"/>
        <v>4.5016791555083042E-2</v>
      </c>
      <c r="L12" s="75">
        <f t="shared" si="2"/>
        <v>9.0019077836289027E-2</v>
      </c>
    </row>
    <row r="13" spans="1:17" x14ac:dyDescent="0.25">
      <c r="B13" s="192" t="s">
        <v>69</v>
      </c>
      <c r="C13" s="191">
        <v>107000</v>
      </c>
      <c r="D13" s="471">
        <v>15247.5</v>
      </c>
      <c r="E13" s="196">
        <v>7115.5000000000009</v>
      </c>
      <c r="F13" s="196">
        <v>3210</v>
      </c>
      <c r="G13" s="56">
        <f t="shared" si="3"/>
        <v>142.5</v>
      </c>
      <c r="H13" s="56">
        <f t="shared" si="4"/>
        <v>66.500000000000014</v>
      </c>
      <c r="I13" s="56">
        <f t="shared" si="5"/>
        <v>30</v>
      </c>
      <c r="J13" s="57">
        <f t="shared" si="0"/>
        <v>0.14345956118468053</v>
      </c>
      <c r="K13" s="57">
        <f t="shared" si="1"/>
        <v>4.9090724951753782E-2</v>
      </c>
      <c r="L13" s="57">
        <f t="shared" si="2"/>
        <v>6.642787123091673E-2</v>
      </c>
    </row>
    <row r="14" spans="1:17" x14ac:dyDescent="0.25">
      <c r="B14" s="103" t="s">
        <v>5</v>
      </c>
      <c r="C14" s="71">
        <v>199300</v>
      </c>
      <c r="D14" s="472">
        <v>28400.25</v>
      </c>
      <c r="E14" s="198">
        <v>13253.45</v>
      </c>
      <c r="F14" s="198">
        <v>5979</v>
      </c>
      <c r="G14" s="74">
        <f t="shared" si="3"/>
        <v>142.5</v>
      </c>
      <c r="H14" s="74">
        <f t="shared" si="4"/>
        <v>66.5</v>
      </c>
      <c r="I14" s="74">
        <f t="shared" si="5"/>
        <v>30</v>
      </c>
      <c r="J14" s="75">
        <f t="shared" si="0"/>
        <v>0.26721019200099838</v>
      </c>
      <c r="K14" s="75">
        <f t="shared" si="1"/>
        <v>9.1437210120416154E-2</v>
      </c>
      <c r="L14" s="75">
        <f t="shared" si="2"/>
        <v>0.12372967043291312</v>
      </c>
    </row>
    <row r="15" spans="1:17" x14ac:dyDescent="0.25">
      <c r="B15" s="192" t="s">
        <v>6</v>
      </c>
      <c r="C15" s="191">
        <v>966000</v>
      </c>
      <c r="D15" s="471">
        <v>1932</v>
      </c>
      <c r="E15" s="341">
        <v>41538</v>
      </c>
      <c r="F15" s="341">
        <v>27048</v>
      </c>
      <c r="G15" s="56">
        <f t="shared" si="3"/>
        <v>2</v>
      </c>
      <c r="H15" s="56">
        <f t="shared" si="4"/>
        <v>43</v>
      </c>
      <c r="I15" s="56">
        <f t="shared" si="5"/>
        <v>28</v>
      </c>
      <c r="J15" s="57">
        <f t="shared" si="0"/>
        <v>1.8177660089116431E-2</v>
      </c>
      <c r="K15" s="57">
        <f t="shared" si="1"/>
        <v>0.28657586017088726</v>
      </c>
      <c r="L15" s="57">
        <f t="shared" si="2"/>
        <v>0.55973241777378058</v>
      </c>
    </row>
    <row r="16" spans="1:17" x14ac:dyDescent="0.25">
      <c r="B16" s="103" t="s">
        <v>56</v>
      </c>
      <c r="C16" s="71">
        <v>55000</v>
      </c>
      <c r="D16" s="472">
        <v>5115</v>
      </c>
      <c r="E16" s="198">
        <v>2640</v>
      </c>
      <c r="F16" s="198">
        <v>1925</v>
      </c>
      <c r="G16" s="74">
        <f t="shared" si="3"/>
        <v>93</v>
      </c>
      <c r="H16" s="74">
        <f t="shared" si="4"/>
        <v>48</v>
      </c>
      <c r="I16" s="74">
        <f t="shared" si="5"/>
        <v>35</v>
      </c>
      <c r="J16" s="75">
        <f t="shared" si="0"/>
        <v>4.8125637347738372E-2</v>
      </c>
      <c r="K16" s="75">
        <f t="shared" si="1"/>
        <v>1.821369037630946E-2</v>
      </c>
      <c r="L16" s="75">
        <f t="shared" si="2"/>
        <v>3.9836028697668127E-2</v>
      </c>
    </row>
    <row r="17" spans="1:17" x14ac:dyDescent="0.25">
      <c r="B17" s="192" t="s">
        <v>73</v>
      </c>
      <c r="C17" s="191">
        <v>6200</v>
      </c>
      <c r="D17" s="471">
        <v>883.5</v>
      </c>
      <c r="E17" s="196">
        <v>353.4</v>
      </c>
      <c r="F17" s="196">
        <v>310</v>
      </c>
      <c r="G17" s="56">
        <f t="shared" si="3"/>
        <v>142.5</v>
      </c>
      <c r="H17" s="56">
        <f t="shared" si="4"/>
        <v>57</v>
      </c>
      <c r="I17" s="56">
        <f t="shared" si="5"/>
        <v>50</v>
      </c>
      <c r="J17" s="57">
        <f t="shared" si="0"/>
        <v>8.312610087336629E-3</v>
      </c>
      <c r="K17" s="57">
        <f t="shared" si="1"/>
        <v>2.4381508253741527E-3</v>
      </c>
      <c r="L17" s="57">
        <f t="shared" si="2"/>
        <v>6.4151526733907116E-3</v>
      </c>
    </row>
    <row r="18" spans="1:17" x14ac:dyDescent="0.25">
      <c r="B18" s="103" t="s">
        <v>303</v>
      </c>
      <c r="C18" s="71">
        <v>4167</v>
      </c>
      <c r="D18" s="472">
        <v>475.03799999999995</v>
      </c>
      <c r="E18" s="198">
        <v>237.51899999999998</v>
      </c>
      <c r="F18" s="198">
        <v>291.69</v>
      </c>
      <c r="G18" s="74">
        <f t="shared" si="3"/>
        <v>113.99999999999999</v>
      </c>
      <c r="H18" s="74">
        <f t="shared" si="4"/>
        <v>56.999999999999993</v>
      </c>
      <c r="I18" s="74">
        <f t="shared" si="5"/>
        <v>70</v>
      </c>
      <c r="J18" s="75">
        <f t="shared" si="0"/>
        <v>4.4695027398621587E-3</v>
      </c>
      <c r="K18" s="75">
        <f t="shared" si="1"/>
        <v>1.6386733047313055E-3</v>
      </c>
      <c r="L18" s="75">
        <f t="shared" si="2"/>
        <v>6.0362447848430218E-3</v>
      </c>
    </row>
    <row r="19" spans="1:17" x14ac:dyDescent="0.25">
      <c r="B19" s="192" t="s">
        <v>45</v>
      </c>
      <c r="C19" s="191">
        <v>20800</v>
      </c>
      <c r="D19" s="471">
        <v>1580.8</v>
      </c>
      <c r="E19" s="196">
        <v>1185.5999999999999</v>
      </c>
      <c r="F19" s="196">
        <v>728</v>
      </c>
      <c r="G19" s="56">
        <f t="shared" si="3"/>
        <v>76</v>
      </c>
      <c r="H19" s="56">
        <f t="shared" si="4"/>
        <v>57</v>
      </c>
      <c r="I19" s="56">
        <f t="shared" si="5"/>
        <v>35</v>
      </c>
      <c r="J19" s="57">
        <f t="shared" si="0"/>
        <v>1.487331525304102E-2</v>
      </c>
      <c r="K19" s="57">
        <f t="shared" si="1"/>
        <v>8.179602768997157E-3</v>
      </c>
      <c r="L19" s="57">
        <f t="shared" si="2"/>
        <v>1.5065261762027221E-2</v>
      </c>
    </row>
    <row r="20" spans="1:17" x14ac:dyDescent="0.25">
      <c r="B20" s="103" t="s">
        <v>9</v>
      </c>
      <c r="C20" s="71">
        <v>9000</v>
      </c>
      <c r="D20" s="472">
        <v>855</v>
      </c>
      <c r="E20" s="198">
        <v>513</v>
      </c>
      <c r="F20" s="198">
        <v>315</v>
      </c>
      <c r="G20" s="74">
        <f t="shared" si="3"/>
        <v>95</v>
      </c>
      <c r="H20" s="74">
        <f t="shared" si="4"/>
        <v>57</v>
      </c>
      <c r="I20" s="74">
        <f t="shared" si="5"/>
        <v>35</v>
      </c>
      <c r="J20" s="75">
        <f t="shared" si="0"/>
        <v>8.0444613748418981E-3</v>
      </c>
      <c r="K20" s="75">
        <f t="shared" si="1"/>
        <v>3.5392511981237706E-3</v>
      </c>
      <c r="L20" s="75">
        <f t="shared" si="2"/>
        <v>6.5186228778002396E-3</v>
      </c>
    </row>
    <row r="21" spans="1:17" x14ac:dyDescent="0.25">
      <c r="B21" s="192" t="s">
        <v>10</v>
      </c>
      <c r="C21" s="83">
        <v>1757900</v>
      </c>
      <c r="D21" s="470">
        <v>12516.018700000001</v>
      </c>
      <c r="E21" s="341">
        <v>31229.245060000001</v>
      </c>
      <c r="F21" s="341">
        <v>0</v>
      </c>
      <c r="G21" s="56">
        <f t="shared" si="3"/>
        <v>7.1198695602707787</v>
      </c>
      <c r="H21" s="56">
        <f t="shared" si="4"/>
        <v>17.765086216508337</v>
      </c>
      <c r="I21" s="56">
        <f t="shared" si="5"/>
        <v>0</v>
      </c>
      <c r="J21" s="57">
        <f t="shared" si="0"/>
        <v>0.11775979999877066</v>
      </c>
      <c r="K21" s="57">
        <f t="shared" si="1"/>
        <v>0.21545446977603477</v>
      </c>
      <c r="L21" s="57">
        <f t="shared" si="2"/>
        <v>0</v>
      </c>
    </row>
    <row r="22" spans="1:17" x14ac:dyDescent="0.25">
      <c r="B22" s="103" t="s">
        <v>12</v>
      </c>
      <c r="C22" s="71">
        <v>795600</v>
      </c>
      <c r="D22" s="472">
        <v>3978</v>
      </c>
      <c r="E22" s="198">
        <v>31824</v>
      </c>
      <c r="F22" s="198">
        <v>0</v>
      </c>
      <c r="G22" s="74">
        <f t="shared" si="3"/>
        <v>5</v>
      </c>
      <c r="H22" s="74">
        <f t="shared" si="4"/>
        <v>40</v>
      </c>
      <c r="I22" s="74">
        <f t="shared" si="5"/>
        <v>0</v>
      </c>
      <c r="J22" s="75">
        <f t="shared" si="0"/>
        <v>3.7427915028211779E-2</v>
      </c>
      <c r="K22" s="75">
        <f t="shared" si="1"/>
        <v>0.21955775853623952</v>
      </c>
      <c r="L22" s="75">
        <f t="shared" si="2"/>
        <v>0</v>
      </c>
    </row>
    <row r="23" spans="1:17" s="7" customFormat="1" ht="6" customHeight="1" thickBot="1" x14ac:dyDescent="0.3">
      <c r="B23" s="89"/>
      <c r="C23" s="99"/>
      <c r="D23" s="99"/>
      <c r="E23" s="93"/>
      <c r="F23" s="92"/>
      <c r="G23" s="100"/>
      <c r="H23" s="84"/>
      <c r="I23" s="101"/>
      <c r="J23" s="85"/>
      <c r="K23" s="85"/>
      <c r="L23" s="85"/>
    </row>
    <row r="24" spans="1:17" s="12" customFormat="1" ht="24.95" customHeight="1" thickTop="1" thickBot="1" x14ac:dyDescent="0.3">
      <c r="A24" s="13"/>
      <c r="B24" s="90" t="s">
        <v>13</v>
      </c>
      <c r="C24" s="63">
        <f>SUM(C11:C22)</f>
        <v>4264367</v>
      </c>
      <c r="D24" s="63">
        <f>SUM(D11:D22)</f>
        <v>106284.3067</v>
      </c>
      <c r="E24" s="62">
        <f>SUM(E11:E22)</f>
        <v>144945.91405999998</v>
      </c>
      <c r="F24" s="102">
        <f>SUM(F11:F22)</f>
        <v>48323.090000000004</v>
      </c>
      <c r="G24" s="94"/>
      <c r="H24" s="94"/>
      <c r="I24" s="94"/>
      <c r="J24" s="95">
        <f>SUM(J11:J22)</f>
        <v>1</v>
      </c>
      <c r="K24" s="64">
        <f>SUM(K11:K22)</f>
        <v>1.0000000000000002</v>
      </c>
      <c r="L24" s="65">
        <f>SUM(L11:L22)</f>
        <v>1</v>
      </c>
      <c r="M24" s="13"/>
      <c r="N24" s="13"/>
      <c r="O24" s="13"/>
      <c r="P24" s="13"/>
      <c r="Q24" s="13"/>
    </row>
    <row r="25" spans="1:17" ht="15.75" thickTop="1" x14ac:dyDescent="0.25">
      <c r="B25" s="15"/>
    </row>
    <row r="26" spans="1:17" x14ac:dyDescent="0.25">
      <c r="B26" s="15"/>
    </row>
    <row r="27" spans="1:17" x14ac:dyDescent="0.25">
      <c r="B27" s="66" t="s">
        <v>416</v>
      </c>
      <c r="C27" s="67"/>
      <c r="D27" s="67"/>
      <c r="E27" s="67"/>
      <c r="F27" s="67"/>
      <c r="G27" s="35"/>
      <c r="H27" s="35"/>
      <c r="I27" s="35"/>
      <c r="J27" s="35"/>
      <c r="K27" s="35"/>
    </row>
    <row r="28" spans="1:17" x14ac:dyDescent="0.25">
      <c r="A28" s="21"/>
      <c r="B28" s="68" t="s">
        <v>439</v>
      </c>
      <c r="C28" s="68"/>
      <c r="D28" s="68"/>
      <c r="E28" s="68"/>
      <c r="F28" s="68"/>
      <c r="G28" s="68"/>
      <c r="H28" s="68"/>
      <c r="I28" s="68"/>
      <c r="J28" s="68"/>
      <c r="K28" s="68"/>
      <c r="L28"/>
      <c r="M28"/>
      <c r="N28"/>
      <c r="O28"/>
      <c r="P28"/>
      <c r="Q28"/>
    </row>
    <row r="29" spans="1:17" x14ac:dyDescent="0.25">
      <c r="A29" s="21"/>
      <c r="B29" s="68" t="s">
        <v>250</v>
      </c>
      <c r="C29" s="68"/>
      <c r="D29" s="68"/>
      <c r="E29" s="68"/>
      <c r="F29" s="68"/>
      <c r="G29" s="68"/>
      <c r="H29" s="68"/>
      <c r="I29" s="68"/>
      <c r="J29" s="68"/>
      <c r="K29" s="68"/>
      <c r="L29"/>
      <c r="M29"/>
      <c r="N29"/>
      <c r="O29"/>
      <c r="P29"/>
      <c r="Q29"/>
    </row>
    <row r="30" spans="1:17" ht="14.45" customHeight="1" x14ac:dyDescent="0.25">
      <c r="A30" s="21"/>
      <c r="B30" s="67"/>
      <c r="C30" s="68"/>
      <c r="D30" s="68"/>
      <c r="E30" s="68"/>
      <c r="F30" s="68"/>
      <c r="G30" s="67"/>
      <c r="H30" s="68"/>
      <c r="I30" s="36"/>
      <c r="J30" s="36"/>
      <c r="K30" s="36"/>
      <c r="L30"/>
      <c r="M30"/>
      <c r="N30"/>
      <c r="O30"/>
      <c r="P30"/>
      <c r="Q30"/>
    </row>
    <row r="31" spans="1:17" x14ac:dyDescent="0.25">
      <c r="A31"/>
      <c r="B31" s="79" t="s">
        <v>397</v>
      </c>
      <c r="C31" s="68"/>
      <c r="D31" s="68"/>
      <c r="E31" s="68"/>
      <c r="F31" s="68"/>
      <c r="G31" s="68"/>
      <c r="H31" s="68"/>
      <c r="I31" s="36"/>
      <c r="J31" s="36"/>
      <c r="K31" s="36"/>
      <c r="L31"/>
      <c r="M31"/>
      <c r="N31"/>
      <c r="O31"/>
      <c r="P31"/>
      <c r="Q31"/>
    </row>
    <row r="32" spans="1:17" x14ac:dyDescent="0.25">
      <c r="A32" s="21"/>
      <c r="B32" s="69" t="s">
        <v>189</v>
      </c>
      <c r="C32" s="68"/>
      <c r="D32" s="68"/>
      <c r="E32" s="68"/>
      <c r="F32" s="68"/>
      <c r="G32" s="68"/>
      <c r="H32" s="68"/>
      <c r="I32" s="36"/>
      <c r="J32" s="36"/>
      <c r="K32" s="36"/>
      <c r="L32"/>
      <c r="M32"/>
      <c r="N32"/>
      <c r="O32"/>
      <c r="P32"/>
      <c r="Q32"/>
    </row>
    <row r="33" spans="2:11" x14ac:dyDescent="0.25">
      <c r="B33" s="67" t="s">
        <v>382</v>
      </c>
      <c r="C33" s="67"/>
      <c r="D33" s="67"/>
      <c r="E33" s="67"/>
      <c r="F33" s="67"/>
      <c r="G33" s="67"/>
      <c r="H33" s="67"/>
      <c r="I33" s="35"/>
      <c r="J33" s="35"/>
      <c r="K33" s="35"/>
    </row>
    <row r="34" spans="2:11" x14ac:dyDescent="0.25">
      <c r="B34" s="69"/>
      <c r="C34" s="67"/>
      <c r="D34" s="67"/>
      <c r="E34" s="67"/>
      <c r="F34" s="67"/>
      <c r="G34" s="67"/>
      <c r="H34" s="67"/>
      <c r="I34" s="35"/>
      <c r="J34" s="35"/>
      <c r="K34" s="35"/>
    </row>
    <row r="35" spans="2:11" x14ac:dyDescent="0.25">
      <c r="B35" s="66" t="s">
        <v>398</v>
      </c>
      <c r="C35" s="35"/>
      <c r="D35" s="35"/>
      <c r="E35" s="35"/>
      <c r="F35" s="35"/>
      <c r="G35" s="35"/>
      <c r="H35" s="35"/>
      <c r="I35" s="35"/>
      <c r="J35" s="35"/>
      <c r="K35" s="35"/>
    </row>
  </sheetData>
  <mergeCells count="8">
    <mergeCell ref="C6:C7"/>
    <mergeCell ref="D6:F6"/>
    <mergeCell ref="G6:I6"/>
    <mergeCell ref="J6:L6"/>
    <mergeCell ref="B7:B8"/>
    <mergeCell ref="D7:F7"/>
    <mergeCell ref="G7:I7"/>
    <mergeCell ref="J7:L7"/>
  </mergeCells>
  <hyperlinks>
    <hyperlink ref="B1" location="Start!A1" display="Back to home page" xr:uid="{BD7A8181-B0F6-40D2-8A41-845060C2F747}"/>
  </hyperlinks>
  <pageMargins left="0.7" right="0.7" top="0.75" bottom="0.75" header="0.3" footer="0.3"/>
  <pageSetup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44E9-6E46-4B20-9D3C-A782A9D5BD88}">
  <sheetPr>
    <tabColor rgb="FF92D050"/>
  </sheetPr>
  <dimension ref="A1:Q34"/>
  <sheetViews>
    <sheetView showGridLines="0" zoomScale="80" zoomScaleNormal="80" workbookViewId="0">
      <pane xSplit="2" ySplit="9" topLeftCell="C15"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400</v>
      </c>
      <c r="D6" s="592" t="s">
        <v>389</v>
      </c>
      <c r="E6" s="592"/>
      <c r="F6" s="592"/>
      <c r="G6" s="589" t="s">
        <v>392</v>
      </c>
      <c r="H6" s="589"/>
      <c r="I6" s="589"/>
      <c r="J6" s="589" t="s">
        <v>399</v>
      </c>
      <c r="K6" s="589"/>
      <c r="L6" s="589"/>
    </row>
    <row r="7" spans="1:17" ht="25.15" customHeight="1" thickBot="1" x14ac:dyDescent="0.3">
      <c r="B7" s="596" t="s">
        <v>436</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1" t="s">
        <v>388</v>
      </c>
      <c r="E8" s="541" t="s">
        <v>394</v>
      </c>
      <c r="F8" s="541" t="s">
        <v>395</v>
      </c>
      <c r="G8" s="542" t="s">
        <v>388</v>
      </c>
      <c r="H8" s="542" t="s">
        <v>394</v>
      </c>
      <c r="I8" s="542" t="s">
        <v>404</v>
      </c>
      <c r="J8" s="541" t="s">
        <v>388</v>
      </c>
      <c r="K8" s="541" t="s">
        <v>394</v>
      </c>
      <c r="L8" s="541" t="s">
        <v>395</v>
      </c>
      <c r="M8" s="13"/>
      <c r="N8" s="13"/>
      <c r="O8" s="13"/>
      <c r="P8" s="13"/>
      <c r="Q8" s="13"/>
    </row>
    <row r="9" spans="1:17" ht="34.15" customHeight="1" thickTop="1" thickBot="1" x14ac:dyDescent="0.3">
      <c r="B9" s="182" t="s">
        <v>393</v>
      </c>
      <c r="C9" s="51">
        <v>2018</v>
      </c>
      <c r="D9" s="49">
        <v>2018</v>
      </c>
      <c r="E9" s="49">
        <v>2018</v>
      </c>
      <c r="F9" s="52">
        <v>2018</v>
      </c>
      <c r="G9" s="49">
        <v>2018</v>
      </c>
      <c r="H9" s="49">
        <v>2018</v>
      </c>
      <c r="I9" s="49">
        <v>2018</v>
      </c>
      <c r="J9" s="49">
        <v>2018</v>
      </c>
      <c r="K9" s="49">
        <v>2018</v>
      </c>
      <c r="L9" s="49">
        <v>2018</v>
      </c>
    </row>
    <row r="10" spans="1:17" ht="6" customHeight="1" thickTop="1" x14ac:dyDescent="0.25">
      <c r="B10" s="96"/>
      <c r="C10" s="175"/>
      <c r="D10" s="98"/>
      <c r="E10" s="98"/>
      <c r="F10" s="97"/>
      <c r="G10" s="98"/>
      <c r="H10" s="98"/>
      <c r="I10" s="98"/>
      <c r="J10" s="98"/>
      <c r="K10" s="98"/>
      <c r="L10" s="98"/>
    </row>
    <row r="11" spans="1:17" x14ac:dyDescent="0.25">
      <c r="B11" s="89" t="s">
        <v>16</v>
      </c>
      <c r="C11" s="172">
        <v>7570741</v>
      </c>
      <c r="D11" s="53">
        <v>966146.66981829365</v>
      </c>
      <c r="E11" s="53">
        <v>525301.99423284538</v>
      </c>
      <c r="F11" s="164">
        <v>293170.98379348306</v>
      </c>
      <c r="G11" s="56">
        <f>IFERROR(D11*1000/C11,"-")</f>
        <v>127.61586611116319</v>
      </c>
      <c r="H11" s="56">
        <f>IFERROR(E11*1000/C11,"-")</f>
        <v>69.385809689282112</v>
      </c>
      <c r="I11" s="56">
        <f>IFERROR(F11*1000/C11,"-")</f>
        <v>38.72421256961281</v>
      </c>
      <c r="J11" s="57">
        <f t="shared" ref="J11:J20" si="0">D11/$D$22</f>
        <v>0.60323843020622736</v>
      </c>
      <c r="K11" s="57">
        <f t="shared" ref="K11:K20" si="1">E11/$E$22</f>
        <v>0.63983190527752198</v>
      </c>
      <c r="L11" s="57">
        <f t="shared" ref="L11:L20" si="2">F11/$F$22</f>
        <v>0.57973301125861776</v>
      </c>
    </row>
    <row r="12" spans="1:17" x14ac:dyDescent="0.25">
      <c r="B12" s="103" t="s">
        <v>51</v>
      </c>
      <c r="C12" s="174">
        <v>1032598</v>
      </c>
      <c r="D12" s="71">
        <v>174780.4377264264</v>
      </c>
      <c r="E12" s="71">
        <v>55681.394676408403</v>
      </c>
      <c r="F12" s="166">
        <v>27432.412773569344</v>
      </c>
      <c r="G12" s="74">
        <f t="shared" ref="G12:G20" si="3">IFERROR(D12*1000/C12,"-")</f>
        <v>169.26280868878925</v>
      </c>
      <c r="H12" s="74">
        <f t="shared" ref="H12:H20" si="4">IFERROR(E12*1000/C12,"-")</f>
        <v>53.923593379425881</v>
      </c>
      <c r="I12" s="74">
        <f t="shared" ref="I12:I20" si="5">IFERROR(F12*1000/C12,"-")</f>
        <v>26.566401226391438</v>
      </c>
      <c r="J12" s="75">
        <f t="shared" si="0"/>
        <v>0.10912864493408242</v>
      </c>
      <c r="K12" s="75">
        <f t="shared" si="1"/>
        <v>6.7821430787342776E-2</v>
      </c>
      <c r="L12" s="75">
        <f t="shared" si="2"/>
        <v>5.4246416400176668E-2</v>
      </c>
    </row>
    <row r="13" spans="1:17" x14ac:dyDescent="0.25">
      <c r="B13" s="89" t="s">
        <v>6</v>
      </c>
      <c r="C13" s="172">
        <v>53364</v>
      </c>
      <c r="D13" s="53">
        <v>2839.6059766023245</v>
      </c>
      <c r="E13" s="53">
        <v>3101.6198347159761</v>
      </c>
      <c r="F13" s="164">
        <v>1910.0840610020698</v>
      </c>
      <c r="G13" s="56">
        <f t="shared" si="3"/>
        <v>53.212015152580847</v>
      </c>
      <c r="H13" s="56">
        <f t="shared" si="4"/>
        <v>58.121951778651827</v>
      </c>
      <c r="I13" s="56">
        <f t="shared" si="5"/>
        <v>35.793494884230377</v>
      </c>
      <c r="J13" s="57">
        <f t="shared" si="0"/>
        <v>1.7729807546218309E-3</v>
      </c>
      <c r="K13" s="57">
        <f t="shared" si="1"/>
        <v>3.7778560715176334E-3</v>
      </c>
      <c r="L13" s="57">
        <f t="shared" si="2"/>
        <v>3.7771090785091352E-3</v>
      </c>
    </row>
    <row r="14" spans="1:17" x14ac:dyDescent="0.25">
      <c r="B14" s="103" t="s">
        <v>300</v>
      </c>
      <c r="C14" s="174">
        <v>377642</v>
      </c>
      <c r="D14" s="71">
        <v>23637.37241934166</v>
      </c>
      <c r="E14" s="71">
        <v>24097.193116858536</v>
      </c>
      <c r="F14" s="166">
        <v>14839.879463053265</v>
      </c>
      <c r="G14" s="74">
        <f t="shared" si="3"/>
        <v>62.592011532990668</v>
      </c>
      <c r="H14" s="74">
        <f t="shared" si="4"/>
        <v>63.809621590973819</v>
      </c>
      <c r="I14" s="74">
        <f t="shared" si="5"/>
        <v>39.296157374056023</v>
      </c>
      <c r="J14" s="75">
        <f t="shared" si="0"/>
        <v>1.4758599162925611E-2</v>
      </c>
      <c r="K14" s="75">
        <f t="shared" si="1"/>
        <v>2.9351026938926363E-2</v>
      </c>
      <c r="L14" s="75">
        <f t="shared" si="2"/>
        <v>2.9345223379579323E-2</v>
      </c>
    </row>
    <row r="15" spans="1:17" x14ac:dyDescent="0.25">
      <c r="B15" s="89" t="s">
        <v>25</v>
      </c>
      <c r="C15" s="172">
        <v>606</v>
      </c>
      <c r="D15" s="53">
        <v>92.381057474027244</v>
      </c>
      <c r="E15" s="53">
        <v>23.544539371788211</v>
      </c>
      <c r="F15" s="164">
        <v>14.499536298524658</v>
      </c>
      <c r="G15" s="56">
        <f t="shared" si="3"/>
        <v>152.44398923106806</v>
      </c>
      <c r="H15" s="56">
        <f t="shared" si="4"/>
        <v>38.852375200970641</v>
      </c>
      <c r="I15" s="56">
        <f t="shared" si="5"/>
        <v>23.926627555321218</v>
      </c>
      <c r="J15" s="57">
        <f t="shared" si="0"/>
        <v>5.7680480440826205E-5</v>
      </c>
      <c r="K15" s="57">
        <f t="shared" si="1"/>
        <v>2.8677879868195148E-5</v>
      </c>
      <c r="L15" s="57">
        <f t="shared" si="2"/>
        <v>2.8672209409777844E-5</v>
      </c>
    </row>
    <row r="16" spans="1:17" x14ac:dyDescent="0.25">
      <c r="B16" s="103" t="s">
        <v>55</v>
      </c>
      <c r="C16" s="174">
        <v>269434</v>
      </c>
      <c r="D16" s="71">
        <v>58751.791639166666</v>
      </c>
      <c r="E16" s="71">
        <v>20588.802241471436</v>
      </c>
      <c r="F16" s="166">
        <v>27663.909423691883</v>
      </c>
      <c r="G16" s="74">
        <f t="shared" si="3"/>
        <v>218.0563389890165</v>
      </c>
      <c r="H16" s="74">
        <f t="shared" si="4"/>
        <v>76.415011622406368</v>
      </c>
      <c r="I16" s="74">
        <f t="shared" si="5"/>
        <v>102.67415925121507</v>
      </c>
      <c r="J16" s="75">
        <f t="shared" si="0"/>
        <v>3.6683186587891277E-2</v>
      </c>
      <c r="K16" s="75">
        <f t="shared" si="1"/>
        <v>2.5077712839794691E-2</v>
      </c>
      <c r="L16" s="75">
        <f t="shared" si="2"/>
        <v>5.4704191069194934E-2</v>
      </c>
    </row>
    <row r="17" spans="1:17" x14ac:dyDescent="0.25">
      <c r="B17" s="89" t="s">
        <v>45</v>
      </c>
      <c r="C17" s="172">
        <v>724203</v>
      </c>
      <c r="D17" s="53">
        <v>87214.879903527646</v>
      </c>
      <c r="E17" s="53">
        <v>46795.516648596742</v>
      </c>
      <c r="F17" s="164">
        <v>32420.572844207079</v>
      </c>
      <c r="G17" s="56">
        <f t="shared" si="3"/>
        <v>120.42877467164269</v>
      </c>
      <c r="H17" s="56">
        <f t="shared" si="4"/>
        <v>64.616573873066997</v>
      </c>
      <c r="I17" s="56">
        <f t="shared" si="5"/>
        <v>44.767244604354133</v>
      </c>
      <c r="J17" s="57">
        <f t="shared" si="0"/>
        <v>5.4454845094610169E-2</v>
      </c>
      <c r="K17" s="57">
        <f t="shared" si="1"/>
        <v>5.6998193238242088E-2</v>
      </c>
      <c r="L17" s="57">
        <f t="shared" si="2"/>
        <v>6.4110288400646781E-2</v>
      </c>
    </row>
    <row r="18" spans="1:17" x14ac:dyDescent="0.25">
      <c r="B18" s="103" t="s">
        <v>9</v>
      </c>
      <c r="C18" s="174">
        <v>1009363</v>
      </c>
      <c r="D18" s="71">
        <v>112822.6225103749</v>
      </c>
      <c r="E18" s="71">
        <v>51118.833239562024</v>
      </c>
      <c r="F18" s="166">
        <v>39350.917339637272</v>
      </c>
      <c r="G18" s="74">
        <f t="shared" si="3"/>
        <v>111.77606323034914</v>
      </c>
      <c r="H18" s="74">
        <f t="shared" si="4"/>
        <v>50.644647405900578</v>
      </c>
      <c r="I18" s="74">
        <f t="shared" si="5"/>
        <v>38.985892428826176</v>
      </c>
      <c r="J18" s="75">
        <f t="shared" si="0"/>
        <v>7.0443695373610699E-2</v>
      </c>
      <c r="K18" s="75">
        <f t="shared" si="1"/>
        <v>6.2264108696177878E-2</v>
      </c>
      <c r="L18" s="75">
        <f t="shared" si="2"/>
        <v>7.7814746568394835E-2</v>
      </c>
    </row>
    <row r="19" spans="1:17" x14ac:dyDescent="0.25">
      <c r="B19" s="89" t="s">
        <v>304</v>
      </c>
      <c r="C19" s="172">
        <v>655627</v>
      </c>
      <c r="D19" s="53">
        <v>30872.566456971261</v>
      </c>
      <c r="E19" s="53">
        <v>7868.2835673175623</v>
      </c>
      <c r="F19" s="164">
        <v>7268.3390439212426</v>
      </c>
      <c r="G19" s="56">
        <f t="shared" si="3"/>
        <v>47.088613582069165</v>
      </c>
      <c r="H19" s="56">
        <f t="shared" si="4"/>
        <v>12.001158535749081</v>
      </c>
      <c r="I19" s="56">
        <f t="shared" si="5"/>
        <v>11.086088650896382</v>
      </c>
      <c r="J19" s="57">
        <f t="shared" si="0"/>
        <v>1.9276077957649389E-2</v>
      </c>
      <c r="K19" s="57">
        <f t="shared" si="1"/>
        <v>9.5837802281578139E-3</v>
      </c>
      <c r="L19" s="57">
        <f t="shared" si="2"/>
        <v>1.437282785034851E-2</v>
      </c>
    </row>
    <row r="20" spans="1:17" x14ac:dyDescent="0.25">
      <c r="B20" s="103" t="s">
        <v>12</v>
      </c>
      <c r="C20" s="174">
        <v>2141512</v>
      </c>
      <c r="D20" s="71">
        <v>144441.67249182134</v>
      </c>
      <c r="E20" s="71">
        <v>86422.817902852054</v>
      </c>
      <c r="F20" s="166">
        <v>61628.401721136346</v>
      </c>
      <c r="G20" s="74">
        <f t="shared" si="3"/>
        <v>67.448453472042814</v>
      </c>
      <c r="H20" s="74">
        <f t="shared" si="4"/>
        <v>40.355981149231035</v>
      </c>
      <c r="I20" s="74">
        <f t="shared" si="5"/>
        <v>28.777985704089609</v>
      </c>
      <c r="J20" s="75">
        <f t="shared" si="0"/>
        <v>9.01858594479404E-2</v>
      </c>
      <c r="K20" s="75">
        <f t="shared" si="1"/>
        <v>0.10526530804245077</v>
      </c>
      <c r="L20" s="75">
        <f t="shared" si="2"/>
        <v>0.12186751378512228</v>
      </c>
    </row>
    <row r="21" spans="1:17" s="7" customFormat="1" ht="6" customHeight="1" thickBot="1" x14ac:dyDescent="0.3">
      <c r="B21" s="89"/>
      <c r="C21" s="99"/>
      <c r="D21" s="93"/>
      <c r="E21" s="93"/>
      <c r="F21" s="92"/>
      <c r="G21" s="100"/>
      <c r="H21" s="84"/>
      <c r="I21" s="101"/>
      <c r="J21" s="85"/>
      <c r="K21" s="85"/>
      <c r="L21" s="85"/>
    </row>
    <row r="22" spans="1:17" s="12" customFormat="1" ht="24.95" customHeight="1" thickTop="1" thickBot="1" x14ac:dyDescent="0.3">
      <c r="A22" s="13"/>
      <c r="B22" s="90" t="s">
        <v>13</v>
      </c>
      <c r="C22" s="63">
        <f>SUM(C11:C20)</f>
        <v>13835090</v>
      </c>
      <c r="D22" s="63">
        <f>SUM(D11:D20)</f>
        <v>1601600</v>
      </c>
      <c r="E22" s="62">
        <f>SUM(E11:E20)</f>
        <v>820999.99999999977</v>
      </c>
      <c r="F22" s="102">
        <f>SUM(F11:F20)</f>
        <v>505700.00000000006</v>
      </c>
      <c r="G22" s="94"/>
      <c r="H22" s="94"/>
      <c r="I22" s="94"/>
      <c r="J22" s="95">
        <f>SUM(J11:J20)</f>
        <v>1</v>
      </c>
      <c r="K22" s="64">
        <f>SUM(K11:K20)</f>
        <v>1</v>
      </c>
      <c r="L22" s="65">
        <f>SUM(L11:L20)</f>
        <v>1</v>
      </c>
      <c r="M22" s="13"/>
      <c r="N22" s="13"/>
      <c r="O22" s="13"/>
      <c r="P22" s="13"/>
      <c r="Q22" s="13"/>
    </row>
    <row r="23" spans="1:17" ht="15.75" thickTop="1" x14ac:dyDescent="0.25">
      <c r="B23" s="15"/>
    </row>
    <row r="24" spans="1:17" x14ac:dyDescent="0.25">
      <c r="B24" s="15"/>
    </row>
    <row r="25" spans="1:17" x14ac:dyDescent="0.25">
      <c r="B25" s="66" t="s">
        <v>396</v>
      </c>
      <c r="C25" s="67"/>
      <c r="D25" s="67"/>
      <c r="E25" s="67"/>
      <c r="F25" s="67"/>
    </row>
    <row r="26" spans="1:17" x14ac:dyDescent="0.25">
      <c r="A26" s="21"/>
      <c r="B26" s="67" t="s">
        <v>373</v>
      </c>
      <c r="C26" s="68"/>
      <c r="D26" s="68"/>
      <c r="E26" s="68"/>
      <c r="F26" s="68"/>
      <c r="G26" s="87"/>
      <c r="H26" s="88"/>
      <c r="I26"/>
      <c r="J26"/>
      <c r="K26"/>
      <c r="L26"/>
      <c r="M26"/>
      <c r="N26"/>
      <c r="O26"/>
      <c r="P26"/>
      <c r="Q26"/>
    </row>
    <row r="27" spans="1:17" ht="14.45" customHeight="1" x14ac:dyDescent="0.25">
      <c r="A27" s="21"/>
      <c r="B27" s="67"/>
      <c r="C27" s="68"/>
      <c r="D27" s="68"/>
      <c r="E27" s="68"/>
      <c r="F27" s="68"/>
      <c r="G27" s="87"/>
      <c r="H27" s="88"/>
      <c r="I27"/>
      <c r="J27"/>
      <c r="K27"/>
      <c r="L27"/>
      <c r="M27"/>
      <c r="N27"/>
      <c r="O27"/>
      <c r="P27"/>
      <c r="Q27"/>
    </row>
    <row r="28" spans="1:17" x14ac:dyDescent="0.25">
      <c r="A28"/>
      <c r="B28" s="79" t="s">
        <v>397</v>
      </c>
      <c r="C28" s="68"/>
      <c r="D28" s="68"/>
      <c r="E28" s="68"/>
      <c r="F28" s="68"/>
      <c r="G28" s="88"/>
      <c r="H28" s="88"/>
      <c r="I28"/>
      <c r="J28"/>
      <c r="K28"/>
      <c r="L28"/>
      <c r="M28"/>
      <c r="N28"/>
      <c r="O28"/>
      <c r="P28"/>
      <c r="Q28"/>
    </row>
    <row r="29" spans="1:17" x14ac:dyDescent="0.25">
      <c r="A29" s="21"/>
      <c r="B29" s="69" t="s">
        <v>298</v>
      </c>
      <c r="C29" s="68"/>
      <c r="D29" s="68"/>
      <c r="E29" s="68"/>
      <c r="F29" s="68"/>
      <c r="G29" s="88"/>
      <c r="H29" s="88"/>
      <c r="I29"/>
      <c r="J29"/>
      <c r="K29"/>
      <c r="L29"/>
      <c r="M29"/>
      <c r="N29"/>
      <c r="O29"/>
      <c r="P29"/>
      <c r="Q29"/>
    </row>
    <row r="30" spans="1:17" x14ac:dyDescent="0.25">
      <c r="B30" s="67" t="s">
        <v>302</v>
      </c>
      <c r="C30" s="67"/>
      <c r="D30" s="67"/>
      <c r="E30" s="67"/>
      <c r="F30" s="67"/>
      <c r="G30" s="87"/>
      <c r="H30" s="87"/>
    </row>
    <row r="31" spans="1:17" x14ac:dyDescent="0.25">
      <c r="B31" s="69" t="s">
        <v>310</v>
      </c>
      <c r="C31" s="67"/>
      <c r="D31" s="67"/>
      <c r="E31" s="67"/>
      <c r="F31" s="67"/>
      <c r="G31" s="87"/>
      <c r="H31" s="87"/>
    </row>
    <row r="32" spans="1:17" x14ac:dyDescent="0.25">
      <c r="B32" s="87" t="s">
        <v>382</v>
      </c>
      <c r="C32" s="87"/>
      <c r="D32" s="87"/>
      <c r="E32" s="87"/>
      <c r="F32" s="87"/>
      <c r="G32" s="87"/>
      <c r="H32" s="87"/>
    </row>
    <row r="33" spans="2:8" x14ac:dyDescent="0.25">
      <c r="B33" s="87"/>
      <c r="C33" s="87"/>
      <c r="D33" s="87"/>
      <c r="E33" s="87"/>
      <c r="F33" s="87"/>
      <c r="G33" s="87"/>
      <c r="H33" s="87"/>
    </row>
    <row r="34" spans="2:8" x14ac:dyDescent="0.25">
      <c r="B34" s="66" t="s">
        <v>398</v>
      </c>
    </row>
  </sheetData>
  <mergeCells count="8">
    <mergeCell ref="C6:C7"/>
    <mergeCell ref="D6:F6"/>
    <mergeCell ref="G6:I6"/>
    <mergeCell ref="J6:L6"/>
    <mergeCell ref="B7:B8"/>
    <mergeCell ref="D7:F7"/>
    <mergeCell ref="G7:I7"/>
    <mergeCell ref="J7:L7"/>
  </mergeCells>
  <hyperlinks>
    <hyperlink ref="B1" location="Start!A1" display="Back to home page" xr:uid="{2343BD85-BA71-4626-9D2E-5E92343B20FA}"/>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88637-2606-43A8-8304-C4E8897B8B17}">
  <sheetPr codeName="Feuil55">
    <tabColor rgb="FF92D050"/>
  </sheetPr>
  <dimension ref="A1:Q4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 sqref="B1"/>
    </sheetView>
  </sheetViews>
  <sheetFormatPr defaultColWidth="8.7109375" defaultRowHeight="15" x14ac:dyDescent="0.25"/>
  <cols>
    <col min="1" max="1" width="2.7109375" style="7" customWidth="1"/>
    <col min="2" max="2" width="45.7109375" style="7" customWidth="1"/>
    <col min="3" max="12" width="15.7109375" style="7" customWidth="1"/>
    <col min="13" max="17" width="8.7109375" style="7"/>
  </cols>
  <sheetData>
    <row r="1" spans="1:17" x14ac:dyDescent="0.25">
      <c r="A1" s="21"/>
      <c r="B1" s="546" t="s">
        <v>432</v>
      </c>
      <c r="D1"/>
      <c r="E1"/>
      <c r="F1"/>
      <c r="G1"/>
      <c r="H1"/>
      <c r="I1"/>
      <c r="J1"/>
      <c r="K1"/>
      <c r="L1"/>
      <c r="M1"/>
      <c r="N1"/>
      <c r="O1"/>
      <c r="P1"/>
      <c r="Q1"/>
    </row>
    <row r="2" spans="1:17" x14ac:dyDescent="0.25">
      <c r="A2" s="21"/>
      <c r="D2"/>
      <c r="E2"/>
      <c r="F2"/>
      <c r="G2"/>
      <c r="H2"/>
      <c r="I2"/>
      <c r="J2"/>
      <c r="K2"/>
      <c r="L2"/>
      <c r="M2"/>
      <c r="N2"/>
      <c r="O2"/>
      <c r="P2"/>
      <c r="Q2"/>
    </row>
    <row r="3" spans="1:17" x14ac:dyDescent="0.25">
      <c r="A3" s="21"/>
      <c r="D3"/>
      <c r="E3"/>
      <c r="F3"/>
      <c r="G3"/>
      <c r="H3"/>
      <c r="I3"/>
      <c r="J3"/>
      <c r="K3"/>
      <c r="L3"/>
      <c r="M3"/>
      <c r="N3"/>
      <c r="O3"/>
      <c r="P3"/>
      <c r="Q3"/>
    </row>
    <row r="4" spans="1:17" x14ac:dyDescent="0.25">
      <c r="A4" s="21"/>
      <c r="D4"/>
      <c r="E4"/>
      <c r="F4"/>
      <c r="G4"/>
      <c r="H4"/>
      <c r="I4"/>
      <c r="J4"/>
      <c r="K4"/>
      <c r="L4"/>
      <c r="M4"/>
      <c r="N4"/>
      <c r="O4"/>
      <c r="P4"/>
      <c r="Q4"/>
    </row>
    <row r="5" spans="1:17" ht="15.75" thickBot="1" x14ac:dyDescent="0.3"/>
    <row r="6" spans="1:17" ht="30" customHeight="1" thickTop="1" x14ac:dyDescent="0.3">
      <c r="B6" s="38" t="s">
        <v>387</v>
      </c>
      <c r="C6" s="589" t="s">
        <v>390</v>
      </c>
      <c r="D6" s="592" t="s">
        <v>389</v>
      </c>
      <c r="E6" s="592"/>
      <c r="F6" s="592"/>
      <c r="G6" s="589" t="s">
        <v>392</v>
      </c>
      <c r="H6" s="589"/>
      <c r="I6" s="589"/>
      <c r="J6" s="589" t="s">
        <v>399</v>
      </c>
      <c r="K6" s="589"/>
      <c r="L6" s="589"/>
    </row>
    <row r="7" spans="1:17" ht="25.15" customHeight="1" thickBot="1" x14ac:dyDescent="0.3">
      <c r="B7" s="596" t="s">
        <v>434</v>
      </c>
      <c r="C7" s="590"/>
      <c r="D7" s="597" t="s">
        <v>14</v>
      </c>
      <c r="E7" s="597"/>
      <c r="F7" s="597"/>
      <c r="G7" s="598" t="s">
        <v>415</v>
      </c>
      <c r="H7" s="598"/>
      <c r="I7" s="598"/>
      <c r="J7" s="598" t="s">
        <v>0</v>
      </c>
      <c r="K7" s="598"/>
      <c r="L7" s="598"/>
    </row>
    <row r="8" spans="1:17" s="12" customFormat="1" ht="34.15" customHeight="1" thickTop="1" thickBot="1" x14ac:dyDescent="0.3">
      <c r="A8" s="13"/>
      <c r="B8" s="596"/>
      <c r="C8" s="180" t="s">
        <v>405</v>
      </c>
      <c r="D8" s="540" t="s">
        <v>388</v>
      </c>
      <c r="E8" s="540" t="s">
        <v>394</v>
      </c>
      <c r="F8" s="540" t="s">
        <v>395</v>
      </c>
      <c r="G8" s="543" t="s">
        <v>388</v>
      </c>
      <c r="H8" s="543" t="s">
        <v>394</v>
      </c>
      <c r="I8" s="543" t="s">
        <v>404</v>
      </c>
      <c r="J8" s="540" t="s">
        <v>388</v>
      </c>
      <c r="K8" s="540" t="s">
        <v>394</v>
      </c>
      <c r="L8" s="540" t="s">
        <v>395</v>
      </c>
      <c r="M8" s="13"/>
      <c r="N8" s="13"/>
      <c r="O8" s="13"/>
      <c r="P8" s="13"/>
      <c r="Q8" s="13"/>
    </row>
    <row r="9" spans="1:17" ht="34.15" customHeight="1" thickTop="1" thickBot="1" x14ac:dyDescent="0.3">
      <c r="B9" s="182" t="s">
        <v>393</v>
      </c>
      <c r="C9" s="49" t="s">
        <v>1</v>
      </c>
      <c r="D9" s="49" t="s">
        <v>1</v>
      </c>
      <c r="E9" s="49" t="s">
        <v>1</v>
      </c>
      <c r="F9" s="49" t="s">
        <v>1</v>
      </c>
      <c r="G9" s="49" t="s">
        <v>1</v>
      </c>
      <c r="H9" s="49" t="s">
        <v>1</v>
      </c>
      <c r="I9" s="49" t="s">
        <v>1</v>
      </c>
      <c r="J9" s="49" t="s">
        <v>1</v>
      </c>
      <c r="K9" s="49" t="s">
        <v>1</v>
      </c>
      <c r="L9" s="49" t="s">
        <v>1</v>
      </c>
    </row>
    <row r="10" spans="1:17" ht="6" customHeight="1" thickTop="1" x14ac:dyDescent="0.25">
      <c r="B10" s="96"/>
      <c r="C10" s="98"/>
      <c r="D10" s="98"/>
      <c r="E10" s="98"/>
      <c r="F10" s="97"/>
      <c r="G10" s="98"/>
      <c r="H10" s="98"/>
      <c r="I10" s="98"/>
      <c r="J10" s="98"/>
      <c r="K10" s="98"/>
      <c r="L10" s="98"/>
    </row>
    <row r="11" spans="1:17" x14ac:dyDescent="0.25">
      <c r="B11" s="89" t="s">
        <v>3</v>
      </c>
      <c r="C11" s="53">
        <v>197454</v>
      </c>
      <c r="D11" s="53">
        <v>32777.364000000001</v>
      </c>
      <c r="E11" s="53">
        <v>1777.086</v>
      </c>
      <c r="F11" s="164">
        <v>4936.3500000000004</v>
      </c>
      <c r="G11" s="56">
        <f>IFERROR(D11*1000/C11,"-")</f>
        <v>166</v>
      </c>
      <c r="H11" s="56">
        <f>IFERROR(E11*1000/C11,"-")</f>
        <v>9</v>
      </c>
      <c r="I11" s="56">
        <f>IFERROR(F11*1000/C11,"-")</f>
        <v>25</v>
      </c>
      <c r="J11" s="57">
        <f t="shared" ref="J11:J30" si="0">D11/$D$33</f>
        <v>0.17633847279914175</v>
      </c>
      <c r="K11" s="57">
        <f t="shared" ref="K11:K31" si="1">E11/$E$33</f>
        <v>8.9155001990714258E-2</v>
      </c>
      <c r="L11" s="57">
        <f t="shared" ref="L11:L31" si="2">F11/$F$33</f>
        <v>8.0432682813327952E-2</v>
      </c>
    </row>
    <row r="12" spans="1:17" x14ac:dyDescent="0.25">
      <c r="B12" s="103" t="s">
        <v>27</v>
      </c>
      <c r="C12" s="71">
        <v>51877</v>
      </c>
      <c r="D12" s="71">
        <v>6069.6089999999995</v>
      </c>
      <c r="E12" s="71">
        <v>466.89300000000003</v>
      </c>
      <c r="F12" s="166">
        <v>1763.8180000000002</v>
      </c>
      <c r="G12" s="74">
        <f t="shared" ref="G12:G31" si="3">IFERROR(D12*1000/C12,"-")</f>
        <v>116.99999999999999</v>
      </c>
      <c r="H12" s="74">
        <f t="shared" ref="H12:H31" si="4">IFERROR(E12*1000/C12,"-")</f>
        <v>9</v>
      </c>
      <c r="I12" s="74">
        <f t="shared" ref="I12:I31" si="5">IFERROR(F12*1000/C12,"-")</f>
        <v>34.000000000000007</v>
      </c>
      <c r="J12" s="75">
        <f t="shared" si="0"/>
        <v>3.2653802836247775E-2</v>
      </c>
      <c r="K12" s="75">
        <f t="shared" si="1"/>
        <v>2.3423653297842961E-2</v>
      </c>
      <c r="L12" s="75">
        <f t="shared" si="2"/>
        <v>2.8739577569345465E-2</v>
      </c>
    </row>
    <row r="13" spans="1:17" x14ac:dyDescent="0.25">
      <c r="B13" s="89" t="s">
        <v>28</v>
      </c>
      <c r="C13" s="53">
        <v>16864</v>
      </c>
      <c r="D13" s="53">
        <v>1433.44</v>
      </c>
      <c r="E13" s="53">
        <v>151.77599999999998</v>
      </c>
      <c r="F13" s="164">
        <v>539.64800000000002</v>
      </c>
      <c r="G13" s="56">
        <f t="shared" si="3"/>
        <v>85</v>
      </c>
      <c r="H13" s="56">
        <f t="shared" si="4"/>
        <v>8.9999999999999982</v>
      </c>
      <c r="I13" s="56">
        <f t="shared" si="5"/>
        <v>32</v>
      </c>
      <c r="J13" s="57">
        <f t="shared" si="0"/>
        <v>7.7117433985601077E-3</v>
      </c>
      <c r="K13" s="57">
        <f t="shared" si="1"/>
        <v>7.6144821253122498E-3</v>
      </c>
      <c r="L13" s="57">
        <f t="shared" si="2"/>
        <v>8.7930022009879358E-3</v>
      </c>
    </row>
    <row r="14" spans="1:17" x14ac:dyDescent="0.25">
      <c r="B14" s="103" t="s">
        <v>29</v>
      </c>
      <c r="C14" s="71">
        <v>49093</v>
      </c>
      <c r="D14" s="71">
        <v>2454.65</v>
      </c>
      <c r="E14" s="71">
        <v>1129.1389999999999</v>
      </c>
      <c r="F14" s="166">
        <v>1276.4180000000001</v>
      </c>
      <c r="G14" s="74">
        <f t="shared" si="3"/>
        <v>50</v>
      </c>
      <c r="H14" s="74">
        <f t="shared" si="4"/>
        <v>23</v>
      </c>
      <c r="I14" s="74">
        <f t="shared" si="5"/>
        <v>26.000000000000004</v>
      </c>
      <c r="J14" s="75">
        <f t="shared" si="0"/>
        <v>1.3205736503289687E-2</v>
      </c>
      <c r="K14" s="75">
        <f t="shared" si="1"/>
        <v>5.66480124162776E-2</v>
      </c>
      <c r="L14" s="75">
        <f t="shared" si="2"/>
        <v>2.0797902120235079E-2</v>
      </c>
    </row>
    <row r="15" spans="1:17" x14ac:dyDescent="0.25">
      <c r="B15" s="89" t="s">
        <v>30</v>
      </c>
      <c r="C15" s="53">
        <v>18136</v>
      </c>
      <c r="D15" s="53">
        <v>2103.7759999999998</v>
      </c>
      <c r="E15" s="53">
        <v>126.95200000000001</v>
      </c>
      <c r="F15" s="164">
        <v>634.76</v>
      </c>
      <c r="G15" s="56">
        <f t="shared" si="3"/>
        <v>116</v>
      </c>
      <c r="H15" s="56">
        <f t="shared" si="4"/>
        <v>7.0000000000000009</v>
      </c>
      <c r="I15" s="56">
        <f t="shared" si="5"/>
        <v>35</v>
      </c>
      <c r="J15" s="57">
        <f t="shared" si="0"/>
        <v>1.1318074478212682E-2</v>
      </c>
      <c r="K15" s="57">
        <f t="shared" si="1"/>
        <v>6.3690816385505019E-3</v>
      </c>
      <c r="L15" s="57">
        <f t="shared" si="2"/>
        <v>1.0342753196711749E-2</v>
      </c>
    </row>
    <row r="16" spans="1:17" x14ac:dyDescent="0.25">
      <c r="B16" s="103" t="s">
        <v>31</v>
      </c>
      <c r="C16" s="71">
        <v>14093</v>
      </c>
      <c r="D16" s="71">
        <v>2113.9499999999998</v>
      </c>
      <c r="E16" s="71">
        <v>465.06900000000002</v>
      </c>
      <c r="F16" s="166">
        <v>1493.8579999999999</v>
      </c>
      <c r="G16" s="74">
        <f t="shared" si="3"/>
        <v>150</v>
      </c>
      <c r="H16" s="74">
        <f t="shared" si="4"/>
        <v>33</v>
      </c>
      <c r="I16" s="74">
        <f t="shared" si="5"/>
        <v>106</v>
      </c>
      <c r="J16" s="75">
        <f t="shared" si="0"/>
        <v>1.1372809435613725E-2</v>
      </c>
      <c r="K16" s="75">
        <f t="shared" si="1"/>
        <v>2.3332144657500813E-2</v>
      </c>
      <c r="L16" s="75">
        <f t="shared" si="2"/>
        <v>2.4340860490474226E-2</v>
      </c>
    </row>
    <row r="17" spans="2:12" x14ac:dyDescent="0.25">
      <c r="B17" s="89" t="s">
        <v>32</v>
      </c>
      <c r="C17" s="53">
        <v>16111.999999999998</v>
      </c>
      <c r="D17" s="53">
        <v>322.24</v>
      </c>
      <c r="E17" s="53">
        <v>435.024</v>
      </c>
      <c r="F17" s="164">
        <v>1256.7360000000001</v>
      </c>
      <c r="G17" s="56">
        <f t="shared" si="3"/>
        <v>20.000000000000004</v>
      </c>
      <c r="H17" s="56">
        <f t="shared" si="4"/>
        <v>27.000000000000004</v>
      </c>
      <c r="I17" s="56">
        <f t="shared" si="5"/>
        <v>78.000000000000014</v>
      </c>
      <c r="J17" s="57">
        <f t="shared" si="0"/>
        <v>1.7336143771291502E-3</v>
      </c>
      <c r="K17" s="57">
        <f t="shared" si="1"/>
        <v>2.1824810721601813E-2</v>
      </c>
      <c r="L17" s="57">
        <f t="shared" si="2"/>
        <v>2.0477204425960582E-2</v>
      </c>
    </row>
    <row r="18" spans="2:12" x14ac:dyDescent="0.25">
      <c r="B18" s="103" t="s">
        <v>33</v>
      </c>
      <c r="C18" s="71">
        <v>4043</v>
      </c>
      <c r="D18" s="71">
        <v>80.86</v>
      </c>
      <c r="E18" s="71">
        <v>64.688000000000002</v>
      </c>
      <c r="F18" s="166">
        <v>242.57999999999998</v>
      </c>
      <c r="G18" s="74">
        <f t="shared" si="3"/>
        <v>20</v>
      </c>
      <c r="H18" s="74">
        <f t="shared" si="4"/>
        <v>16</v>
      </c>
      <c r="I18" s="74">
        <f t="shared" si="5"/>
        <v>59.999999999999993</v>
      </c>
      <c r="J18" s="75">
        <f t="shared" si="0"/>
        <v>4.3501756000081644E-4</v>
      </c>
      <c r="K18" s="75">
        <f t="shared" si="1"/>
        <v>3.2453459026604925E-3</v>
      </c>
      <c r="L18" s="75">
        <f t="shared" si="2"/>
        <v>3.9525884908600669E-3</v>
      </c>
    </row>
    <row r="19" spans="2:12" x14ac:dyDescent="0.25">
      <c r="B19" s="89" t="s">
        <v>26</v>
      </c>
      <c r="C19" s="53">
        <v>93478</v>
      </c>
      <c r="D19" s="53">
        <v>13647.788</v>
      </c>
      <c r="E19" s="53">
        <v>2149.9940000000001</v>
      </c>
      <c r="F19" s="164">
        <v>12713.008</v>
      </c>
      <c r="G19" s="56">
        <f t="shared" si="3"/>
        <v>146</v>
      </c>
      <c r="H19" s="56">
        <f t="shared" si="4"/>
        <v>23</v>
      </c>
      <c r="I19" s="56">
        <f t="shared" si="5"/>
        <v>136</v>
      </c>
      <c r="J19" s="57">
        <f t="shared" si="0"/>
        <v>7.3423539885832584E-2</v>
      </c>
      <c r="K19" s="57">
        <f t="shared" si="1"/>
        <v>0.10786350201961173</v>
      </c>
      <c r="L19" s="57">
        <f t="shared" si="2"/>
        <v>0.20714522674998748</v>
      </c>
    </row>
    <row r="20" spans="2:12" x14ac:dyDescent="0.25">
      <c r="B20" s="103" t="s">
        <v>34</v>
      </c>
      <c r="C20" s="71">
        <v>62581</v>
      </c>
      <c r="D20" s="71">
        <v>7321.9770000000008</v>
      </c>
      <c r="E20" s="71">
        <v>2315.4970000000003</v>
      </c>
      <c r="F20" s="166">
        <v>8072.9489999999996</v>
      </c>
      <c r="G20" s="74">
        <f t="shared" si="3"/>
        <v>117.00000000000001</v>
      </c>
      <c r="H20" s="74">
        <f t="shared" si="4"/>
        <v>37.000000000000007</v>
      </c>
      <c r="I20" s="74">
        <f t="shared" si="5"/>
        <v>129</v>
      </c>
      <c r="J20" s="75">
        <f t="shared" si="0"/>
        <v>3.9391399566189693E-2</v>
      </c>
      <c r="K20" s="75">
        <f t="shared" si="1"/>
        <v>0.11616665690039363</v>
      </c>
      <c r="L20" s="75">
        <f t="shared" si="2"/>
        <v>0.1315402972409114</v>
      </c>
    </row>
    <row r="21" spans="2:12" x14ac:dyDescent="0.25">
      <c r="B21" s="89" t="s">
        <v>9</v>
      </c>
      <c r="C21" s="53">
        <v>52095</v>
      </c>
      <c r="D21" s="53">
        <v>7814.25</v>
      </c>
      <c r="E21" s="53">
        <v>2604.75</v>
      </c>
      <c r="F21" s="164">
        <v>3802.9350000000004</v>
      </c>
      <c r="G21" s="56">
        <f t="shared" si="3"/>
        <v>150</v>
      </c>
      <c r="H21" s="56">
        <f t="shared" si="4"/>
        <v>50</v>
      </c>
      <c r="I21" s="56">
        <f t="shared" si="5"/>
        <v>73.000000000000014</v>
      </c>
      <c r="J21" s="57">
        <f t="shared" si="0"/>
        <v>4.2039772053380907E-2</v>
      </c>
      <c r="K21" s="57">
        <f t="shared" si="1"/>
        <v>0.13067825160702012</v>
      </c>
      <c r="L21" s="57">
        <f t="shared" si="2"/>
        <v>6.1964865662828474E-2</v>
      </c>
    </row>
    <row r="22" spans="2:12" x14ac:dyDescent="0.25">
      <c r="B22" s="103" t="s">
        <v>35</v>
      </c>
      <c r="C22" s="71">
        <v>12896</v>
      </c>
      <c r="D22" s="71">
        <v>257.91999999999996</v>
      </c>
      <c r="E22" s="71">
        <v>219.232</v>
      </c>
      <c r="F22" s="166">
        <v>232.12800000000001</v>
      </c>
      <c r="G22" s="74">
        <f t="shared" si="3"/>
        <v>19.999999999999996</v>
      </c>
      <c r="H22" s="74">
        <f t="shared" si="4"/>
        <v>17</v>
      </c>
      <c r="I22" s="74">
        <f t="shared" si="5"/>
        <v>18</v>
      </c>
      <c r="J22" s="75">
        <f t="shared" si="0"/>
        <v>1.3875801270765589E-3</v>
      </c>
      <c r="K22" s="75">
        <f t="shared" si="1"/>
        <v>1.0998696403228807E-2</v>
      </c>
      <c r="L22" s="75">
        <f t="shared" si="2"/>
        <v>3.7822840349837814E-3</v>
      </c>
    </row>
    <row r="23" spans="2:12" x14ac:dyDescent="0.25">
      <c r="B23" s="89" t="s">
        <v>36</v>
      </c>
      <c r="C23" s="53">
        <v>5073</v>
      </c>
      <c r="D23" s="53">
        <v>0</v>
      </c>
      <c r="E23" s="53">
        <v>0</v>
      </c>
      <c r="F23" s="164">
        <v>0</v>
      </c>
      <c r="G23" s="56">
        <f t="shared" si="3"/>
        <v>0</v>
      </c>
      <c r="H23" s="56">
        <f t="shared" si="4"/>
        <v>0</v>
      </c>
      <c r="I23" s="56">
        <f t="shared" si="5"/>
        <v>0</v>
      </c>
      <c r="J23" s="57">
        <f t="shared" si="0"/>
        <v>0</v>
      </c>
      <c r="K23" s="57">
        <f t="shared" si="1"/>
        <v>0</v>
      </c>
      <c r="L23" s="57">
        <f t="shared" si="2"/>
        <v>0</v>
      </c>
    </row>
    <row r="24" spans="2:12" x14ac:dyDescent="0.25">
      <c r="B24" s="103" t="s">
        <v>37</v>
      </c>
      <c r="C24" s="71">
        <v>14000</v>
      </c>
      <c r="D24" s="71">
        <v>1050</v>
      </c>
      <c r="E24" s="71">
        <v>140</v>
      </c>
      <c r="F24" s="166">
        <v>504</v>
      </c>
      <c r="G24" s="74">
        <f t="shared" si="3"/>
        <v>75</v>
      </c>
      <c r="H24" s="74">
        <f t="shared" si="4"/>
        <v>10</v>
      </c>
      <c r="I24" s="74">
        <f t="shared" si="5"/>
        <v>36</v>
      </c>
      <c r="J24" s="75">
        <f t="shared" si="0"/>
        <v>5.6488800148510668E-3</v>
      </c>
      <c r="K24" s="75">
        <f t="shared" si="1"/>
        <v>7.0236894999454137E-3</v>
      </c>
      <c r="L24" s="75">
        <f t="shared" si="2"/>
        <v>8.2121551628059775E-3</v>
      </c>
    </row>
    <row r="25" spans="2:12" x14ac:dyDescent="0.25">
      <c r="B25" s="89" t="s">
        <v>38</v>
      </c>
      <c r="C25" s="53">
        <v>185904</v>
      </c>
      <c r="D25" s="53">
        <v>9295.1999999999989</v>
      </c>
      <c r="E25" s="53">
        <v>4275.7920000000004</v>
      </c>
      <c r="F25" s="164">
        <v>7807.9679999999998</v>
      </c>
      <c r="G25" s="56">
        <f t="shared" si="3"/>
        <v>49.999999999999993</v>
      </c>
      <c r="H25" s="56">
        <f t="shared" si="4"/>
        <v>23</v>
      </c>
      <c r="I25" s="56">
        <f t="shared" si="5"/>
        <v>42</v>
      </c>
      <c r="J25" s="57">
        <f t="shared" si="0"/>
        <v>5.0007113822898693E-2</v>
      </c>
      <c r="K25" s="57">
        <f t="shared" si="1"/>
        <v>0.21451310981679003</v>
      </c>
      <c r="L25" s="57">
        <f t="shared" si="2"/>
        <v>0.12722270778219019</v>
      </c>
    </row>
    <row r="26" spans="2:12" x14ac:dyDescent="0.25">
      <c r="B26" s="103" t="s">
        <v>39</v>
      </c>
      <c r="C26" s="71">
        <v>0</v>
      </c>
      <c r="D26" s="71">
        <v>0</v>
      </c>
      <c r="E26" s="71">
        <v>0</v>
      </c>
      <c r="F26" s="166">
        <v>0</v>
      </c>
      <c r="G26" s="74" t="str">
        <f t="shared" si="3"/>
        <v>-</v>
      </c>
      <c r="H26" s="74" t="str">
        <f t="shared" si="4"/>
        <v>-</v>
      </c>
      <c r="I26" s="74" t="str">
        <f t="shared" si="5"/>
        <v>-</v>
      </c>
      <c r="J26" s="75">
        <f t="shared" si="0"/>
        <v>0</v>
      </c>
      <c r="K26" s="75">
        <f t="shared" si="1"/>
        <v>0</v>
      </c>
      <c r="L26" s="75">
        <f t="shared" si="2"/>
        <v>0</v>
      </c>
    </row>
    <row r="27" spans="2:12" x14ac:dyDescent="0.25">
      <c r="B27" s="89" t="s">
        <v>40</v>
      </c>
      <c r="C27" s="53">
        <v>0</v>
      </c>
      <c r="D27" s="53">
        <v>0</v>
      </c>
      <c r="E27" s="53">
        <v>0</v>
      </c>
      <c r="F27" s="164">
        <v>0</v>
      </c>
      <c r="G27" s="56" t="str">
        <f t="shared" si="3"/>
        <v>-</v>
      </c>
      <c r="H27" s="56" t="str">
        <f t="shared" si="4"/>
        <v>-</v>
      </c>
      <c r="I27" s="56" t="str">
        <f t="shared" si="5"/>
        <v>-</v>
      </c>
      <c r="J27" s="57">
        <f t="shared" si="0"/>
        <v>0</v>
      </c>
      <c r="K27" s="57">
        <f t="shared" si="1"/>
        <v>0</v>
      </c>
      <c r="L27" s="57">
        <f t="shared" si="2"/>
        <v>0</v>
      </c>
    </row>
    <row r="28" spans="2:12" x14ac:dyDescent="0.25">
      <c r="B28" s="103" t="s">
        <v>41</v>
      </c>
      <c r="C28" s="71">
        <v>3000</v>
      </c>
      <c r="D28" s="71">
        <v>150</v>
      </c>
      <c r="E28" s="71">
        <v>69</v>
      </c>
      <c r="F28" s="166">
        <v>165</v>
      </c>
      <c r="G28" s="74">
        <f t="shared" si="3"/>
        <v>50</v>
      </c>
      <c r="H28" s="74">
        <f t="shared" si="4"/>
        <v>23</v>
      </c>
      <c r="I28" s="74">
        <f t="shared" si="5"/>
        <v>55</v>
      </c>
      <c r="J28" s="75">
        <f t="shared" si="0"/>
        <v>8.0698285926443817E-4</v>
      </c>
      <c r="K28" s="75">
        <f t="shared" si="1"/>
        <v>3.4616755392588112E-3</v>
      </c>
      <c r="L28" s="75">
        <f t="shared" si="2"/>
        <v>2.6885031782995757E-3</v>
      </c>
    </row>
    <row r="29" spans="2:12" x14ac:dyDescent="0.25">
      <c r="B29" s="89" t="s">
        <v>42</v>
      </c>
      <c r="C29" s="53">
        <v>8802</v>
      </c>
      <c r="D29" s="53">
        <v>1251.55</v>
      </c>
      <c r="E29" s="53">
        <v>550.68200000000002</v>
      </c>
      <c r="F29" s="164">
        <v>1001.2399999999999</v>
      </c>
      <c r="G29" s="56">
        <f t="shared" si="3"/>
        <v>142.18927516473528</v>
      </c>
      <c r="H29" s="56">
        <f t="shared" si="4"/>
        <v>62.563281072483527</v>
      </c>
      <c r="I29" s="56">
        <f t="shared" si="5"/>
        <v>113.75142013178822</v>
      </c>
      <c r="J29" s="57">
        <f t="shared" si="0"/>
        <v>6.73319598341605E-3</v>
      </c>
      <c r="K29" s="57">
        <f t="shared" si="1"/>
        <v>2.7627281294349576E-2</v>
      </c>
      <c r="L29" s="57">
        <f t="shared" si="2"/>
        <v>1.6314163165094951E-2</v>
      </c>
    </row>
    <row r="30" spans="2:12" x14ac:dyDescent="0.25">
      <c r="B30" s="103" t="s">
        <v>10</v>
      </c>
      <c r="C30" s="71">
        <v>63799</v>
      </c>
      <c r="D30" s="71">
        <v>97612.98</v>
      </c>
      <c r="E30" s="71">
        <v>2870.97</v>
      </c>
      <c r="F30" s="166">
        <v>14929.044</v>
      </c>
      <c r="G30" s="74">
        <f t="shared" si="3"/>
        <v>1530.007993855703</v>
      </c>
      <c r="H30" s="74">
        <f t="shared" si="4"/>
        <v>45.000235113403029</v>
      </c>
      <c r="I30" s="74">
        <f t="shared" si="5"/>
        <v>234.00122258969577</v>
      </c>
      <c r="J30" s="75">
        <f t="shared" si="0"/>
        <v>0.52514667801148274</v>
      </c>
      <c r="K30" s="75">
        <f t="shared" si="1"/>
        <v>0.14403429888327346</v>
      </c>
      <c r="L30" s="75">
        <f t="shared" si="2"/>
        <v>0.24325322571499522</v>
      </c>
    </row>
    <row r="31" spans="2:12" x14ac:dyDescent="0.25">
      <c r="B31" s="89" t="s">
        <v>43</v>
      </c>
      <c r="C31" s="53">
        <v>637993</v>
      </c>
      <c r="D31" s="53">
        <v>120</v>
      </c>
      <c r="E31" s="53">
        <v>120</v>
      </c>
      <c r="F31" s="164">
        <v>0</v>
      </c>
      <c r="G31" s="56">
        <f t="shared" si="3"/>
        <v>0.18808983797627873</v>
      </c>
      <c r="H31" s="56">
        <f t="shared" si="4"/>
        <v>0.18808983797627873</v>
      </c>
      <c r="I31" s="56">
        <f t="shared" si="5"/>
        <v>0</v>
      </c>
      <c r="J31" s="57">
        <f>D31/$D$33</f>
        <v>6.4558628741155047E-4</v>
      </c>
      <c r="K31" s="57">
        <f t="shared" si="1"/>
        <v>6.0203052856674976E-3</v>
      </c>
      <c r="L31" s="57">
        <f t="shared" si="2"/>
        <v>0</v>
      </c>
    </row>
    <row r="32" spans="2:12" ht="6" customHeight="1" thickBot="1" x14ac:dyDescent="0.3">
      <c r="B32" s="165"/>
      <c r="C32" s="93"/>
      <c r="D32" s="99"/>
      <c r="E32" s="93"/>
      <c r="F32" s="92"/>
      <c r="G32" s="100"/>
      <c r="H32" s="84"/>
      <c r="I32" s="101"/>
      <c r="J32" s="85"/>
      <c r="K32" s="85"/>
      <c r="L32" s="85"/>
    </row>
    <row r="33" spans="1:17" s="12" customFormat="1" ht="24.95" customHeight="1" thickTop="1" thickBot="1" x14ac:dyDescent="0.3">
      <c r="A33" s="13"/>
      <c r="B33" s="90" t="s">
        <v>13</v>
      </c>
      <c r="C33" s="63">
        <f t="shared" ref="C33" si="6">SUM(C11:C31)</f>
        <v>1507293</v>
      </c>
      <c r="D33" s="63">
        <f>SUM(D11:D31)</f>
        <v>185877.554</v>
      </c>
      <c r="E33" s="62">
        <f t="shared" ref="E33:F33" si="7">SUM(E11:E31)</f>
        <v>19932.544000000005</v>
      </c>
      <c r="F33" s="102">
        <f t="shared" si="7"/>
        <v>61372.439999999995</v>
      </c>
      <c r="G33" s="94"/>
      <c r="H33" s="94"/>
      <c r="I33" s="94"/>
      <c r="J33" s="95">
        <f t="shared" ref="J33:L33" si="8">SUM(J11:J31)</f>
        <v>0.99999999999999989</v>
      </c>
      <c r="K33" s="64">
        <f t="shared" si="8"/>
        <v>0.99999999999999967</v>
      </c>
      <c r="L33" s="65">
        <f t="shared" si="8"/>
        <v>1</v>
      </c>
      <c r="M33" s="13"/>
      <c r="N33" s="13"/>
      <c r="O33" s="13"/>
      <c r="P33" s="13"/>
      <c r="Q33" s="13"/>
    </row>
    <row r="34" spans="1:17" ht="15.75" thickTop="1" x14ac:dyDescent="0.25">
      <c r="B34" s="15"/>
    </row>
    <row r="35" spans="1:17" x14ac:dyDescent="0.25">
      <c r="B35" s="15"/>
    </row>
    <row r="36" spans="1:17" x14ac:dyDescent="0.25">
      <c r="B36" s="66" t="s">
        <v>396</v>
      </c>
      <c r="C36" s="67"/>
      <c r="D36" s="67"/>
      <c r="E36" s="67"/>
      <c r="F36" s="67"/>
    </row>
    <row r="37" spans="1:17" x14ac:dyDescent="0.25">
      <c r="A37" s="21"/>
      <c r="B37" s="67" t="s">
        <v>252</v>
      </c>
      <c r="C37" s="68"/>
      <c r="D37" s="68"/>
      <c r="E37" s="68"/>
      <c r="F37" s="68"/>
      <c r="G37" s="87"/>
      <c r="H37" s="88"/>
      <c r="I37"/>
      <c r="J37"/>
      <c r="K37"/>
      <c r="L37"/>
      <c r="M37"/>
      <c r="N37"/>
      <c r="O37"/>
      <c r="P37"/>
      <c r="Q37"/>
    </row>
    <row r="38" spans="1:17" ht="14.45" customHeight="1" x14ac:dyDescent="0.25">
      <c r="A38" s="21"/>
      <c r="B38" s="67"/>
      <c r="C38" s="68"/>
      <c r="D38" s="68"/>
      <c r="E38" s="68"/>
      <c r="F38" s="68"/>
      <c r="G38" s="87"/>
      <c r="H38" s="88"/>
      <c r="I38"/>
      <c r="J38"/>
      <c r="K38"/>
      <c r="L38"/>
      <c r="M38"/>
      <c r="N38"/>
      <c r="O38"/>
      <c r="P38"/>
      <c r="Q38"/>
    </row>
    <row r="39" spans="1:17" x14ac:dyDescent="0.25">
      <c r="A39"/>
      <c r="B39" s="79" t="s">
        <v>397</v>
      </c>
      <c r="C39" s="68"/>
      <c r="D39" s="68"/>
      <c r="E39" s="68"/>
      <c r="F39" s="68"/>
      <c r="G39" s="88"/>
      <c r="H39" s="88"/>
      <c r="I39"/>
      <c r="J39"/>
      <c r="K39"/>
      <c r="L39"/>
      <c r="M39"/>
      <c r="N39"/>
      <c r="O39"/>
      <c r="P39"/>
      <c r="Q39"/>
    </row>
    <row r="40" spans="1:17" x14ac:dyDescent="0.25">
      <c r="A40" s="21"/>
      <c r="B40" s="69" t="s">
        <v>255</v>
      </c>
      <c r="C40" s="68"/>
      <c r="D40" s="68"/>
      <c r="E40" s="68"/>
      <c r="F40" s="68"/>
      <c r="G40" s="88"/>
      <c r="H40" s="88"/>
      <c r="I40"/>
      <c r="J40"/>
      <c r="K40"/>
      <c r="L40"/>
      <c r="M40"/>
      <c r="N40"/>
      <c r="O40"/>
      <c r="P40"/>
      <c r="Q40"/>
    </row>
    <row r="41" spans="1:17" x14ac:dyDescent="0.25">
      <c r="B41" s="67" t="s">
        <v>179</v>
      </c>
      <c r="C41" s="67"/>
      <c r="D41" s="67"/>
      <c r="E41" s="67"/>
      <c r="F41" s="67"/>
      <c r="G41" s="87"/>
      <c r="H41" s="87"/>
    </row>
    <row r="42" spans="1:17" x14ac:dyDescent="0.25">
      <c r="B42" s="69" t="s">
        <v>382</v>
      </c>
      <c r="C42" s="67"/>
      <c r="D42" s="67"/>
      <c r="E42" s="67"/>
      <c r="F42" s="67"/>
      <c r="G42" s="87"/>
      <c r="H42" s="87"/>
    </row>
    <row r="43" spans="1:17" x14ac:dyDescent="0.25">
      <c r="B43" s="87"/>
      <c r="C43" s="87"/>
      <c r="D43" s="87"/>
      <c r="E43" s="87"/>
      <c r="F43" s="87"/>
      <c r="G43" s="87"/>
      <c r="H43" s="87"/>
    </row>
    <row r="44" spans="1:17" x14ac:dyDescent="0.25">
      <c r="B44" s="66" t="s">
        <v>398</v>
      </c>
    </row>
  </sheetData>
  <mergeCells count="8">
    <mergeCell ref="C6:C7"/>
    <mergeCell ref="D6:F6"/>
    <mergeCell ref="G6:I6"/>
    <mergeCell ref="J6:L6"/>
    <mergeCell ref="B7:B8"/>
    <mergeCell ref="D7:F7"/>
    <mergeCell ref="G7:I7"/>
    <mergeCell ref="J7:L7"/>
  </mergeCells>
  <hyperlinks>
    <hyperlink ref="B1" location="Start!A1" display="Back to home page" xr:uid="{12D82B1E-5C6A-4591-8DCB-21A327DFAEC7}"/>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C9A-B4A4-422D-ABAF-3E18910F156F}">
  <sheetPr>
    <tabColor rgb="FF92D050"/>
  </sheetPr>
  <dimension ref="A1:O43"/>
  <sheetViews>
    <sheetView showGridLines="0" zoomScale="80" zoomScaleNormal="80" workbookViewId="0">
      <pane xSplit="2" ySplit="8" topLeftCell="C27" activePane="bottomRight" state="frozen"/>
      <selection pane="topRight" activeCell="C1" sqref="C1"/>
      <selection pane="bottomLeft" activeCell="A9" sqref="A9"/>
      <selection pane="bottomRight" activeCell="B36" sqref="B36"/>
    </sheetView>
  </sheetViews>
  <sheetFormatPr defaultColWidth="11.42578125" defaultRowHeight="15" x14ac:dyDescent="0.25"/>
  <cols>
    <col min="1" max="1" width="2.7109375" customWidth="1"/>
    <col min="2" max="2" width="45.7109375" customWidth="1"/>
    <col min="3" max="13" width="15.7109375" customWidth="1"/>
    <col min="14" max="14" width="11.5703125" style="3"/>
  </cols>
  <sheetData>
    <row r="1" spans="1:15" x14ac:dyDescent="0.25">
      <c r="A1" s="21"/>
      <c r="B1" s="546" t="s">
        <v>432</v>
      </c>
      <c r="C1" s="7"/>
      <c r="E1" s="7"/>
      <c r="O1" s="7"/>
    </row>
    <row r="2" spans="1:15" x14ac:dyDescent="0.25">
      <c r="A2" s="21"/>
      <c r="B2" s="7"/>
      <c r="C2" s="7"/>
      <c r="E2" s="7"/>
      <c r="O2" s="7"/>
    </row>
    <row r="5" spans="1:15" ht="15.75" thickBot="1" x14ac:dyDescent="0.3">
      <c r="B5" s="3"/>
      <c r="C5" s="25"/>
      <c r="D5" s="25"/>
      <c r="E5" s="25"/>
      <c r="F5" s="25"/>
      <c r="G5" s="25"/>
      <c r="H5" s="25"/>
      <c r="I5" s="5"/>
      <c r="J5" s="5"/>
      <c r="K5" s="5"/>
      <c r="L5" s="5"/>
      <c r="M5" s="5"/>
      <c r="N5" s="5"/>
    </row>
    <row r="6" spans="1:15" ht="30" customHeight="1" thickTop="1" x14ac:dyDescent="0.3">
      <c r="B6" s="38" t="s">
        <v>387</v>
      </c>
      <c r="C6" s="589" t="s">
        <v>390</v>
      </c>
      <c r="D6" s="589" t="s">
        <v>406</v>
      </c>
      <c r="E6" s="577" t="s">
        <v>389</v>
      </c>
      <c r="F6" s="578"/>
      <c r="G6" s="579"/>
      <c r="H6" s="577" t="s">
        <v>392</v>
      </c>
      <c r="I6" s="578"/>
      <c r="J6" s="579"/>
      <c r="K6" s="577" t="s">
        <v>399</v>
      </c>
      <c r="L6" s="578"/>
      <c r="M6" s="579"/>
      <c r="N6" s="24"/>
      <c r="O6" s="17"/>
    </row>
    <row r="7" spans="1:15" ht="25.15" customHeight="1" thickBot="1" x14ac:dyDescent="0.3">
      <c r="B7" s="583" t="s">
        <v>205</v>
      </c>
      <c r="C7" s="590"/>
      <c r="D7" s="590"/>
      <c r="E7" s="580" t="s">
        <v>14</v>
      </c>
      <c r="F7" s="581"/>
      <c r="G7" s="582"/>
      <c r="H7" s="580" t="s">
        <v>415</v>
      </c>
      <c r="I7" s="581"/>
      <c r="J7" s="582"/>
      <c r="K7" s="580" t="s">
        <v>0</v>
      </c>
      <c r="L7" s="581"/>
      <c r="M7" s="582"/>
      <c r="N7" s="24"/>
      <c r="O7" s="17"/>
    </row>
    <row r="8" spans="1:15" ht="34.15" customHeight="1" thickTop="1" thickBot="1" x14ac:dyDescent="0.3">
      <c r="B8" s="584"/>
      <c r="C8" s="203" t="s">
        <v>405</v>
      </c>
      <c r="D8" s="203" t="s">
        <v>0</v>
      </c>
      <c r="E8" s="541" t="s">
        <v>388</v>
      </c>
      <c r="F8" s="541" t="s">
        <v>394</v>
      </c>
      <c r="G8" s="541" t="s">
        <v>395</v>
      </c>
      <c r="H8" s="541" t="s">
        <v>388</v>
      </c>
      <c r="I8" s="541" t="s">
        <v>394</v>
      </c>
      <c r="J8" s="541" t="s">
        <v>395</v>
      </c>
      <c r="K8" s="541" t="s">
        <v>388</v>
      </c>
      <c r="L8" s="541" t="s">
        <v>394</v>
      </c>
      <c r="M8" s="541" t="s">
        <v>395</v>
      </c>
      <c r="N8" s="26"/>
      <c r="O8" s="17"/>
    </row>
    <row r="9" spans="1:15" ht="34.15" customHeight="1" thickTop="1" thickBot="1" x14ac:dyDescent="0.3">
      <c r="B9" s="182" t="s">
        <v>393</v>
      </c>
      <c r="C9" s="202">
        <v>2018</v>
      </c>
      <c r="D9" s="202">
        <v>2018</v>
      </c>
      <c r="E9" s="202">
        <v>2018</v>
      </c>
      <c r="F9" s="202">
        <v>2018</v>
      </c>
      <c r="G9" s="202">
        <v>2018</v>
      </c>
      <c r="H9" s="202">
        <v>2018</v>
      </c>
      <c r="I9" s="202">
        <v>2018</v>
      </c>
      <c r="J9" s="202">
        <v>2018</v>
      </c>
      <c r="K9" s="202">
        <v>2018</v>
      </c>
      <c r="L9" s="202">
        <v>2018</v>
      </c>
      <c r="M9" s="202">
        <v>2018</v>
      </c>
      <c r="N9" s="5"/>
    </row>
    <row r="10" spans="1:15" ht="6" customHeight="1" thickTop="1" x14ac:dyDescent="0.25">
      <c r="B10" s="200"/>
      <c r="C10" s="199"/>
      <c r="D10" s="199"/>
      <c r="E10" s="199"/>
      <c r="F10" s="199"/>
      <c r="G10" s="199"/>
      <c r="H10" s="201"/>
      <c r="I10" s="201"/>
      <c r="J10" s="201"/>
      <c r="K10" s="199"/>
      <c r="L10" s="199"/>
      <c r="M10" s="199"/>
      <c r="N10" s="5"/>
    </row>
    <row r="11" spans="1:15" x14ac:dyDescent="0.25">
      <c r="B11" s="192" t="s">
        <v>3</v>
      </c>
      <c r="C11" s="191">
        <v>203372.60502544345</v>
      </c>
      <c r="D11" s="204">
        <v>0.27151149484018172</v>
      </c>
      <c r="E11" s="191">
        <v>2644.12386600021</v>
      </c>
      <c r="F11" s="191">
        <v>1282.1293640000001</v>
      </c>
      <c r="G11" s="191">
        <v>555.6</v>
      </c>
      <c r="H11" s="56">
        <f>IFERROR(E11*1000/C11,"-")</f>
        <v>13.001376786560854</v>
      </c>
      <c r="I11" s="56">
        <f>IFERROR(F11*1000/C11,"-")</f>
        <v>6.3043366329481589</v>
      </c>
      <c r="J11" s="56">
        <f>IFERROR(G11*1000/C11,"-")</f>
        <v>2.7319313726177143</v>
      </c>
      <c r="K11" s="205">
        <f t="shared" ref="K11:K30" si="0">E11/$E$32</f>
        <v>0.13769917231261669</v>
      </c>
      <c r="L11" s="205">
        <f t="shared" ref="L11:L30" si="1">F11/$F$32</f>
        <v>6.7893132135596904E-2</v>
      </c>
      <c r="M11" s="205">
        <f t="shared" ref="M11:M30" si="2">G11/$G$32</f>
        <v>3.1720387087583055E-2</v>
      </c>
      <c r="N11" s="23"/>
    </row>
    <row r="12" spans="1:15" x14ac:dyDescent="0.25">
      <c r="B12" s="103" t="s">
        <v>16</v>
      </c>
      <c r="C12" s="71">
        <v>169649.57302520162</v>
      </c>
      <c r="D12" s="213">
        <v>0.30766950407971982</v>
      </c>
      <c r="E12" s="71">
        <v>2449.5315578285199</v>
      </c>
      <c r="F12" s="71">
        <v>530.19258927441592</v>
      </c>
      <c r="G12" s="71">
        <v>606.99258927441599</v>
      </c>
      <c r="H12" s="74">
        <f t="shared" ref="H12:H30" si="3">IFERROR(E12*1000/C12,"-")</f>
        <v>14.438772312528245</v>
      </c>
      <c r="I12" s="74">
        <f t="shared" ref="I12:I30" si="4">IFERROR(F12*1000/C12,"-")</f>
        <v>3.1252220669936808</v>
      </c>
      <c r="J12" s="74">
        <f t="shared" ref="J12:J30" si="5">IFERROR(G12*1000/C12,"-")</f>
        <v>3.577919934901614</v>
      </c>
      <c r="K12" s="214">
        <f t="shared" si="0"/>
        <v>0.12756530524300141</v>
      </c>
      <c r="L12" s="214">
        <f t="shared" si="1"/>
        <v>2.8075509797716617E-2</v>
      </c>
      <c r="M12" s="214">
        <f t="shared" si="2"/>
        <v>3.4654499443986304E-2</v>
      </c>
      <c r="N12" s="23"/>
    </row>
    <row r="13" spans="1:15" x14ac:dyDescent="0.25">
      <c r="B13" s="192" t="s">
        <v>68</v>
      </c>
      <c r="C13" s="191"/>
      <c r="D13" s="204"/>
      <c r="E13" s="191"/>
      <c r="F13" s="191"/>
      <c r="G13" s="191"/>
      <c r="H13" s="206" t="str">
        <f t="shared" si="3"/>
        <v>-</v>
      </c>
      <c r="I13" s="206" t="str">
        <f t="shared" si="4"/>
        <v>-</v>
      </c>
      <c r="J13" s="206" t="str">
        <f t="shared" si="5"/>
        <v>-</v>
      </c>
      <c r="K13" s="205">
        <f t="shared" si="0"/>
        <v>0</v>
      </c>
      <c r="L13" s="205">
        <f t="shared" si="1"/>
        <v>0</v>
      </c>
      <c r="M13" s="205">
        <f t="shared" si="2"/>
        <v>0</v>
      </c>
      <c r="N13" s="23"/>
    </row>
    <row r="14" spans="1:15" x14ac:dyDescent="0.25">
      <c r="B14" s="103" t="s">
        <v>69</v>
      </c>
      <c r="C14" s="71">
        <v>452656.20176627877</v>
      </c>
      <c r="D14" s="213">
        <v>0.20498338394115048</v>
      </c>
      <c r="E14" s="71">
        <v>5990.3855363294897</v>
      </c>
      <c r="F14" s="71">
        <v>4163.7302985593205</v>
      </c>
      <c r="G14" s="71">
        <v>2743.4175449999998</v>
      </c>
      <c r="H14" s="74">
        <f t="shared" si="3"/>
        <v>13.233852784861485</v>
      </c>
      <c r="I14" s="74">
        <f t="shared" si="4"/>
        <v>9.1984386435275027</v>
      </c>
      <c r="J14" s="74">
        <f t="shared" si="5"/>
        <v>6.0607090641751915</v>
      </c>
      <c r="K14" s="214">
        <f t="shared" si="0"/>
        <v>0.31196387612272913</v>
      </c>
      <c r="L14" s="214">
        <f t="shared" si="1"/>
        <v>0.22048375091819228</v>
      </c>
      <c r="M14" s="214">
        <f t="shared" si="2"/>
        <v>0.15662754944252483</v>
      </c>
      <c r="N14" s="23"/>
    </row>
    <row r="15" spans="1:15" x14ac:dyDescent="0.25">
      <c r="B15" s="192" t="s">
        <v>70</v>
      </c>
      <c r="C15" s="191"/>
      <c r="D15" s="204"/>
      <c r="E15" s="191"/>
      <c r="F15" s="191"/>
      <c r="G15" s="191"/>
      <c r="H15" s="206" t="str">
        <f t="shared" si="3"/>
        <v>-</v>
      </c>
      <c r="I15" s="206" t="str">
        <f t="shared" si="4"/>
        <v>-</v>
      </c>
      <c r="J15" s="206" t="str">
        <f t="shared" si="5"/>
        <v>-</v>
      </c>
      <c r="K15" s="205">
        <f t="shared" si="0"/>
        <v>0</v>
      </c>
      <c r="L15" s="205">
        <f t="shared" si="1"/>
        <v>0</v>
      </c>
      <c r="M15" s="205">
        <f t="shared" si="2"/>
        <v>0</v>
      </c>
      <c r="N15" s="23"/>
    </row>
    <row r="16" spans="1:15" x14ac:dyDescent="0.25">
      <c r="B16" s="103" t="s">
        <v>5</v>
      </c>
      <c r="C16" s="71">
        <v>571719.42018307606</v>
      </c>
      <c r="D16" s="213">
        <v>9.0367754139706893E-2</v>
      </c>
      <c r="E16" s="71">
        <v>2190</v>
      </c>
      <c r="F16" s="71">
        <v>220</v>
      </c>
      <c r="G16" s="71">
        <v>0</v>
      </c>
      <c r="H16" s="74">
        <f t="shared" si="3"/>
        <v>3.8305503061251933</v>
      </c>
      <c r="I16" s="74">
        <f t="shared" si="4"/>
        <v>0.38480414034134364</v>
      </c>
      <c r="J16" s="74">
        <f t="shared" si="5"/>
        <v>0</v>
      </c>
      <c r="K16" s="214">
        <f t="shared" si="0"/>
        <v>0.11404956902446665</v>
      </c>
      <c r="L16" s="214">
        <f t="shared" si="1"/>
        <v>1.1649751958907103E-2</v>
      </c>
      <c r="M16" s="214">
        <f t="shared" si="2"/>
        <v>0</v>
      </c>
      <c r="N16" s="23"/>
    </row>
    <row r="17" spans="2:14" x14ac:dyDescent="0.25">
      <c r="B17" s="192" t="s">
        <v>6</v>
      </c>
      <c r="C17" s="191">
        <v>1317103.2582964902</v>
      </c>
      <c r="D17" s="204">
        <v>0.21067900200846346</v>
      </c>
      <c r="E17" s="191">
        <v>2748.5902662283497</v>
      </c>
      <c r="F17" s="191">
        <v>11468.9696701591</v>
      </c>
      <c r="G17" s="191">
        <v>13127.212719414299</v>
      </c>
      <c r="H17" s="206">
        <f t="shared" si="3"/>
        <v>2.0868449371109374</v>
      </c>
      <c r="I17" s="206">
        <f t="shared" si="4"/>
        <v>8.7077224947365099</v>
      </c>
      <c r="J17" s="206">
        <f t="shared" si="5"/>
        <v>9.9667301228855223</v>
      </c>
      <c r="K17" s="205">
        <f t="shared" si="0"/>
        <v>0.14313951383022253</v>
      </c>
      <c r="L17" s="205">
        <f t="shared" si="1"/>
        <v>0.60732114491628242</v>
      </c>
      <c r="M17" s="205">
        <f t="shared" si="2"/>
        <v>0.74946052707139199</v>
      </c>
      <c r="N17" s="23"/>
    </row>
    <row r="18" spans="2:14" x14ac:dyDescent="0.25">
      <c r="B18" s="103" t="s">
        <v>19</v>
      </c>
      <c r="C18" s="71">
        <v>155986.15458828164</v>
      </c>
      <c r="D18" s="213"/>
      <c r="E18" s="71">
        <v>12</v>
      </c>
      <c r="F18" s="71">
        <v>16</v>
      </c>
      <c r="G18" s="71">
        <v>4</v>
      </c>
      <c r="H18" s="74">
        <f t="shared" si="3"/>
        <v>7.6929904655150025E-2</v>
      </c>
      <c r="I18" s="74">
        <f t="shared" si="4"/>
        <v>0.1025732062068667</v>
      </c>
      <c r="J18" s="74">
        <f t="shared" si="5"/>
        <v>2.5643301551716676E-2</v>
      </c>
      <c r="K18" s="214">
        <f t="shared" si="0"/>
        <v>6.2492914533954333E-4</v>
      </c>
      <c r="L18" s="214">
        <f t="shared" si="1"/>
        <v>8.4725468792051653E-4</v>
      </c>
      <c r="M18" s="214">
        <f t="shared" si="2"/>
        <v>2.2836851754919407E-4</v>
      </c>
      <c r="N18" s="23"/>
    </row>
    <row r="19" spans="2:14" x14ac:dyDescent="0.25">
      <c r="B19" s="192" t="s">
        <v>25</v>
      </c>
      <c r="C19" s="191">
        <v>3645.5417187500002</v>
      </c>
      <c r="D19" s="204"/>
      <c r="E19" s="191">
        <v>0</v>
      </c>
      <c r="F19" s="191">
        <v>0</v>
      </c>
      <c r="G19" s="191">
        <v>0</v>
      </c>
      <c r="H19" s="206">
        <f t="shared" si="3"/>
        <v>0</v>
      </c>
      <c r="I19" s="206">
        <f t="shared" si="4"/>
        <v>0</v>
      </c>
      <c r="J19" s="206">
        <f t="shared" si="5"/>
        <v>0</v>
      </c>
      <c r="K19" s="205">
        <f t="shared" si="0"/>
        <v>0</v>
      </c>
      <c r="L19" s="205">
        <f t="shared" si="1"/>
        <v>0</v>
      </c>
      <c r="M19" s="205">
        <f t="shared" si="2"/>
        <v>0</v>
      </c>
      <c r="N19" s="23"/>
    </row>
    <row r="20" spans="2:14" x14ac:dyDescent="0.25">
      <c r="B20" s="103" t="s">
        <v>55</v>
      </c>
      <c r="C20" s="71">
        <v>164811.89049999998</v>
      </c>
      <c r="D20" s="213">
        <v>0.13813323741954167</v>
      </c>
      <c r="E20" s="71">
        <v>1176.8520000000001</v>
      </c>
      <c r="F20" s="71">
        <v>412.62720000000002</v>
      </c>
      <c r="G20" s="71">
        <v>270</v>
      </c>
      <c r="H20" s="74">
        <f t="shared" si="3"/>
        <v>7.1405770325776352</v>
      </c>
      <c r="I20" s="74">
        <f t="shared" si="4"/>
        <v>2.5036251859510106</v>
      </c>
      <c r="J20" s="74">
        <f t="shared" si="5"/>
        <v>1.6382313143844438</v>
      </c>
      <c r="K20" s="214">
        <f t="shared" si="0"/>
        <v>6.1287426212594358E-2</v>
      </c>
      <c r="L20" s="214">
        <f t="shared" si="1"/>
        <v>2.1850020597719785E-2</v>
      </c>
      <c r="M20" s="214">
        <f t="shared" si="2"/>
        <v>1.54148749345706E-2</v>
      </c>
      <c r="N20" s="23"/>
    </row>
    <row r="21" spans="2:14" x14ac:dyDescent="0.25">
      <c r="B21" s="192" t="s">
        <v>7</v>
      </c>
      <c r="C21" s="191">
        <v>273.84199999999998</v>
      </c>
      <c r="D21" s="204"/>
      <c r="E21" s="191">
        <v>0</v>
      </c>
      <c r="F21" s="191">
        <v>0</v>
      </c>
      <c r="G21" s="191">
        <v>0</v>
      </c>
      <c r="H21" s="206">
        <f t="shared" si="3"/>
        <v>0</v>
      </c>
      <c r="I21" s="206">
        <f t="shared" si="4"/>
        <v>0</v>
      </c>
      <c r="J21" s="206">
        <f t="shared" si="5"/>
        <v>0</v>
      </c>
      <c r="K21" s="205">
        <f t="shared" si="0"/>
        <v>0</v>
      </c>
      <c r="L21" s="205">
        <f t="shared" si="1"/>
        <v>0</v>
      </c>
      <c r="M21" s="205">
        <f t="shared" si="2"/>
        <v>0</v>
      </c>
      <c r="N21" s="23"/>
    </row>
    <row r="22" spans="2:14" x14ac:dyDescent="0.25">
      <c r="B22" s="103" t="s">
        <v>57</v>
      </c>
      <c r="C22" s="71">
        <v>24596.407147605834</v>
      </c>
      <c r="D22" s="213"/>
      <c r="E22" s="71">
        <v>4.7961975999999993</v>
      </c>
      <c r="F22" s="71">
        <v>6.0981975999999998</v>
      </c>
      <c r="G22" s="71">
        <v>6.3461975999999991</v>
      </c>
      <c r="H22" s="74">
        <f t="shared" si="3"/>
        <v>0.19499586143689493</v>
      </c>
      <c r="I22" s="74">
        <f t="shared" si="4"/>
        <v>0.24793042184592337</v>
      </c>
      <c r="J22" s="74">
        <f t="shared" si="5"/>
        <v>0.25801319525716687</v>
      </c>
      <c r="K22" s="214">
        <f t="shared" si="0"/>
        <v>2.4977363892063071E-4</v>
      </c>
      <c r="L22" s="214">
        <f t="shared" si="1"/>
        <v>3.2292040652910268E-4</v>
      </c>
      <c r="M22" s="214">
        <f t="shared" si="2"/>
        <v>3.6231793449656327E-4</v>
      </c>
      <c r="N22" s="23"/>
    </row>
    <row r="23" spans="2:14" x14ac:dyDescent="0.25">
      <c r="B23" s="192" t="s">
        <v>88</v>
      </c>
      <c r="C23" s="191">
        <v>10340.832</v>
      </c>
      <c r="D23" s="204"/>
      <c r="E23" s="191">
        <v>1.2E-2</v>
      </c>
      <c r="F23" s="191">
        <v>6.2400000000000004E-2</v>
      </c>
      <c r="G23" s="191">
        <v>7.1999999999999995E-2</v>
      </c>
      <c r="H23" s="206">
        <f t="shared" si="3"/>
        <v>1.1604482115172164E-3</v>
      </c>
      <c r="I23" s="206">
        <f t="shared" si="4"/>
        <v>6.0343306998895258E-3</v>
      </c>
      <c r="J23" s="206">
        <f t="shared" si="5"/>
        <v>6.962689269103298E-3</v>
      </c>
      <c r="K23" s="205">
        <f t="shared" si="0"/>
        <v>6.2492914533954331E-7</v>
      </c>
      <c r="L23" s="205">
        <f t="shared" si="1"/>
        <v>3.3042932828900146E-6</v>
      </c>
      <c r="M23" s="205">
        <f t="shared" si="2"/>
        <v>4.1106333158854932E-6</v>
      </c>
      <c r="N23" s="23"/>
    </row>
    <row r="24" spans="2:14" x14ac:dyDescent="0.25">
      <c r="B24" s="103" t="s">
        <v>8</v>
      </c>
      <c r="C24" s="71">
        <v>225715.57005868971</v>
      </c>
      <c r="D24" s="213">
        <v>0.48383901904331911</v>
      </c>
      <c r="E24" s="71">
        <v>55.070640000000004</v>
      </c>
      <c r="F24" s="71">
        <v>53.472240000000006</v>
      </c>
      <c r="G24" s="71">
        <v>0</v>
      </c>
      <c r="H24" s="74">
        <f t="shared" si="3"/>
        <v>0.24398245980851363</v>
      </c>
      <c r="I24" s="74">
        <f t="shared" si="4"/>
        <v>0.23690098111573055</v>
      </c>
      <c r="J24" s="74">
        <f t="shared" si="5"/>
        <v>0</v>
      </c>
      <c r="K24" s="214">
        <f t="shared" si="0"/>
        <v>2.8679373323751392E-3</v>
      </c>
      <c r="L24" s="214">
        <f t="shared" si="1"/>
        <v>2.8315378758506852E-3</v>
      </c>
      <c r="M24" s="214">
        <f t="shared" si="2"/>
        <v>0</v>
      </c>
      <c r="N24" s="23"/>
    </row>
    <row r="25" spans="2:14" x14ac:dyDescent="0.25">
      <c r="B25" s="192" t="s">
        <v>20</v>
      </c>
      <c r="C25" s="191">
        <v>148107.08802837587</v>
      </c>
      <c r="D25" s="204"/>
      <c r="E25" s="191">
        <v>528.00189</v>
      </c>
      <c r="F25" s="191">
        <v>160.4211</v>
      </c>
      <c r="G25" s="191">
        <v>67.658400000000015</v>
      </c>
      <c r="H25" s="206">
        <f t="shared" si="3"/>
        <v>3.5650008181839348</v>
      </c>
      <c r="I25" s="206">
        <f t="shared" si="4"/>
        <v>1.08314262426971</v>
      </c>
      <c r="J25" s="206">
        <f t="shared" si="5"/>
        <v>0.45682081054106821</v>
      </c>
      <c r="K25" s="205">
        <f t="shared" si="0"/>
        <v>2.7496980821280298E-2</v>
      </c>
      <c r="L25" s="205">
        <f t="shared" si="1"/>
        <v>8.4948455635228733E-3</v>
      </c>
      <c r="M25" s="205">
        <f t="shared" si="2"/>
        <v>3.8627621269375989E-3</v>
      </c>
      <c r="N25" s="23"/>
    </row>
    <row r="26" spans="2:14" x14ac:dyDescent="0.25">
      <c r="B26" s="103" t="s">
        <v>9</v>
      </c>
      <c r="C26" s="71">
        <v>168830.75167163735</v>
      </c>
      <c r="D26" s="213"/>
      <c r="E26" s="71">
        <v>362.09674797250005</v>
      </c>
      <c r="F26" s="71">
        <v>415.38938397250001</v>
      </c>
      <c r="G26" s="71">
        <v>61.679727412500014</v>
      </c>
      <c r="H26" s="74">
        <f t="shared" si="3"/>
        <v>2.1447321911872428</v>
      </c>
      <c r="I26" s="74">
        <f t="shared" si="4"/>
        <v>2.4603893535959607</v>
      </c>
      <c r="J26" s="74">
        <f t="shared" si="5"/>
        <v>0.365334672752404</v>
      </c>
      <c r="K26" s="214">
        <f t="shared" si="0"/>
        <v>1.8857067603390204E-2</v>
      </c>
      <c r="L26" s="214">
        <f t="shared" si="1"/>
        <v>2.1996287680194758E-2</v>
      </c>
      <c r="M26" s="214">
        <f t="shared" si="2"/>
        <v>3.521426978007754E-3</v>
      </c>
      <c r="N26" s="23"/>
    </row>
    <row r="27" spans="2:14" x14ac:dyDescent="0.25">
      <c r="B27" s="192" t="s">
        <v>21</v>
      </c>
      <c r="C27" s="191"/>
      <c r="D27" s="204"/>
      <c r="E27" s="191">
        <v>0</v>
      </c>
      <c r="F27" s="191">
        <v>0</v>
      </c>
      <c r="G27" s="191">
        <v>0</v>
      </c>
      <c r="H27" s="206" t="str">
        <f t="shared" si="3"/>
        <v>-</v>
      </c>
      <c r="I27" s="206" t="str">
        <f t="shared" si="4"/>
        <v>-</v>
      </c>
      <c r="J27" s="206" t="str">
        <f t="shared" si="5"/>
        <v>-</v>
      </c>
      <c r="K27" s="205">
        <f t="shared" si="0"/>
        <v>0</v>
      </c>
      <c r="L27" s="205">
        <f t="shared" si="1"/>
        <v>0</v>
      </c>
      <c r="M27" s="205">
        <f t="shared" si="2"/>
        <v>0</v>
      </c>
      <c r="N27" s="23"/>
    </row>
    <row r="28" spans="2:14" x14ac:dyDescent="0.25">
      <c r="B28" s="103" t="s">
        <v>10</v>
      </c>
      <c r="C28" s="71">
        <v>2349062</v>
      </c>
      <c r="D28" s="213"/>
      <c r="E28" s="71">
        <v>980</v>
      </c>
      <c r="F28" s="71">
        <v>60.000000000000007</v>
      </c>
      <c r="G28" s="71">
        <v>60.000000000000007</v>
      </c>
      <c r="H28" s="74">
        <f t="shared" si="3"/>
        <v>0.41718779666096512</v>
      </c>
      <c r="I28" s="74">
        <f t="shared" si="4"/>
        <v>2.5542109999650928E-2</v>
      </c>
      <c r="J28" s="74">
        <f t="shared" si="5"/>
        <v>2.5542109999650928E-2</v>
      </c>
      <c r="K28" s="214">
        <f t="shared" si="0"/>
        <v>5.1035880202729367E-2</v>
      </c>
      <c r="L28" s="214">
        <f t="shared" si="1"/>
        <v>3.1772050797019375E-3</v>
      </c>
      <c r="M28" s="214">
        <f t="shared" si="2"/>
        <v>3.4255277632379115E-3</v>
      </c>
      <c r="N28" s="23"/>
    </row>
    <row r="29" spans="2:14" x14ac:dyDescent="0.25">
      <c r="B29" s="192" t="s">
        <v>202</v>
      </c>
      <c r="C29" s="191">
        <v>120963.24</v>
      </c>
      <c r="D29" s="204"/>
      <c r="E29" s="191">
        <v>60.716200000000001</v>
      </c>
      <c r="F29" s="191">
        <v>95.4298</v>
      </c>
      <c r="G29" s="191">
        <v>12.57</v>
      </c>
      <c r="H29" s="206">
        <f t="shared" si="3"/>
        <v>0.50193926683842127</v>
      </c>
      <c r="I29" s="206">
        <f t="shared" si="4"/>
        <v>0.78891570695361668</v>
      </c>
      <c r="J29" s="206">
        <f t="shared" si="5"/>
        <v>0.10391586733291866</v>
      </c>
      <c r="K29" s="205">
        <f t="shared" si="0"/>
        <v>3.1619435811887316E-3</v>
      </c>
      <c r="L29" s="205">
        <f t="shared" si="1"/>
        <v>5.053334088582332E-3</v>
      </c>
      <c r="M29" s="205">
        <f t="shared" si="2"/>
        <v>7.1764806639834243E-4</v>
      </c>
      <c r="N29" s="23"/>
    </row>
    <row r="30" spans="2:14" x14ac:dyDescent="0.25">
      <c r="B30" s="103" t="s">
        <v>12</v>
      </c>
      <c r="C30" s="71">
        <v>3999.623990168795</v>
      </c>
      <c r="D30" s="213"/>
      <c r="E30" s="71"/>
      <c r="F30" s="71"/>
      <c r="G30" s="71"/>
      <c r="H30" s="74">
        <f t="shared" si="3"/>
        <v>0</v>
      </c>
      <c r="I30" s="74">
        <f t="shared" si="4"/>
        <v>0</v>
      </c>
      <c r="J30" s="74">
        <f t="shared" si="5"/>
        <v>0</v>
      </c>
      <c r="K30" s="214">
        <f t="shared" si="0"/>
        <v>0</v>
      </c>
      <c r="L30" s="214">
        <f t="shared" si="1"/>
        <v>0</v>
      </c>
      <c r="M30" s="214">
        <f t="shared" si="2"/>
        <v>0</v>
      </c>
      <c r="N30" s="23"/>
    </row>
    <row r="31" spans="2:14" ht="6" customHeight="1" thickBot="1" x14ac:dyDescent="0.3">
      <c r="B31" s="192"/>
      <c r="C31" s="191"/>
      <c r="D31" s="204"/>
      <c r="E31" s="191"/>
      <c r="F31" s="191"/>
      <c r="G31" s="191"/>
      <c r="H31" s="206"/>
      <c r="I31" s="206"/>
      <c r="J31" s="206"/>
      <c r="K31" s="205"/>
      <c r="L31" s="205"/>
      <c r="M31" s="205"/>
      <c r="N31" s="23"/>
    </row>
    <row r="32" spans="2:14" s="21" customFormat="1" ht="25.15" customHeight="1" thickTop="1" thickBot="1" x14ac:dyDescent="0.3">
      <c r="B32" s="207" t="s">
        <v>13</v>
      </c>
      <c r="C32" s="208">
        <f>SUM(C11:C12,C14:C19,C20:C30)</f>
        <v>6090834</v>
      </c>
      <c r="D32" s="215"/>
      <c r="E32" s="208">
        <f>SUM(E11:E12,E14:E19,E20:E30)</f>
        <v>19202.176901959068</v>
      </c>
      <c r="F32" s="208">
        <f>SUM(F11:F12,F14:F19,F20:F30)</f>
        <v>18884.522243565334</v>
      </c>
      <c r="G32" s="208">
        <f>SUM(G11:G12,G14:G19,G20:G30)</f>
        <v>17515.549178701214</v>
      </c>
      <c r="H32" s="211"/>
      <c r="I32" s="210"/>
      <c r="J32" s="212"/>
      <c r="K32" s="209">
        <f>SUM(K11:K30)</f>
        <v>0.99999999999999978</v>
      </c>
      <c r="L32" s="209">
        <f>SUM(L11:L30)</f>
        <v>1.0000000000000002</v>
      </c>
      <c r="M32" s="209">
        <f>SUM(M11:M30)</f>
        <v>0.99999999999999989</v>
      </c>
      <c r="N32" s="28"/>
    </row>
    <row r="33" spans="1:13" ht="15.75" thickTop="1" x14ac:dyDescent="0.25">
      <c r="B33" s="36"/>
      <c r="C33" s="36"/>
      <c r="D33" s="36"/>
      <c r="E33" s="36"/>
      <c r="F33" s="36"/>
      <c r="G33" s="36"/>
      <c r="H33" s="36"/>
      <c r="I33" s="36"/>
      <c r="J33" s="36"/>
      <c r="K33" s="36"/>
      <c r="L33" s="36"/>
      <c r="M33" s="36"/>
    </row>
    <row r="34" spans="1:13" x14ac:dyDescent="0.25">
      <c r="B34" s="36"/>
      <c r="C34" s="36"/>
      <c r="D34" s="36"/>
      <c r="E34" s="36"/>
      <c r="F34" s="36"/>
      <c r="G34" s="36"/>
      <c r="H34" s="36"/>
      <c r="I34" s="36"/>
      <c r="J34" s="36"/>
      <c r="K34" s="36"/>
      <c r="L34" s="36"/>
      <c r="M34" s="36"/>
    </row>
    <row r="35" spans="1:13" x14ac:dyDescent="0.25">
      <c r="B35" s="79" t="s">
        <v>396</v>
      </c>
      <c r="C35" s="68"/>
      <c r="D35" s="68"/>
      <c r="E35" s="68"/>
      <c r="F35" s="68"/>
      <c r="G35" s="68"/>
      <c r="H35" s="68"/>
      <c r="I35" s="68"/>
      <c r="J35" s="36"/>
      <c r="K35" s="36"/>
      <c r="L35" s="36"/>
      <c r="M35" s="36"/>
    </row>
    <row r="36" spans="1:13" x14ac:dyDescent="0.25">
      <c r="A36" s="21"/>
      <c r="B36" s="67" t="s">
        <v>204</v>
      </c>
      <c r="C36" s="67"/>
      <c r="D36" s="68"/>
      <c r="E36" s="68"/>
      <c r="F36" s="67"/>
      <c r="G36" s="68"/>
      <c r="H36" s="68"/>
      <c r="I36" s="88"/>
    </row>
    <row r="37" spans="1:13" x14ac:dyDescent="0.25">
      <c r="B37" s="68" t="s">
        <v>206</v>
      </c>
      <c r="C37" s="68"/>
      <c r="D37" s="68"/>
      <c r="E37" s="68"/>
      <c r="F37" s="68"/>
      <c r="G37" s="68"/>
      <c r="H37" s="68"/>
      <c r="I37" s="88"/>
    </row>
    <row r="38" spans="1:13" x14ac:dyDescent="0.25">
      <c r="B38" s="68"/>
      <c r="C38" s="68"/>
      <c r="D38" s="68"/>
      <c r="E38" s="68"/>
      <c r="F38" s="68"/>
      <c r="G38" s="68"/>
      <c r="H38" s="68"/>
      <c r="I38" s="88"/>
    </row>
    <row r="39" spans="1:13" x14ac:dyDescent="0.25">
      <c r="B39" s="79" t="s">
        <v>397</v>
      </c>
      <c r="C39" s="68"/>
      <c r="D39" s="68"/>
      <c r="E39" s="68"/>
      <c r="F39" s="68"/>
      <c r="G39" s="68"/>
      <c r="H39" s="68"/>
      <c r="I39" s="88"/>
    </row>
    <row r="40" spans="1:13" x14ac:dyDescent="0.25">
      <c r="A40" s="21"/>
      <c r="B40" s="68" t="s">
        <v>189</v>
      </c>
      <c r="C40" s="68"/>
      <c r="D40" s="68"/>
      <c r="E40" s="68"/>
      <c r="F40" s="68"/>
      <c r="G40" s="68"/>
      <c r="H40" s="68"/>
      <c r="I40" s="88"/>
    </row>
    <row r="41" spans="1:13" x14ac:dyDescent="0.25">
      <c r="B41" s="69" t="s">
        <v>382</v>
      </c>
      <c r="C41" s="68"/>
      <c r="D41" s="68"/>
      <c r="E41" s="68"/>
      <c r="F41" s="68"/>
      <c r="G41" s="68"/>
      <c r="H41" s="68"/>
      <c r="I41" s="88"/>
    </row>
    <row r="42" spans="1:13" x14ac:dyDescent="0.25">
      <c r="B42" s="68"/>
      <c r="C42" s="68"/>
      <c r="D42" s="68"/>
      <c r="E42" s="68"/>
      <c r="F42" s="68"/>
      <c r="G42" s="68"/>
      <c r="H42" s="68"/>
      <c r="I42" s="88"/>
    </row>
    <row r="43" spans="1:13" x14ac:dyDescent="0.25">
      <c r="B43" s="79" t="s">
        <v>398</v>
      </c>
      <c r="C43" s="68"/>
      <c r="D43" s="68"/>
      <c r="E43" s="68"/>
      <c r="F43" s="68"/>
      <c r="G43" s="68"/>
      <c r="H43" s="68"/>
      <c r="I43" s="88"/>
    </row>
  </sheetData>
  <mergeCells count="9">
    <mergeCell ref="B7:B8"/>
    <mergeCell ref="E6:G6"/>
    <mergeCell ref="H6:J6"/>
    <mergeCell ref="K6:M6"/>
    <mergeCell ref="E7:G7"/>
    <mergeCell ref="H7:J7"/>
    <mergeCell ref="K7:M7"/>
    <mergeCell ref="C6:C7"/>
    <mergeCell ref="D6:D7"/>
  </mergeCells>
  <hyperlinks>
    <hyperlink ref="B1" location="Start!A1" display="Back to home page" xr:uid="{39EE2A33-566E-40A1-AF09-27F1CBB193F6}"/>
  </hyperlink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415ED-F916-42CB-AD47-80F79172967D}">
  <sheetPr codeName="Feuil56">
    <tabColor rgb="FF92D050"/>
    <pageSetUpPr fitToPage="1"/>
  </sheetPr>
  <dimension ref="A1:BM5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1" sqref="B11:B26"/>
    </sheetView>
  </sheetViews>
  <sheetFormatPr defaultColWidth="8.7109375" defaultRowHeight="15" x14ac:dyDescent="0.25"/>
  <cols>
    <col min="1" max="1" width="2.7109375" style="7" customWidth="1"/>
    <col min="2" max="2" width="45.7109375" style="7" customWidth="1"/>
    <col min="3" max="32" width="12.7109375" style="7" customWidth="1"/>
    <col min="33" max="65" width="8.7109375" style="7"/>
  </cols>
  <sheetData>
    <row r="1" spans="1:65" x14ac:dyDescent="0.25">
      <c r="A1" s="21"/>
      <c r="B1" s="546" t="s">
        <v>432</v>
      </c>
      <c r="C1" s="21"/>
      <c r="F1"/>
      <c r="G1"/>
      <c r="H1" s="21"/>
      <c r="K1"/>
      <c r="L1"/>
      <c r="M1"/>
      <c r="N1"/>
      <c r="T1"/>
      <c r="U1"/>
      <c r="V1"/>
      <c r="W1"/>
      <c r="X1"/>
      <c r="Y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2" spans="1:65" x14ac:dyDescent="0.25">
      <c r="A2" s="21"/>
      <c r="C2" s="21"/>
      <c r="F2"/>
      <c r="G2"/>
      <c r="H2" s="21"/>
      <c r="K2"/>
      <c r="L2"/>
      <c r="M2"/>
      <c r="N2"/>
      <c r="T2"/>
      <c r="U2"/>
      <c r="V2"/>
      <c r="W2"/>
      <c r="X2"/>
      <c r="Y2"/>
      <c r="AA2"/>
      <c r="AB2"/>
      <c r="AC2"/>
      <c r="AD2"/>
      <c r="AE2"/>
      <c r="AF2"/>
      <c r="AG2"/>
      <c r="AH2"/>
      <c r="AI2"/>
      <c r="AJ2"/>
      <c r="AK2"/>
      <c r="AL2"/>
      <c r="AM2"/>
      <c r="AN2"/>
      <c r="AO2"/>
      <c r="AP2"/>
      <c r="AQ2"/>
      <c r="AR2"/>
      <c r="AS2"/>
      <c r="AT2"/>
      <c r="AU2"/>
      <c r="AV2"/>
      <c r="AW2"/>
      <c r="AX2"/>
      <c r="AY2"/>
      <c r="AZ2"/>
      <c r="BA2"/>
      <c r="BB2"/>
      <c r="BC2"/>
      <c r="BD2"/>
      <c r="BE2"/>
      <c r="BF2"/>
      <c r="BG2"/>
      <c r="BH2"/>
      <c r="BI2"/>
      <c r="BJ2"/>
      <c r="BK2"/>
      <c r="BL2"/>
      <c r="BM2"/>
    </row>
    <row r="3" spans="1:65" x14ac:dyDescent="0.25">
      <c r="A3" s="21"/>
      <c r="C3" s="21"/>
      <c r="F3"/>
      <c r="G3"/>
      <c r="H3" s="21"/>
      <c r="K3"/>
      <c r="L3"/>
      <c r="M3"/>
      <c r="N3"/>
      <c r="T3"/>
      <c r="U3"/>
      <c r="V3"/>
      <c r="W3"/>
      <c r="X3"/>
      <c r="Y3"/>
      <c r="AA3"/>
      <c r="AB3"/>
      <c r="AC3"/>
      <c r="AD3"/>
      <c r="AE3"/>
      <c r="AF3"/>
      <c r="AG3"/>
      <c r="AH3"/>
      <c r="AI3"/>
      <c r="AJ3"/>
      <c r="AK3"/>
      <c r="AL3"/>
      <c r="AM3"/>
      <c r="AN3"/>
      <c r="AO3"/>
      <c r="AP3"/>
      <c r="AQ3"/>
      <c r="AR3"/>
      <c r="AS3"/>
      <c r="AT3"/>
      <c r="AU3"/>
      <c r="AV3"/>
      <c r="AW3"/>
      <c r="AX3"/>
      <c r="AY3"/>
      <c r="AZ3"/>
      <c r="BA3"/>
      <c r="BB3"/>
      <c r="BC3"/>
      <c r="BD3"/>
      <c r="BE3"/>
      <c r="BF3"/>
      <c r="BG3"/>
      <c r="BH3"/>
      <c r="BI3"/>
      <c r="BJ3"/>
      <c r="BK3"/>
      <c r="BL3"/>
      <c r="BM3"/>
    </row>
    <row r="4" spans="1:65" x14ac:dyDescent="0.25">
      <c r="A4" s="21"/>
      <c r="C4" s="21"/>
      <c r="F4"/>
      <c r="G4"/>
      <c r="H4" s="21"/>
      <c r="K4"/>
      <c r="L4"/>
      <c r="M4"/>
      <c r="N4"/>
      <c r="T4"/>
      <c r="U4"/>
      <c r="V4"/>
      <c r="W4"/>
      <c r="X4"/>
      <c r="Y4"/>
      <c r="AA4"/>
      <c r="AB4"/>
      <c r="AC4"/>
      <c r="AD4"/>
      <c r="AE4"/>
      <c r="AF4"/>
      <c r="AG4"/>
      <c r="AH4"/>
      <c r="AI4"/>
      <c r="AJ4"/>
      <c r="AK4"/>
      <c r="AL4"/>
      <c r="AM4"/>
      <c r="AN4"/>
      <c r="AO4"/>
      <c r="AP4"/>
      <c r="AQ4"/>
      <c r="AR4"/>
      <c r="AS4"/>
      <c r="AT4"/>
      <c r="AU4"/>
      <c r="AV4"/>
      <c r="AW4"/>
      <c r="AX4"/>
      <c r="AY4"/>
      <c r="AZ4"/>
      <c r="BA4"/>
      <c r="BB4"/>
      <c r="BC4"/>
      <c r="BD4"/>
      <c r="BE4"/>
      <c r="BF4"/>
      <c r="BG4"/>
      <c r="BH4"/>
      <c r="BI4"/>
      <c r="BJ4"/>
      <c r="BK4"/>
      <c r="BL4"/>
      <c r="BM4"/>
    </row>
    <row r="5" spans="1:65" ht="15.75" thickBot="1" x14ac:dyDescent="0.3">
      <c r="C5" s="21"/>
    </row>
    <row r="6" spans="1:65" ht="30" customHeight="1" thickTop="1" x14ac:dyDescent="0.25">
      <c r="B6" s="105" t="s">
        <v>387</v>
      </c>
      <c r="C6" s="615" t="s">
        <v>390</v>
      </c>
      <c r="D6" s="616"/>
      <c r="E6" s="617"/>
      <c r="F6" s="615" t="s">
        <v>389</v>
      </c>
      <c r="G6" s="616"/>
      <c r="H6" s="616"/>
      <c r="I6" s="616"/>
      <c r="J6" s="616"/>
      <c r="K6" s="616"/>
      <c r="L6" s="616"/>
      <c r="M6" s="616"/>
      <c r="N6" s="617"/>
      <c r="O6" s="615" t="s">
        <v>392</v>
      </c>
      <c r="P6" s="616"/>
      <c r="Q6" s="616"/>
      <c r="R6" s="616"/>
      <c r="S6" s="616"/>
      <c r="T6" s="616"/>
      <c r="U6" s="616"/>
      <c r="V6" s="616"/>
      <c r="W6" s="617"/>
      <c r="X6" s="615" t="s">
        <v>399</v>
      </c>
      <c r="Y6" s="616"/>
      <c r="Z6" s="616"/>
      <c r="AA6" s="616"/>
      <c r="AB6" s="616"/>
      <c r="AC6" s="616"/>
      <c r="AD6" s="616"/>
      <c r="AE6" s="616"/>
      <c r="AF6" s="617"/>
    </row>
    <row r="7" spans="1:65" ht="25.15" customHeight="1" thickBot="1" x14ac:dyDescent="0.3">
      <c r="B7" s="583" t="s">
        <v>174</v>
      </c>
      <c r="C7" s="599" t="s">
        <v>405</v>
      </c>
      <c r="D7" s="600"/>
      <c r="E7" s="601"/>
      <c r="F7" s="599" t="s">
        <v>14</v>
      </c>
      <c r="G7" s="600"/>
      <c r="H7" s="600"/>
      <c r="I7" s="600"/>
      <c r="J7" s="600"/>
      <c r="K7" s="600"/>
      <c r="L7" s="600"/>
      <c r="M7" s="600"/>
      <c r="N7" s="601"/>
      <c r="O7" s="599" t="s">
        <v>415</v>
      </c>
      <c r="P7" s="600"/>
      <c r="Q7" s="600"/>
      <c r="R7" s="600"/>
      <c r="S7" s="600"/>
      <c r="T7" s="600"/>
      <c r="U7" s="600"/>
      <c r="V7" s="600"/>
      <c r="W7" s="601"/>
      <c r="X7" s="605" t="s">
        <v>0</v>
      </c>
      <c r="Y7" s="606"/>
      <c r="Z7" s="606"/>
      <c r="AA7" s="606"/>
      <c r="AB7" s="606"/>
      <c r="AC7" s="606"/>
      <c r="AD7" s="606"/>
      <c r="AE7" s="606"/>
      <c r="AF7" s="607"/>
    </row>
    <row r="8" spans="1:65" ht="34.15" customHeight="1" thickTop="1" thickBot="1" x14ac:dyDescent="0.3">
      <c r="A8" s="13"/>
      <c r="B8" s="584"/>
      <c r="C8" s="602"/>
      <c r="D8" s="603"/>
      <c r="E8" s="604"/>
      <c r="F8" s="608" t="s">
        <v>388</v>
      </c>
      <c r="G8" s="609"/>
      <c r="H8" s="610"/>
      <c r="I8" s="608" t="s">
        <v>401</v>
      </c>
      <c r="J8" s="609"/>
      <c r="K8" s="610"/>
      <c r="L8" s="608" t="s">
        <v>402</v>
      </c>
      <c r="M8" s="609"/>
      <c r="N8" s="610"/>
      <c r="O8" s="612" t="s">
        <v>388</v>
      </c>
      <c r="P8" s="613"/>
      <c r="Q8" s="614"/>
      <c r="R8" s="612" t="s">
        <v>401</v>
      </c>
      <c r="S8" s="613"/>
      <c r="T8" s="614"/>
      <c r="U8" s="612" t="s">
        <v>402</v>
      </c>
      <c r="V8" s="613"/>
      <c r="W8" s="614"/>
      <c r="X8" s="608" t="s">
        <v>388</v>
      </c>
      <c r="Y8" s="609"/>
      <c r="Z8" s="610"/>
      <c r="AA8" s="608" t="s">
        <v>401</v>
      </c>
      <c r="AB8" s="609"/>
      <c r="AC8" s="610"/>
      <c r="AD8" s="608" t="s">
        <v>402</v>
      </c>
      <c r="AE8" s="609"/>
      <c r="AF8" s="611"/>
      <c r="AG8" s="13"/>
      <c r="AH8" s="13"/>
      <c r="AI8" s="13"/>
      <c r="AJ8" s="13"/>
      <c r="AK8" s="13"/>
      <c r="AL8" s="13"/>
      <c r="AM8" s="13"/>
    </row>
    <row r="9" spans="1:65" ht="34.15" customHeight="1" thickTop="1" thickBot="1" x14ac:dyDescent="0.3">
      <c r="B9" s="106" t="s">
        <v>393</v>
      </c>
      <c r="C9" s="51">
        <v>2014</v>
      </c>
      <c r="D9" s="107">
        <v>2017</v>
      </c>
      <c r="E9" s="51">
        <v>2018</v>
      </c>
      <c r="F9" s="50">
        <v>2014</v>
      </c>
      <c r="G9" s="107">
        <v>2017</v>
      </c>
      <c r="H9" s="52">
        <v>2018</v>
      </c>
      <c r="I9" s="51">
        <v>2014</v>
      </c>
      <c r="J9" s="107">
        <v>2017</v>
      </c>
      <c r="K9" s="51">
        <v>2018</v>
      </c>
      <c r="L9" s="50">
        <v>2014</v>
      </c>
      <c r="M9" s="107">
        <v>2017</v>
      </c>
      <c r="N9" s="51">
        <v>2018</v>
      </c>
      <c r="O9" s="50">
        <v>2014</v>
      </c>
      <c r="P9" s="107">
        <v>2017</v>
      </c>
      <c r="Q9" s="51">
        <v>2018</v>
      </c>
      <c r="R9" s="108">
        <v>2014</v>
      </c>
      <c r="S9" s="107">
        <v>2017</v>
      </c>
      <c r="T9" s="109">
        <v>2018</v>
      </c>
      <c r="U9" s="108">
        <v>2014</v>
      </c>
      <c r="V9" s="107">
        <v>2017</v>
      </c>
      <c r="W9" s="109">
        <v>2018</v>
      </c>
      <c r="X9" s="108">
        <v>2014</v>
      </c>
      <c r="Y9" s="107">
        <v>2017</v>
      </c>
      <c r="Z9" s="109">
        <v>2018</v>
      </c>
      <c r="AA9" s="108">
        <v>2014</v>
      </c>
      <c r="AB9" s="107">
        <v>2017</v>
      </c>
      <c r="AC9" s="109">
        <v>2018</v>
      </c>
      <c r="AD9" s="108">
        <v>2014</v>
      </c>
      <c r="AE9" s="107">
        <v>2017</v>
      </c>
      <c r="AF9" s="110">
        <v>2018</v>
      </c>
    </row>
    <row r="10" spans="1:65" ht="6" customHeight="1" thickTop="1" x14ac:dyDescent="0.25">
      <c r="B10" s="111"/>
      <c r="C10" s="112"/>
      <c r="D10" s="113"/>
      <c r="E10" s="114"/>
      <c r="F10" s="112"/>
      <c r="G10" s="113"/>
      <c r="H10" s="114"/>
      <c r="I10" s="115"/>
      <c r="J10" s="116"/>
      <c r="K10" s="115"/>
      <c r="L10" s="112"/>
      <c r="M10" s="113"/>
      <c r="N10" s="115"/>
      <c r="O10" s="112"/>
      <c r="P10" s="113"/>
      <c r="Q10" s="115"/>
      <c r="R10" s="117"/>
      <c r="S10" s="118"/>
      <c r="T10" s="119"/>
      <c r="U10" s="117"/>
      <c r="V10" s="118"/>
      <c r="W10" s="119"/>
      <c r="X10" s="117"/>
      <c r="Y10" s="118"/>
      <c r="Z10" s="119"/>
      <c r="AA10" s="117"/>
      <c r="AB10" s="118"/>
      <c r="AC10" s="119"/>
      <c r="AD10" s="117"/>
      <c r="AE10" s="118"/>
      <c r="AF10" s="120"/>
    </row>
    <row r="11" spans="1:65" x14ac:dyDescent="0.25">
      <c r="B11" s="121" t="s">
        <v>3</v>
      </c>
      <c r="C11" s="54">
        <v>2952600</v>
      </c>
      <c r="D11" s="122">
        <v>2282900</v>
      </c>
      <c r="E11" s="91">
        <v>2441500</v>
      </c>
      <c r="F11" s="54">
        <v>165097.18171212595</v>
      </c>
      <c r="G11" s="122">
        <v>127085.51421454614</v>
      </c>
      <c r="H11" s="91">
        <v>135415</v>
      </c>
      <c r="I11" s="123">
        <v>123740.54764484019</v>
      </c>
      <c r="J11" s="122">
        <v>72985.734332860025</v>
      </c>
      <c r="K11" s="123">
        <v>78267</v>
      </c>
      <c r="L11" s="54">
        <v>119460.93819848003</v>
      </c>
      <c r="M11" s="122">
        <v>105103.95367906299</v>
      </c>
      <c r="N11" s="123">
        <v>108134</v>
      </c>
      <c r="O11" s="124">
        <f t="shared" ref="O11:O25" si="0">IFERROR(F11*1000/C11,"-")</f>
        <v>55.915864564155648</v>
      </c>
      <c r="P11" s="125">
        <f t="shared" ref="P11:Q25" si="1">IFERROR(G11*1000/D11,"-")</f>
        <v>55.668454253163148</v>
      </c>
      <c r="Q11" s="126">
        <f t="shared" si="1"/>
        <v>55.463854187999182</v>
      </c>
      <c r="R11" s="127">
        <f>IFERROR(I11*1000/C11,"-")</f>
        <v>41.909011598198262</v>
      </c>
      <c r="S11" s="128">
        <f t="shared" ref="S11:T26" si="2">IFERROR(J11*1000/D11,"-")</f>
        <v>31.970622599702143</v>
      </c>
      <c r="T11" s="129">
        <f t="shared" si="2"/>
        <v>32.056932213802988</v>
      </c>
      <c r="U11" s="127">
        <f>IFERROR(L11*1000/C11,"-")</f>
        <v>40.459574002059213</v>
      </c>
      <c r="V11" s="128">
        <f t="shared" ref="V11:W25" si="3">IFERROR(M11*1000/D11,"-")</f>
        <v>46.039666073442987</v>
      </c>
      <c r="W11" s="129">
        <f t="shared" si="3"/>
        <v>44.289985664550478</v>
      </c>
      <c r="X11" s="130">
        <f t="shared" ref="X11:X26" si="4">IFERROR(F11/F$28,"-")</f>
        <v>4.4365317288986447E-2</v>
      </c>
      <c r="Y11" s="131">
        <f t="shared" ref="Y11:Y26" si="5">IFERROR(G11/G$28,"-")</f>
        <v>2.995865247710703E-2</v>
      </c>
      <c r="Z11" s="132">
        <f t="shared" ref="Z11:Z26" si="6">IFERROR(H11/H$28,"-")</f>
        <v>3.0854190453166865E-2</v>
      </c>
      <c r="AA11" s="130">
        <f t="shared" ref="AA11:AA26" si="7">IFERROR(I11/I$28,"-")</f>
        <v>2.5124782937948235E-2</v>
      </c>
      <c r="AB11" s="131">
        <f t="shared" ref="AB11:AB26" si="8">IFERROR(J11/J$28,"-")</f>
        <v>1.4472917380409052E-2</v>
      </c>
      <c r="AC11" s="132">
        <f t="shared" ref="AC11:AC26" si="9">IFERROR(K11/K$28,"-")</f>
        <v>1.4853472196259333E-2</v>
      </c>
      <c r="AD11" s="130">
        <f t="shared" ref="AD11:AD26" si="10">IFERROR(L11/L$28,"-")</f>
        <v>2.2222322322433933E-2</v>
      </c>
      <c r="AE11" s="131">
        <f t="shared" ref="AE11:AE26" si="11">IFERROR(M11/M$28,"-")</f>
        <v>1.8410188658623265E-2</v>
      </c>
      <c r="AF11" s="133">
        <f t="shared" ref="AF11:AF26" si="12">IFERROR(N11/N$28,"-")</f>
        <v>1.7611896882436591E-2</v>
      </c>
    </row>
    <row r="12" spans="1:65" x14ac:dyDescent="0.25">
      <c r="B12" s="134" t="s">
        <v>16</v>
      </c>
      <c r="C12" s="72">
        <v>2295100</v>
      </c>
      <c r="D12" s="135">
        <v>1972100</v>
      </c>
      <c r="E12" s="104">
        <v>1850700</v>
      </c>
      <c r="F12" s="72">
        <v>119480.88203610585</v>
      </c>
      <c r="G12" s="135">
        <v>162799.04449151797</v>
      </c>
      <c r="H12" s="104">
        <v>153187</v>
      </c>
      <c r="I12" s="136">
        <v>98133.73083451514</v>
      </c>
      <c r="J12" s="135">
        <v>70784.908638272667</v>
      </c>
      <c r="K12" s="136">
        <v>65793</v>
      </c>
      <c r="L12" s="72">
        <v>95236.92069695871</v>
      </c>
      <c r="M12" s="135">
        <v>73810.630070261584</v>
      </c>
      <c r="N12" s="136">
        <v>68479</v>
      </c>
      <c r="O12" s="137">
        <f t="shared" si="0"/>
        <v>52.059118136946466</v>
      </c>
      <c r="P12" s="138">
        <f t="shared" si="1"/>
        <v>82.551110233516539</v>
      </c>
      <c r="Q12" s="139">
        <f t="shared" si="1"/>
        <v>82.772464472902143</v>
      </c>
      <c r="R12" s="140">
        <f t="shared" ref="R12:R25" si="13">IFERROR(I12*1000/C12,"-")</f>
        <v>42.757932479854972</v>
      </c>
      <c r="S12" s="141">
        <f t="shared" si="2"/>
        <v>35.893163956327101</v>
      </c>
      <c r="T12" s="142">
        <f t="shared" si="2"/>
        <v>35.550332306694763</v>
      </c>
      <c r="U12" s="140">
        <f t="shared" ref="U12:U25" si="14">IFERROR(L12*1000/C12,"-")</f>
        <v>41.495760836982576</v>
      </c>
      <c r="V12" s="141">
        <f t="shared" si="3"/>
        <v>37.427427650860295</v>
      </c>
      <c r="W12" s="142">
        <f t="shared" si="3"/>
        <v>37.001675041876048</v>
      </c>
      <c r="X12" s="143">
        <f t="shared" si="4"/>
        <v>3.2107193996458547E-2</v>
      </c>
      <c r="Y12" s="144">
        <f t="shared" si="5"/>
        <v>3.8377623348107966E-2</v>
      </c>
      <c r="Z12" s="145">
        <f t="shared" si="6"/>
        <v>3.4903525259013198E-2</v>
      </c>
      <c r="AA12" s="143">
        <f t="shared" si="7"/>
        <v>1.9925470939283031E-2</v>
      </c>
      <c r="AB12" s="144">
        <f t="shared" si="8"/>
        <v>1.403649828101111E-2</v>
      </c>
      <c r="AC12" s="145">
        <f t="shared" si="9"/>
        <v>1.2486162702141264E-2</v>
      </c>
      <c r="AD12" s="143">
        <f t="shared" si="10"/>
        <v>1.7716130315397306E-2</v>
      </c>
      <c r="AE12" s="144">
        <f t="shared" si="11"/>
        <v>1.292879646330619E-2</v>
      </c>
      <c r="AF12" s="146">
        <f t="shared" si="12"/>
        <v>1.1153245848783687E-2</v>
      </c>
    </row>
    <row r="13" spans="1:65" x14ac:dyDescent="0.25">
      <c r="B13" s="121" t="s">
        <v>51</v>
      </c>
      <c r="C13" s="54">
        <v>15692900</v>
      </c>
      <c r="D13" s="122">
        <v>16616900</v>
      </c>
      <c r="E13" s="91">
        <v>17496750</v>
      </c>
      <c r="F13" s="54">
        <v>1074987.9464702518</v>
      </c>
      <c r="G13" s="122">
        <v>1108664.4837526903</v>
      </c>
      <c r="H13" s="91">
        <v>1197743</v>
      </c>
      <c r="I13" s="123">
        <v>789412.43765348359</v>
      </c>
      <c r="J13" s="122">
        <v>641387.57057964639</v>
      </c>
      <c r="K13" s="123">
        <v>699756</v>
      </c>
      <c r="L13" s="54">
        <v>743228.81923354464</v>
      </c>
      <c r="M13" s="122">
        <v>707592.55806501023</v>
      </c>
      <c r="N13" s="123">
        <v>777689</v>
      </c>
      <c r="O13" s="124">
        <f t="shared" si="0"/>
        <v>68.501548246038126</v>
      </c>
      <c r="P13" s="125">
        <f t="shared" si="1"/>
        <v>66.71909223457385</v>
      </c>
      <c r="Q13" s="126">
        <f t="shared" si="1"/>
        <v>68.455170245902806</v>
      </c>
      <c r="R13" s="127">
        <f t="shared" si="13"/>
        <v>50.303795834643921</v>
      </c>
      <c r="S13" s="128">
        <f t="shared" si="2"/>
        <v>38.598509383798806</v>
      </c>
      <c r="T13" s="129">
        <f t="shared" si="2"/>
        <v>39.993484504265076</v>
      </c>
      <c r="U13" s="127">
        <f t="shared" si="14"/>
        <v>47.36083319421806</v>
      </c>
      <c r="V13" s="128">
        <f t="shared" si="3"/>
        <v>42.582705442351475</v>
      </c>
      <c r="W13" s="129">
        <f t="shared" si="3"/>
        <v>44.447625987683423</v>
      </c>
      <c r="X13" s="130">
        <f t="shared" si="4"/>
        <v>0.28887338252780015</v>
      </c>
      <c r="Y13" s="131">
        <f t="shared" si="5"/>
        <v>0.26135232003221065</v>
      </c>
      <c r="Z13" s="132">
        <f t="shared" si="6"/>
        <v>0.27290470506182801</v>
      </c>
      <c r="AA13" s="130">
        <f t="shared" si="7"/>
        <v>0.16028550480871748</v>
      </c>
      <c r="AB13" s="131">
        <f t="shared" si="8"/>
        <v>0.12718580422148568</v>
      </c>
      <c r="AC13" s="132">
        <f t="shared" si="9"/>
        <v>0.13279934442569213</v>
      </c>
      <c r="AD13" s="130">
        <f t="shared" si="10"/>
        <v>0.13825666054027325</v>
      </c>
      <c r="AE13" s="131">
        <f t="shared" si="11"/>
        <v>0.12394312517674275</v>
      </c>
      <c r="AF13" s="133">
        <f t="shared" si="12"/>
        <v>0.12666301509798239</v>
      </c>
    </row>
    <row r="14" spans="1:65" x14ac:dyDescent="0.25">
      <c r="B14" s="134" t="s">
        <v>5</v>
      </c>
      <c r="C14" s="72">
        <v>722600</v>
      </c>
      <c r="D14" s="135">
        <v>782200</v>
      </c>
      <c r="E14" s="104">
        <v>732300</v>
      </c>
      <c r="F14" s="72">
        <v>22269.888918138808</v>
      </c>
      <c r="G14" s="135">
        <v>21161.978043261173</v>
      </c>
      <c r="H14" s="104">
        <v>21900</v>
      </c>
      <c r="I14" s="136">
        <v>20911.10386542193</v>
      </c>
      <c r="J14" s="135">
        <v>18392.053951370781</v>
      </c>
      <c r="K14" s="136">
        <v>19466</v>
      </c>
      <c r="L14" s="72">
        <v>32976.873277524908</v>
      </c>
      <c r="M14" s="135">
        <v>31835.711016450572</v>
      </c>
      <c r="N14" s="136">
        <v>33364</v>
      </c>
      <c r="O14" s="137">
        <f t="shared" si="0"/>
        <v>30.819110044476627</v>
      </c>
      <c r="P14" s="138">
        <f t="shared" si="1"/>
        <v>27.054433703990252</v>
      </c>
      <c r="Q14" s="139">
        <f t="shared" si="1"/>
        <v>29.905776321179843</v>
      </c>
      <c r="R14" s="140">
        <f t="shared" si="13"/>
        <v>28.938698955745817</v>
      </c>
      <c r="S14" s="141">
        <f t="shared" si="2"/>
        <v>23.51323696160928</v>
      </c>
      <c r="T14" s="142">
        <f t="shared" si="2"/>
        <v>26.582001911784786</v>
      </c>
      <c r="U14" s="140">
        <f t="shared" si="14"/>
        <v>45.63641472118033</v>
      </c>
      <c r="V14" s="141">
        <f t="shared" si="3"/>
        <v>40.700218635196336</v>
      </c>
      <c r="W14" s="142">
        <f t="shared" si="3"/>
        <v>45.560562610951798</v>
      </c>
      <c r="X14" s="143">
        <f t="shared" si="4"/>
        <v>5.984418859229651E-3</v>
      </c>
      <c r="Y14" s="144">
        <f t="shared" si="5"/>
        <v>4.9886436691434135E-3</v>
      </c>
      <c r="Z14" s="145">
        <f t="shared" si="6"/>
        <v>4.9898960301617565E-3</v>
      </c>
      <c r="AA14" s="143">
        <f t="shared" si="7"/>
        <v>4.2458753869392962E-3</v>
      </c>
      <c r="AB14" s="144">
        <f t="shared" si="8"/>
        <v>3.6471055573715199E-3</v>
      </c>
      <c r="AC14" s="145">
        <f t="shared" si="9"/>
        <v>3.6942477643500345E-3</v>
      </c>
      <c r="AD14" s="143">
        <f t="shared" si="10"/>
        <v>6.1344127897410153E-3</v>
      </c>
      <c r="AE14" s="144">
        <f t="shared" si="11"/>
        <v>5.5763977032104659E-3</v>
      </c>
      <c r="AF14" s="146">
        <f t="shared" si="12"/>
        <v>5.4340293301423639E-3</v>
      </c>
    </row>
    <row r="15" spans="1:65" x14ac:dyDescent="0.25">
      <c r="B15" s="121" t="s">
        <v>6</v>
      </c>
      <c r="C15" s="54">
        <v>32095400</v>
      </c>
      <c r="D15" s="122">
        <v>35149300</v>
      </c>
      <c r="E15" s="91">
        <v>35874100</v>
      </c>
      <c r="F15" s="54">
        <v>418790.46117085917</v>
      </c>
      <c r="G15" s="122">
        <v>567546.97714217985</v>
      </c>
      <c r="H15" s="91">
        <v>562028</v>
      </c>
      <c r="I15" s="123">
        <v>2884872.683005813</v>
      </c>
      <c r="J15" s="122">
        <v>3286540.5249994872</v>
      </c>
      <c r="K15" s="123">
        <v>3315279</v>
      </c>
      <c r="L15" s="54">
        <v>2603731.6614005188</v>
      </c>
      <c r="M15" s="122">
        <v>2961036.6832312988</v>
      </c>
      <c r="N15" s="123">
        <v>3200684</v>
      </c>
      <c r="O15" s="124">
        <f t="shared" si="0"/>
        <v>13.048301662258741</v>
      </c>
      <c r="P15" s="125">
        <f t="shared" si="1"/>
        <v>16.146750494097461</v>
      </c>
      <c r="Q15" s="126">
        <f t="shared" si="1"/>
        <v>15.666678745947634</v>
      </c>
      <c r="R15" s="127">
        <f t="shared" si="13"/>
        <v>89.884303763337215</v>
      </c>
      <c r="S15" s="128">
        <f t="shared" si="2"/>
        <v>93.502303744298956</v>
      </c>
      <c r="T15" s="129">
        <f t="shared" si="2"/>
        <v>92.414276595092275</v>
      </c>
      <c r="U15" s="127">
        <f t="shared" si="14"/>
        <v>81.124761224366068</v>
      </c>
      <c r="V15" s="128">
        <f t="shared" si="3"/>
        <v>84.241697081628899</v>
      </c>
      <c r="W15" s="129">
        <f t="shared" si="3"/>
        <v>89.219910743405407</v>
      </c>
      <c r="X15" s="130">
        <f t="shared" si="4"/>
        <v>0.11253839402203127</v>
      </c>
      <c r="Y15" s="131">
        <f t="shared" si="5"/>
        <v>0.13379135110497925</v>
      </c>
      <c r="Z15" s="132">
        <f t="shared" si="6"/>
        <v>0.1280575929698517</v>
      </c>
      <c r="AA15" s="130">
        <f t="shared" si="7"/>
        <v>0.58575625648735996</v>
      </c>
      <c r="AB15" s="131">
        <f t="shared" si="8"/>
        <v>0.6517140633093339</v>
      </c>
      <c r="AC15" s="132">
        <f t="shared" si="9"/>
        <v>0.62917199393540624</v>
      </c>
      <c r="AD15" s="130">
        <f t="shared" si="10"/>
        <v>0.48435049224738924</v>
      </c>
      <c r="AE15" s="131">
        <f t="shared" si="11"/>
        <v>0.51866026020152944</v>
      </c>
      <c r="AF15" s="133">
        <f t="shared" si="12"/>
        <v>0.52129872714654668</v>
      </c>
    </row>
    <row r="16" spans="1:65" x14ac:dyDescent="0.25">
      <c r="B16" s="134" t="s">
        <v>25</v>
      </c>
      <c r="C16" s="72">
        <v>976200</v>
      </c>
      <c r="D16" s="135">
        <v>1191731.3598125696</v>
      </c>
      <c r="E16" s="104">
        <v>1641231</v>
      </c>
      <c r="F16" s="72">
        <v>202046.39618786416</v>
      </c>
      <c r="G16" s="135">
        <v>274620.84964535479</v>
      </c>
      <c r="H16" s="104">
        <v>391442</v>
      </c>
      <c r="I16" s="136">
        <v>138623.44579428871</v>
      </c>
      <c r="J16" s="135">
        <v>145646.33156479799</v>
      </c>
      <c r="K16" s="136">
        <v>218714</v>
      </c>
      <c r="L16" s="72">
        <v>229161.28279915504</v>
      </c>
      <c r="M16" s="135">
        <v>191639.85523351954</v>
      </c>
      <c r="N16" s="136">
        <v>273885</v>
      </c>
      <c r="O16" s="137">
        <f t="shared" si="0"/>
        <v>206.97233782817472</v>
      </c>
      <c r="P16" s="138">
        <f t="shared" si="1"/>
        <v>230.43855260177597</v>
      </c>
      <c r="Q16" s="139">
        <f t="shared" si="1"/>
        <v>238.50512206995847</v>
      </c>
      <c r="R16" s="140">
        <f t="shared" si="13"/>
        <v>142.00312005151474</v>
      </c>
      <c r="S16" s="141">
        <f t="shared" si="2"/>
        <v>122.21406306510607</v>
      </c>
      <c r="T16" s="142">
        <f t="shared" si="2"/>
        <v>133.26216723910284</v>
      </c>
      <c r="U16" s="140">
        <f t="shared" si="14"/>
        <v>234.74829215238174</v>
      </c>
      <c r="V16" s="141">
        <f t="shared" si="3"/>
        <v>160.80793180072047</v>
      </c>
      <c r="W16" s="142">
        <f t="shared" si="3"/>
        <v>166.87778868422544</v>
      </c>
      <c r="X16" s="143">
        <f t="shared" si="4"/>
        <v>5.4294400310241533E-2</v>
      </c>
      <c r="Y16" s="144">
        <f t="shared" si="5"/>
        <v>6.4738067499996443E-2</v>
      </c>
      <c r="Z16" s="145">
        <f t="shared" si="6"/>
        <v>8.9189720631898561E-2</v>
      </c>
      <c r="AA16" s="143">
        <f t="shared" si="7"/>
        <v>2.814666697361403E-2</v>
      </c>
      <c r="AB16" s="144">
        <f t="shared" si="8"/>
        <v>2.8881360758576929E-2</v>
      </c>
      <c r="AC16" s="145">
        <f t="shared" si="9"/>
        <v>4.1507433757939666E-2</v>
      </c>
      <c r="AD16" s="143">
        <f t="shared" si="10"/>
        <v>4.262896279723051E-2</v>
      </c>
      <c r="AE16" s="144">
        <f t="shared" si="11"/>
        <v>3.3567965484281863E-2</v>
      </c>
      <c r="AF16" s="146">
        <f t="shared" si="12"/>
        <v>4.4607934392939738E-2</v>
      </c>
    </row>
    <row r="17" spans="1:65" x14ac:dyDescent="0.25">
      <c r="B17" s="121" t="s">
        <v>55</v>
      </c>
      <c r="C17" s="54">
        <v>12379790.374033147</v>
      </c>
      <c r="D17" s="122">
        <v>11927080.916595915</v>
      </c>
      <c r="E17" s="91">
        <v>11772103</v>
      </c>
      <c r="F17" s="54">
        <v>820114.36448652355</v>
      </c>
      <c r="G17" s="122">
        <v>982489.74487213406</v>
      </c>
      <c r="H17" s="91">
        <v>895579</v>
      </c>
      <c r="I17" s="123">
        <v>276451.04315130442</v>
      </c>
      <c r="J17" s="122">
        <v>276188.86778906261</v>
      </c>
      <c r="K17" s="123">
        <v>239138</v>
      </c>
      <c r="L17" s="54">
        <v>830866.16290437442</v>
      </c>
      <c r="M17" s="122">
        <v>854826.70942604798</v>
      </c>
      <c r="N17" s="123">
        <v>772828</v>
      </c>
      <c r="O17" s="124">
        <f t="shared" si="0"/>
        <v>66.246223862298137</v>
      </c>
      <c r="P17" s="125">
        <f t="shared" si="1"/>
        <v>82.374702724205591</v>
      </c>
      <c r="Q17" s="126">
        <f t="shared" si="1"/>
        <v>76.076381594690432</v>
      </c>
      <c r="R17" s="127">
        <f t="shared" si="13"/>
        <v>22.330833947815943</v>
      </c>
      <c r="S17" s="128">
        <f t="shared" si="2"/>
        <v>23.156451249086448</v>
      </c>
      <c r="T17" s="129">
        <f t="shared" si="2"/>
        <v>20.313957497653561</v>
      </c>
      <c r="U17" s="127">
        <f t="shared" si="14"/>
        <v>67.114719862069109</v>
      </c>
      <c r="V17" s="128">
        <f t="shared" si="3"/>
        <v>71.671074876049587</v>
      </c>
      <c r="W17" s="129">
        <f t="shared" si="3"/>
        <v>65.649102798370009</v>
      </c>
      <c r="X17" s="130">
        <f t="shared" si="4"/>
        <v>0.22038313202185775</v>
      </c>
      <c r="Y17" s="131">
        <f t="shared" si="5"/>
        <v>0.23160837024474032</v>
      </c>
      <c r="Z17" s="132">
        <f t="shared" si="6"/>
        <v>0.2040568993970884</v>
      </c>
      <c r="AA17" s="130">
        <f t="shared" si="7"/>
        <v>5.6131741650939052E-2</v>
      </c>
      <c r="AB17" s="131">
        <f t="shared" si="8"/>
        <v>5.4767670715894334E-2</v>
      </c>
      <c r="AC17" s="132">
        <f t="shared" si="9"/>
        <v>4.5383490284143561E-2</v>
      </c>
      <c r="AD17" s="130">
        <f t="shared" si="10"/>
        <v>0.15455910490329494</v>
      </c>
      <c r="AE17" s="131">
        <f t="shared" si="11"/>
        <v>0.14973291146609485</v>
      </c>
      <c r="AF17" s="133">
        <f t="shared" si="12"/>
        <v>0.12587129897959665</v>
      </c>
    </row>
    <row r="18" spans="1:65" x14ac:dyDescent="0.25">
      <c r="B18" s="134" t="s">
        <v>57</v>
      </c>
      <c r="C18" s="72">
        <v>2287277.98</v>
      </c>
      <c r="D18" s="135">
        <v>2267334.41</v>
      </c>
      <c r="E18" s="104">
        <v>2192248</v>
      </c>
      <c r="F18" s="72">
        <v>387455.47402885818</v>
      </c>
      <c r="G18" s="135">
        <v>465097.24815965141</v>
      </c>
      <c r="H18" s="104">
        <v>353157</v>
      </c>
      <c r="I18" s="136">
        <v>126528.61282324624</v>
      </c>
      <c r="J18" s="135">
        <v>124379.63269241778</v>
      </c>
      <c r="K18" s="136">
        <v>91653</v>
      </c>
      <c r="L18" s="72">
        <v>237748.67827738955</v>
      </c>
      <c r="M18" s="135">
        <v>273092.19119768206</v>
      </c>
      <c r="N18" s="136">
        <v>248554</v>
      </c>
      <c r="O18" s="137">
        <f t="shared" si="0"/>
        <v>169.39588341110081</v>
      </c>
      <c r="P18" s="138">
        <f t="shared" si="1"/>
        <v>205.12953277132655</v>
      </c>
      <c r="Q18" s="139">
        <f t="shared" si="1"/>
        <v>161.09354416106206</v>
      </c>
      <c r="R18" s="140">
        <f t="shared" si="13"/>
        <v>55.318423877471261</v>
      </c>
      <c r="S18" s="141">
        <f t="shared" si="2"/>
        <v>54.857206834530324</v>
      </c>
      <c r="T18" s="142">
        <f t="shared" si="2"/>
        <v>41.807769923840731</v>
      </c>
      <c r="U18" s="140">
        <f t="shared" si="14"/>
        <v>103.94393700996044</v>
      </c>
      <c r="V18" s="141">
        <f t="shared" si="3"/>
        <v>120.44636644388159</v>
      </c>
      <c r="W18" s="142">
        <f t="shared" si="3"/>
        <v>113.37859585229408</v>
      </c>
      <c r="X18" s="143">
        <f t="shared" si="4"/>
        <v>0.10411797986120565</v>
      </c>
      <c r="Y18" s="144">
        <f t="shared" si="5"/>
        <v>0.1096402443015725</v>
      </c>
      <c r="Z18" s="145">
        <f t="shared" si="6"/>
        <v>8.0466516544467376E-2</v>
      </c>
      <c r="AA18" s="143">
        <f t="shared" si="7"/>
        <v>2.5690883005852892E-2</v>
      </c>
      <c r="AB18" s="144">
        <f t="shared" si="8"/>
        <v>2.4664219168546754E-2</v>
      </c>
      <c r="AC18" s="145">
        <f t="shared" si="9"/>
        <v>1.7393860595190266E-2</v>
      </c>
      <c r="AD18" s="143">
        <f t="shared" si="10"/>
        <v>4.422640438027315E-2</v>
      </c>
      <c r="AE18" s="144">
        <f t="shared" si="11"/>
        <v>4.7835296248685939E-2</v>
      </c>
      <c r="AF18" s="146">
        <f t="shared" si="12"/>
        <v>4.0482248115459932E-2</v>
      </c>
    </row>
    <row r="19" spans="1:65" x14ac:dyDescent="0.25">
      <c r="B19" s="121" t="s">
        <v>8</v>
      </c>
      <c r="C19" s="54">
        <v>131943</v>
      </c>
      <c r="D19" s="122">
        <v>119117</v>
      </c>
      <c r="E19" s="91">
        <v>125548</v>
      </c>
      <c r="F19" s="54">
        <v>15563.251747890805</v>
      </c>
      <c r="G19" s="122">
        <v>15586.494295843586</v>
      </c>
      <c r="H19" s="91">
        <v>18469</v>
      </c>
      <c r="I19" s="123">
        <v>52912.814862012528</v>
      </c>
      <c r="J19" s="122">
        <v>42967.588624554861</v>
      </c>
      <c r="K19" s="123">
        <v>51822</v>
      </c>
      <c r="L19" s="54">
        <v>36586.115180242079</v>
      </c>
      <c r="M19" s="122">
        <v>32942.58661959946</v>
      </c>
      <c r="N19" s="123">
        <v>37871</v>
      </c>
      <c r="O19" s="124">
        <f t="shared" si="0"/>
        <v>117.95435716855614</v>
      </c>
      <c r="P19" s="125">
        <f t="shared" si="1"/>
        <v>130.85029253459697</v>
      </c>
      <c r="Q19" s="126">
        <f t="shared" si="1"/>
        <v>147.10708255010036</v>
      </c>
      <c r="R19" s="127">
        <f t="shared" si="13"/>
        <v>401.02782915359307</v>
      </c>
      <c r="S19" s="128">
        <f t="shared" si="2"/>
        <v>360.71751827660921</v>
      </c>
      <c r="T19" s="129">
        <f t="shared" si="2"/>
        <v>412.76643196227735</v>
      </c>
      <c r="U19" s="127">
        <f t="shared" si="14"/>
        <v>277.28727693202427</v>
      </c>
      <c r="V19" s="128">
        <f t="shared" si="3"/>
        <v>276.55655044703497</v>
      </c>
      <c r="W19" s="129">
        <f t="shared" si="3"/>
        <v>301.64558575206297</v>
      </c>
      <c r="X19" s="130">
        <f t="shared" si="4"/>
        <v>4.1821949634942516E-3</v>
      </c>
      <c r="Y19" s="131">
        <f t="shared" si="5"/>
        <v>3.6743004805196134E-3</v>
      </c>
      <c r="Z19" s="132">
        <f t="shared" si="6"/>
        <v>4.2081456521030815E-3</v>
      </c>
      <c r="AA19" s="130">
        <f t="shared" si="7"/>
        <v>1.0743632651922736E-2</v>
      </c>
      <c r="AB19" s="131">
        <f t="shared" si="8"/>
        <v>8.5203823169400696E-3</v>
      </c>
      <c r="AC19" s="132">
        <f t="shared" si="9"/>
        <v>9.8347532951889183E-3</v>
      </c>
      <c r="AD19" s="130">
        <f t="shared" si="10"/>
        <v>6.8058099686963379E-3</v>
      </c>
      <c r="AE19" s="131">
        <f t="shared" si="11"/>
        <v>5.7702799308745403E-3</v>
      </c>
      <c r="AF19" s="133">
        <f t="shared" si="12"/>
        <v>6.1680891008818323E-3</v>
      </c>
    </row>
    <row r="20" spans="1:65" x14ac:dyDescent="0.25">
      <c r="B20" s="134" t="s">
        <v>20</v>
      </c>
      <c r="C20" s="72">
        <v>1945670</v>
      </c>
      <c r="D20" s="135">
        <v>1748581</v>
      </c>
      <c r="E20" s="104">
        <v>1761224</v>
      </c>
      <c r="F20" s="72">
        <v>97347.28420142048</v>
      </c>
      <c r="G20" s="135">
        <v>86150.091622804117</v>
      </c>
      <c r="H20" s="104">
        <v>85695</v>
      </c>
      <c r="I20" s="136">
        <v>80359.326710927824</v>
      </c>
      <c r="J20" s="135">
        <v>70241.636947356295</v>
      </c>
      <c r="K20" s="136">
        <v>69764</v>
      </c>
      <c r="L20" s="72">
        <v>118321.11734165564</v>
      </c>
      <c r="M20" s="135">
        <v>114479.25992490877</v>
      </c>
      <c r="N20" s="136">
        <v>115854</v>
      </c>
      <c r="O20" s="137">
        <f t="shared" si="0"/>
        <v>50.032782641157283</v>
      </c>
      <c r="P20" s="138">
        <f t="shared" si="1"/>
        <v>49.268573559248395</v>
      </c>
      <c r="Q20" s="139">
        <f t="shared" si="1"/>
        <v>48.656502523245194</v>
      </c>
      <c r="R20" s="140">
        <f t="shared" si="13"/>
        <v>41.301621914778885</v>
      </c>
      <c r="S20" s="141">
        <f t="shared" si="2"/>
        <v>40.170650914859706</v>
      </c>
      <c r="T20" s="142">
        <f t="shared" si="2"/>
        <v>39.611088651982939</v>
      </c>
      <c r="U20" s="140">
        <f t="shared" si="14"/>
        <v>60.812531077549451</v>
      </c>
      <c r="V20" s="141">
        <f t="shared" si="3"/>
        <v>65.469806617427949</v>
      </c>
      <c r="W20" s="142">
        <f t="shared" si="3"/>
        <v>65.780389093039844</v>
      </c>
      <c r="X20" s="143">
        <f t="shared" si="4"/>
        <v>2.6159399609544935E-2</v>
      </c>
      <c r="Y20" s="144">
        <f t="shared" si="5"/>
        <v>2.030869270782008E-2</v>
      </c>
      <c r="Z20" s="145">
        <f t="shared" si="6"/>
        <v>1.9525531520763095E-2</v>
      </c>
      <c r="AA20" s="143">
        <f t="shared" si="7"/>
        <v>1.6316483796780069E-2</v>
      </c>
      <c r="AB20" s="144">
        <f t="shared" si="8"/>
        <v>1.3928768649054693E-2</v>
      </c>
      <c r="AC20" s="145">
        <f t="shared" si="9"/>
        <v>1.3239777100180613E-2</v>
      </c>
      <c r="AD20" s="143">
        <f t="shared" si="10"/>
        <v>2.201029095174354E-2</v>
      </c>
      <c r="AE20" s="144">
        <f t="shared" si="11"/>
        <v>2.0052383368495273E-2</v>
      </c>
      <c r="AF20" s="146">
        <f t="shared" si="12"/>
        <v>1.8869261300033371E-2</v>
      </c>
    </row>
    <row r="21" spans="1:65" x14ac:dyDescent="0.25">
      <c r="B21" s="121" t="s">
        <v>58</v>
      </c>
      <c r="C21" s="54">
        <v>773974</v>
      </c>
      <c r="D21" s="122">
        <v>694440</v>
      </c>
      <c r="E21" s="91">
        <v>713047</v>
      </c>
      <c r="F21" s="54">
        <v>70018.724737982513</v>
      </c>
      <c r="G21" s="122">
        <v>54768.755057450006</v>
      </c>
      <c r="H21" s="91">
        <v>57577</v>
      </c>
      <c r="I21" s="123">
        <v>26203.31115164567</v>
      </c>
      <c r="J21" s="122">
        <v>23405.80535623007</v>
      </c>
      <c r="K21" s="123">
        <v>23504</v>
      </c>
      <c r="L21" s="54">
        <v>27322.414819435235</v>
      </c>
      <c r="M21" s="122">
        <v>21667.154023376301</v>
      </c>
      <c r="N21" s="123">
        <v>25386</v>
      </c>
      <c r="O21" s="124">
        <f t="shared" si="0"/>
        <v>90.466507580335403</v>
      </c>
      <c r="P21" s="125">
        <f t="shared" si="1"/>
        <v>78.867512034805031</v>
      </c>
      <c r="Q21" s="126">
        <f t="shared" si="1"/>
        <v>80.747832891800968</v>
      </c>
      <c r="R21" s="127">
        <f t="shared" si="13"/>
        <v>33.855544439019489</v>
      </c>
      <c r="S21" s="128">
        <f t="shared" si="2"/>
        <v>33.704575422254003</v>
      </c>
      <c r="T21" s="129">
        <f t="shared" si="2"/>
        <v>32.962764025372799</v>
      </c>
      <c r="U21" s="127">
        <f t="shared" si="14"/>
        <v>35.301463381761188</v>
      </c>
      <c r="V21" s="128">
        <f t="shared" si="3"/>
        <v>31.200901479431341</v>
      </c>
      <c r="W21" s="129">
        <f t="shared" si="3"/>
        <v>35.602141233326833</v>
      </c>
      <c r="X21" s="130">
        <f t="shared" si="4"/>
        <v>1.8815602464900473E-2</v>
      </c>
      <c r="Y21" s="131">
        <f t="shared" si="5"/>
        <v>1.291097659328775E-2</v>
      </c>
      <c r="Z21" s="132">
        <f t="shared" si="6"/>
        <v>1.3118869576649475E-2</v>
      </c>
      <c r="AA21" s="130">
        <f t="shared" si="7"/>
        <v>5.3204266303250695E-3</v>
      </c>
      <c r="AB21" s="131">
        <f t="shared" si="8"/>
        <v>4.6413218999447605E-3</v>
      </c>
      <c r="AC21" s="132">
        <f t="shared" si="9"/>
        <v>4.4605773889491015E-3</v>
      </c>
      <c r="AD21" s="130">
        <f t="shared" si="10"/>
        <v>5.0825610270693548E-3</v>
      </c>
      <c r="AE21" s="131">
        <f t="shared" si="11"/>
        <v>3.7952558329427252E-3</v>
      </c>
      <c r="AF21" s="133">
        <f t="shared" si="12"/>
        <v>4.1346441845999896E-3</v>
      </c>
    </row>
    <row r="22" spans="1:65" x14ac:dyDescent="0.25">
      <c r="B22" s="134" t="s">
        <v>9</v>
      </c>
      <c r="C22" s="72">
        <v>252132.36125000002</v>
      </c>
      <c r="D22" s="135">
        <v>265282.2784347533</v>
      </c>
      <c r="E22" s="104">
        <v>3152055</v>
      </c>
      <c r="F22" s="72">
        <v>52167.437649550222</v>
      </c>
      <c r="G22" s="135">
        <v>52633.116935087201</v>
      </c>
      <c r="H22" s="104">
        <v>123830</v>
      </c>
      <c r="I22" s="136">
        <v>28897.194504540308</v>
      </c>
      <c r="J22" s="135">
        <v>26049.486740088894</v>
      </c>
      <c r="K22" s="136">
        <v>102911</v>
      </c>
      <c r="L22" s="72">
        <v>43345.890220701469</v>
      </c>
      <c r="M22" s="135">
        <v>44030.137508311847</v>
      </c>
      <c r="N22" s="136">
        <v>123879</v>
      </c>
      <c r="O22" s="137">
        <f t="shared" si="0"/>
        <v>206.90496606988097</v>
      </c>
      <c r="P22" s="138">
        <f t="shared" si="1"/>
        <v>198.40419512995257</v>
      </c>
      <c r="Q22" s="139">
        <f t="shared" si="1"/>
        <v>39.285482010942069</v>
      </c>
      <c r="R22" s="140">
        <f t="shared" si="13"/>
        <v>114.61120802294596</v>
      </c>
      <c r="S22" s="141">
        <f t="shared" si="2"/>
        <v>98.195352112432261</v>
      </c>
      <c r="T22" s="142">
        <f t="shared" si="2"/>
        <v>32.648859236276017</v>
      </c>
      <c r="U22" s="140">
        <f t="shared" si="14"/>
        <v>171.91720255902482</v>
      </c>
      <c r="V22" s="141">
        <f t="shared" si="3"/>
        <v>165.97466580920198</v>
      </c>
      <c r="W22" s="142">
        <f t="shared" si="3"/>
        <v>39.301027424965618</v>
      </c>
      <c r="X22" s="143">
        <f t="shared" si="4"/>
        <v>1.4018561064908381E-2</v>
      </c>
      <c r="Y22" s="144">
        <f t="shared" si="5"/>
        <v>1.2407529440241526E-2</v>
      </c>
      <c r="Z22" s="145">
        <f t="shared" si="6"/>
        <v>2.8214558238124673E-2</v>
      </c>
      <c r="AA22" s="143">
        <f t="shared" si="7"/>
        <v>5.8674036381842409E-3</v>
      </c>
      <c r="AB22" s="144">
        <f t="shared" si="8"/>
        <v>5.1655583496900892E-3</v>
      </c>
      <c r="AC22" s="145">
        <f t="shared" si="9"/>
        <v>1.9530398216224515E-2</v>
      </c>
      <c r="AD22" s="143">
        <f t="shared" si="10"/>
        <v>8.0632745595624403E-3</v>
      </c>
      <c r="AE22" s="144">
        <f t="shared" si="11"/>
        <v>7.7123943469180846E-3</v>
      </c>
      <c r="AF22" s="146">
        <f t="shared" si="12"/>
        <v>2.017630138438754E-2</v>
      </c>
    </row>
    <row r="23" spans="1:65" x14ac:dyDescent="0.25">
      <c r="B23" s="121" t="s">
        <v>10</v>
      </c>
      <c r="C23" s="54">
        <v>2471050.8832430243</v>
      </c>
      <c r="D23" s="122">
        <v>2586802.1185965012</v>
      </c>
      <c r="E23" s="91">
        <v>2598856</v>
      </c>
      <c r="F23" s="54">
        <v>95268.658313940963</v>
      </c>
      <c r="G23" s="122">
        <v>103503.96607882281</v>
      </c>
      <c r="H23" s="91">
        <v>111745</v>
      </c>
      <c r="I23" s="123">
        <v>35596.564670229156</v>
      </c>
      <c r="J23" s="122">
        <v>36521.796238489675</v>
      </c>
      <c r="K23" s="123">
        <v>41590</v>
      </c>
      <c r="L23" s="54">
        <v>78334.892370148867</v>
      </c>
      <c r="M23" s="122">
        <v>82014.992760845285</v>
      </c>
      <c r="N23" s="123">
        <v>89710</v>
      </c>
      <c r="O23" s="124">
        <f t="shared" si="0"/>
        <v>38.553903911889385</v>
      </c>
      <c r="P23" s="125">
        <f t="shared" si="1"/>
        <v>40.012324612978148</v>
      </c>
      <c r="Q23" s="126">
        <f t="shared" si="1"/>
        <v>42.997765170521184</v>
      </c>
      <c r="R23" s="127">
        <f t="shared" si="13"/>
        <v>14.405435724379734</v>
      </c>
      <c r="S23" s="128">
        <f t="shared" si="2"/>
        <v>14.118511801090138</v>
      </c>
      <c r="T23" s="129">
        <f t="shared" si="2"/>
        <v>16.003195252064753</v>
      </c>
      <c r="U23" s="127">
        <f t="shared" si="14"/>
        <v>31.701043835787633</v>
      </c>
      <c r="V23" s="128">
        <f t="shared" si="3"/>
        <v>31.705166843354625</v>
      </c>
      <c r="W23" s="129">
        <f t="shared" si="3"/>
        <v>34.519034529038933</v>
      </c>
      <c r="X23" s="130">
        <f t="shared" si="4"/>
        <v>2.560082619195669E-2</v>
      </c>
      <c r="Y23" s="131">
        <f t="shared" si="5"/>
        <v>2.4399628619536297E-2</v>
      </c>
      <c r="Z23" s="132">
        <f t="shared" si="6"/>
        <v>2.5461001456183813E-2</v>
      </c>
      <c r="AA23" s="130">
        <f t="shared" si="7"/>
        <v>7.2276709429404066E-3</v>
      </c>
      <c r="AB23" s="131">
        <f t="shared" si="8"/>
        <v>7.2421952642575029E-3</v>
      </c>
      <c r="AC23" s="132">
        <f t="shared" si="9"/>
        <v>7.8929294420691434E-3</v>
      </c>
      <c r="AD23" s="130">
        <f t="shared" si="10"/>
        <v>1.4571986907137549E-2</v>
      </c>
      <c r="AE23" s="131">
        <f t="shared" si="11"/>
        <v>1.4365886693219245E-2</v>
      </c>
      <c r="AF23" s="133">
        <f t="shared" si="12"/>
        <v>1.4611160868213388E-2</v>
      </c>
    </row>
    <row r="24" spans="1:65" x14ac:dyDescent="0.25">
      <c r="B24" s="134" t="s">
        <v>59</v>
      </c>
      <c r="C24" s="72">
        <v>406377</v>
      </c>
      <c r="D24" s="135">
        <v>361319</v>
      </c>
      <c r="E24" s="104">
        <v>360321</v>
      </c>
      <c r="F24" s="72">
        <v>83583.309197248978</v>
      </c>
      <c r="G24" s="135">
        <v>81074.498341350176</v>
      </c>
      <c r="H24" s="104">
        <v>80429</v>
      </c>
      <c r="I24" s="136">
        <v>65519.500693711801</v>
      </c>
      <c r="J24" s="135">
        <v>38920.375096176831</v>
      </c>
      <c r="K24" s="136">
        <v>48634</v>
      </c>
      <c r="L24" s="72">
        <v>31528.742853849799</v>
      </c>
      <c r="M24" s="135">
        <v>43264.43092987503</v>
      </c>
      <c r="N24" s="136">
        <v>30465</v>
      </c>
      <c r="O24" s="137">
        <f t="shared" si="0"/>
        <v>205.6792318395209</v>
      </c>
      <c r="P24" s="138">
        <f t="shared" si="1"/>
        <v>224.38481879267403</v>
      </c>
      <c r="Q24" s="139">
        <f t="shared" si="1"/>
        <v>223.21485564260757</v>
      </c>
      <c r="R24" s="140">
        <f t="shared" si="13"/>
        <v>161.22836846994738</v>
      </c>
      <c r="S24" s="141">
        <f t="shared" si="2"/>
        <v>107.71748813701143</v>
      </c>
      <c r="T24" s="142">
        <f t="shared" si="2"/>
        <v>134.97409254525826</v>
      </c>
      <c r="U24" s="140">
        <f t="shared" si="14"/>
        <v>77.58495892693189</v>
      </c>
      <c r="V24" s="141">
        <f t="shared" si="3"/>
        <v>119.74025979778266</v>
      </c>
      <c r="W24" s="142">
        <f t="shared" si="3"/>
        <v>84.54960993114473</v>
      </c>
      <c r="X24" s="143">
        <f t="shared" si="4"/>
        <v>2.246071068048433E-2</v>
      </c>
      <c r="Y24" s="144">
        <f t="shared" si="5"/>
        <v>1.9112191783430592E-2</v>
      </c>
      <c r="Z24" s="145">
        <f t="shared" si="6"/>
        <v>1.83256779821863E-2</v>
      </c>
      <c r="AA24" s="143">
        <f t="shared" si="7"/>
        <v>1.3303345301631211E-2</v>
      </c>
      <c r="AB24" s="144">
        <f t="shared" si="8"/>
        <v>7.717828399349121E-3</v>
      </c>
      <c r="AC24" s="145">
        <f t="shared" si="9"/>
        <v>9.2297362463474569E-3</v>
      </c>
      <c r="AD24" s="143">
        <f t="shared" si="10"/>
        <v>5.8650291608734447E-3</v>
      </c>
      <c r="AE24" s="144">
        <f t="shared" si="11"/>
        <v>7.5782718703344193E-3</v>
      </c>
      <c r="AF24" s="146">
        <f t="shared" si="12"/>
        <v>4.9618661893893754E-3</v>
      </c>
    </row>
    <row r="25" spans="1:65" x14ac:dyDescent="0.25">
      <c r="B25" s="121" t="s">
        <v>60</v>
      </c>
      <c r="C25" s="54">
        <v>7592177.3533437494</v>
      </c>
      <c r="D25" s="122">
        <v>8302887.9527208377</v>
      </c>
      <c r="E25" s="91">
        <v>8415084</v>
      </c>
      <c r="F25" s="54">
        <v>97120.606172804415</v>
      </c>
      <c r="G25" s="122">
        <v>138847.62611925817</v>
      </c>
      <c r="H25" s="91">
        <v>137751</v>
      </c>
      <c r="I25" s="123">
        <v>176877.15264446961</v>
      </c>
      <c r="J25" s="122">
        <v>168505.60095725936</v>
      </c>
      <c r="K25" s="123">
        <v>161517</v>
      </c>
      <c r="L25" s="54">
        <v>147867.4943846591</v>
      </c>
      <c r="M25" s="122">
        <v>171673.28347128781</v>
      </c>
      <c r="N25" s="123">
        <v>178034</v>
      </c>
      <c r="O25" s="124">
        <f t="shared" si="0"/>
        <v>12.792194077240639</v>
      </c>
      <c r="P25" s="125">
        <f>IFERROR(G25*1000/D25,"-")</f>
        <v>16.722811015865645</v>
      </c>
      <c r="Q25" s="126">
        <f t="shared" si="1"/>
        <v>16.369533566153351</v>
      </c>
      <c r="R25" s="127">
        <f t="shared" si="13"/>
        <v>23.297289356204161</v>
      </c>
      <c r="S25" s="128">
        <f t="shared" si="2"/>
        <v>20.294818130363961</v>
      </c>
      <c r="T25" s="129">
        <f t="shared" si="2"/>
        <v>19.19374779859595</v>
      </c>
      <c r="U25" s="127">
        <f t="shared" si="14"/>
        <v>19.476296127294138</v>
      </c>
      <c r="V25" s="128">
        <f t="shared" si="3"/>
        <v>20.676333879108999</v>
      </c>
      <c r="W25" s="129">
        <f t="shared" si="3"/>
        <v>21.156532721479667</v>
      </c>
      <c r="X25" s="130">
        <f t="shared" si="4"/>
        <v>2.6098486136899902E-2</v>
      </c>
      <c r="Y25" s="131">
        <f t="shared" si="5"/>
        <v>3.273140769730646E-2</v>
      </c>
      <c r="Z25" s="132">
        <f t="shared" si="6"/>
        <v>3.1386446029717449E-2</v>
      </c>
      <c r="AA25" s="130">
        <f t="shared" si="7"/>
        <v>3.591385484756212E-2</v>
      </c>
      <c r="AB25" s="131">
        <f t="shared" si="8"/>
        <v>3.3414305728134551E-2</v>
      </c>
      <c r="AC25" s="132">
        <f t="shared" si="9"/>
        <v>3.0652615645460009E-2</v>
      </c>
      <c r="AD25" s="130">
        <f t="shared" si="10"/>
        <v>2.7506557128884106E-2</v>
      </c>
      <c r="AE25" s="131">
        <f t="shared" si="11"/>
        <v>3.0070586554740687E-2</v>
      </c>
      <c r="AF25" s="133">
        <f t="shared" si="12"/>
        <v>2.8996582476998132E-2</v>
      </c>
    </row>
    <row r="26" spans="1:65" x14ac:dyDescent="0.25">
      <c r="B26" s="134" t="s">
        <v>12</v>
      </c>
      <c r="C26" s="147">
        <v>3177422</v>
      </c>
      <c r="D26" s="148">
        <v>2546078.906014998</v>
      </c>
      <c r="E26" s="149">
        <v>2681887</v>
      </c>
      <c r="F26" s="150"/>
      <c r="G26" s="151"/>
      <c r="H26" s="149">
        <v>62922</v>
      </c>
      <c r="I26" s="152"/>
      <c r="J26" s="148"/>
      <c r="K26" s="152">
        <v>41465</v>
      </c>
      <c r="L26" s="147"/>
      <c r="M26" s="148"/>
      <c r="N26" s="152">
        <v>55011</v>
      </c>
      <c r="O26" s="137" t="s">
        <v>17</v>
      </c>
      <c r="P26" s="138" t="s">
        <v>17</v>
      </c>
      <c r="Q26" s="139">
        <f>IFERROR(H26*1000/E26,"-")</f>
        <v>23.46183862332753</v>
      </c>
      <c r="R26" s="153" t="s">
        <v>17</v>
      </c>
      <c r="S26" s="138" t="s">
        <v>17</v>
      </c>
      <c r="T26" s="154">
        <f t="shared" si="2"/>
        <v>15.46112867544382</v>
      </c>
      <c r="U26" s="153" t="s">
        <v>17</v>
      </c>
      <c r="V26" s="138" t="s">
        <v>17</v>
      </c>
      <c r="W26" s="154">
        <f>IFERROR(N26*1000/E26,"-")</f>
        <v>20.51204991112601</v>
      </c>
      <c r="X26" s="155">
        <f t="shared" si="4"/>
        <v>0</v>
      </c>
      <c r="Y26" s="156">
        <f t="shared" si="5"/>
        <v>0</v>
      </c>
      <c r="Z26" s="157">
        <f t="shared" si="6"/>
        <v>1.4336723196796259E-2</v>
      </c>
      <c r="AA26" s="155">
        <f t="shared" si="7"/>
        <v>0</v>
      </c>
      <c r="AB26" s="156">
        <f t="shared" si="8"/>
        <v>0</v>
      </c>
      <c r="AC26" s="157">
        <f t="shared" si="9"/>
        <v>7.8692070044577307E-3</v>
      </c>
      <c r="AD26" s="155">
        <f t="shared" si="10"/>
        <v>0</v>
      </c>
      <c r="AE26" s="156">
        <f t="shared" si="11"/>
        <v>0</v>
      </c>
      <c r="AF26" s="158">
        <f t="shared" si="12"/>
        <v>8.9596987016083672E-3</v>
      </c>
    </row>
    <row r="27" spans="1:65" ht="6" customHeight="1" thickBot="1" x14ac:dyDescent="0.3">
      <c r="B27" s="121"/>
      <c r="C27" s="322"/>
      <c r="D27" s="323"/>
      <c r="E27" s="324"/>
      <c r="F27" s="239"/>
      <c r="G27" s="242"/>
      <c r="H27" s="243"/>
      <c r="I27" s="290"/>
      <c r="J27" s="242"/>
      <c r="K27" s="290"/>
      <c r="L27" s="239"/>
      <c r="M27" s="242"/>
      <c r="N27" s="243"/>
      <c r="O27" s="124"/>
      <c r="P27" s="125"/>
      <c r="Q27" s="55"/>
      <c r="R27" s="335"/>
      <c r="S27" s="125"/>
      <c r="T27" s="302"/>
      <c r="U27" s="335"/>
      <c r="V27" s="125"/>
      <c r="W27" s="302"/>
      <c r="X27" s="456"/>
      <c r="Y27" s="354"/>
      <c r="Z27" s="358"/>
      <c r="AA27" s="456"/>
      <c r="AB27" s="354"/>
      <c r="AC27" s="358"/>
      <c r="AD27" s="456"/>
      <c r="AE27" s="354"/>
      <c r="AF27" s="355"/>
    </row>
    <row r="28" spans="1:65" ht="24.95" customHeight="1" thickTop="1" thickBot="1" x14ac:dyDescent="0.3">
      <c r="A28" s="13"/>
      <c r="B28" s="61" t="s">
        <v>13</v>
      </c>
      <c r="C28" s="474">
        <f>SUM(C11:C26)</f>
        <v>86152614.951869935</v>
      </c>
      <c r="D28" s="475">
        <f>SUM(D11:D26)</f>
        <v>88814054.942175567</v>
      </c>
      <c r="E28" s="476">
        <f>SUM(E11:E26)</f>
        <v>93808954</v>
      </c>
      <c r="F28" s="474">
        <f t="shared" ref="F28:N28" si="15">SUM(F11:F26)</f>
        <v>3721311.8670315659</v>
      </c>
      <c r="G28" s="475">
        <f t="shared" si="15"/>
        <v>4242030.3887719521</v>
      </c>
      <c r="H28" s="477">
        <f>SUM(H11:H26)</f>
        <v>4388869</v>
      </c>
      <c r="I28" s="474">
        <f t="shared" si="15"/>
        <v>4925039.470010451</v>
      </c>
      <c r="J28" s="475">
        <f t="shared" si="15"/>
        <v>5042917.9145080708</v>
      </c>
      <c r="K28" s="477">
        <f t="shared" si="15"/>
        <v>5269273</v>
      </c>
      <c r="L28" s="474">
        <f t="shared" si="15"/>
        <v>5375718.0039586378</v>
      </c>
      <c r="M28" s="475">
        <f t="shared" si="15"/>
        <v>5709010.1371575398</v>
      </c>
      <c r="N28" s="476">
        <f t="shared" si="15"/>
        <v>6139827</v>
      </c>
      <c r="O28" s="478"/>
      <c r="P28" s="478"/>
      <c r="Q28" s="478"/>
      <c r="R28" s="478"/>
      <c r="S28" s="478"/>
      <c r="T28" s="478"/>
      <c r="U28" s="478"/>
      <c r="V28" s="478"/>
      <c r="W28" s="478"/>
      <c r="X28" s="479">
        <f t="shared" ref="X28:AF28" si="16">SUM(X11:X26)</f>
        <v>0.99999999999999989</v>
      </c>
      <c r="Y28" s="480">
        <f t="shared" si="16"/>
        <v>0.99999999999999989</v>
      </c>
      <c r="Z28" s="481">
        <f t="shared" si="16"/>
        <v>0.99999999999999989</v>
      </c>
      <c r="AA28" s="479">
        <f t="shared" si="16"/>
        <v>0.99999999999999978</v>
      </c>
      <c r="AB28" s="480">
        <f t="shared" si="16"/>
        <v>1</v>
      </c>
      <c r="AC28" s="481">
        <f t="shared" si="16"/>
        <v>0.99999999999999978</v>
      </c>
      <c r="AD28" s="479">
        <f t="shared" si="16"/>
        <v>1.0000000000000002</v>
      </c>
      <c r="AE28" s="480">
        <f t="shared" si="16"/>
        <v>0.99999999999999978</v>
      </c>
      <c r="AF28" s="482">
        <f t="shared" si="16"/>
        <v>1.0000000000000002</v>
      </c>
      <c r="AG28" s="13"/>
      <c r="AH28" s="13"/>
      <c r="AI28" s="13"/>
      <c r="AJ28" s="13"/>
      <c r="AK28" s="13"/>
      <c r="AL28" s="13"/>
      <c r="AM28" s="13"/>
    </row>
    <row r="29" spans="1:65" ht="16.5" customHeight="1" thickTop="1" x14ac:dyDescent="0.25">
      <c r="B29" s="35"/>
      <c r="C29" s="35"/>
      <c r="D29" s="35"/>
      <c r="E29" s="35"/>
      <c r="F29" s="159"/>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row>
    <row r="30" spans="1:65" x14ac:dyDescent="0.2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row>
    <row r="31" spans="1:65" x14ac:dyDescent="0.25">
      <c r="B31" s="66" t="s">
        <v>396</v>
      </c>
      <c r="C31" s="67"/>
      <c r="D31" s="67"/>
      <c r="E31" s="67"/>
      <c r="F31" s="67"/>
      <c r="G31" s="67"/>
      <c r="H31" s="67"/>
      <c r="I31" s="67"/>
      <c r="J31" s="35"/>
      <c r="K31" s="35"/>
      <c r="L31" s="35"/>
      <c r="M31" s="35"/>
      <c r="N31" s="35"/>
      <c r="O31" s="35"/>
      <c r="P31" s="35"/>
      <c r="Q31" s="35"/>
      <c r="R31" s="35"/>
      <c r="S31" s="35"/>
      <c r="T31" s="35"/>
      <c r="U31" s="35"/>
      <c r="V31" s="35"/>
      <c r="W31" s="35"/>
      <c r="X31" s="35"/>
      <c r="Y31" s="35"/>
      <c r="Z31" s="35"/>
      <c r="AA31" s="35"/>
      <c r="AB31" s="35"/>
      <c r="AC31" s="35"/>
      <c r="AD31" s="35"/>
      <c r="AE31" s="35"/>
      <c r="AF31" s="35"/>
    </row>
    <row r="32" spans="1:65" x14ac:dyDescent="0.25">
      <c r="A32" s="21"/>
      <c r="B32" s="67" t="s">
        <v>175</v>
      </c>
      <c r="C32" s="67"/>
      <c r="D32" s="67"/>
      <c r="E32" s="67"/>
      <c r="F32" s="68"/>
      <c r="G32" s="68"/>
      <c r="H32" s="68"/>
      <c r="I32" s="68"/>
      <c r="J32" s="36"/>
      <c r="K32" s="36"/>
      <c r="L32" s="36"/>
      <c r="M32" s="36"/>
      <c r="N32" s="36"/>
      <c r="O32" s="35"/>
      <c r="P32" s="35"/>
      <c r="Q32" s="35"/>
      <c r="R32" s="35"/>
      <c r="S32" s="35"/>
      <c r="T32" s="36"/>
      <c r="U32" s="36"/>
      <c r="V32" s="36"/>
      <c r="W32" s="36"/>
      <c r="X32" s="36"/>
      <c r="Y32" s="36"/>
      <c r="Z32" s="35"/>
      <c r="AA32" s="36"/>
      <c r="AB32" s="36"/>
      <c r="AC32" s="36"/>
      <c r="AD32" s="36"/>
      <c r="AE32" s="36"/>
      <c r="AF32" s="36"/>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1:65" x14ac:dyDescent="0.25">
      <c r="A33" s="21"/>
      <c r="B33" s="67"/>
      <c r="C33" s="67"/>
      <c r="D33" s="67"/>
      <c r="E33" s="67"/>
      <c r="F33" s="68"/>
      <c r="G33" s="68"/>
      <c r="H33" s="68"/>
      <c r="I33" s="68"/>
      <c r="J33" s="36"/>
      <c r="K33" s="36"/>
      <c r="L33" s="36"/>
      <c r="M33" s="36"/>
      <c r="N33" s="36"/>
      <c r="O33" s="35"/>
      <c r="P33" s="35"/>
      <c r="Q33" s="35"/>
      <c r="R33" s="35"/>
      <c r="S33" s="35"/>
      <c r="T33" s="36"/>
      <c r="U33" s="36"/>
      <c r="V33" s="36"/>
      <c r="W33" s="36"/>
      <c r="X33" s="36"/>
      <c r="Y33" s="36"/>
      <c r="Z33" s="35"/>
      <c r="AA33" s="36"/>
      <c r="AB33" s="36"/>
      <c r="AC33" s="36"/>
      <c r="AD33" s="36"/>
      <c r="AE33" s="36"/>
      <c r="AF33" s="36"/>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x14ac:dyDescent="0.25">
      <c r="A34"/>
      <c r="B34" s="79" t="s">
        <v>397</v>
      </c>
      <c r="C34" s="68"/>
      <c r="D34" s="68"/>
      <c r="E34" s="68"/>
      <c r="F34" s="68"/>
      <c r="G34" s="68"/>
      <c r="H34" s="68"/>
      <c r="I34" s="68"/>
      <c r="J34" s="36"/>
      <c r="K34" s="36"/>
      <c r="L34" s="36"/>
      <c r="M34" s="36"/>
      <c r="N34" s="36"/>
      <c r="O34" s="36"/>
      <c r="P34" s="36"/>
      <c r="Q34" s="36"/>
      <c r="R34" s="36"/>
      <c r="S34" s="36"/>
      <c r="T34" s="36"/>
      <c r="U34" s="36"/>
      <c r="V34" s="36"/>
      <c r="W34" s="36"/>
      <c r="X34" s="36"/>
      <c r="Y34" s="36"/>
      <c r="Z34" s="36"/>
      <c r="AA34" s="36"/>
      <c r="AB34" s="36"/>
      <c r="AC34" s="36"/>
      <c r="AD34" s="36"/>
      <c r="AE34" s="36"/>
      <c r="AF34" s="36"/>
      <c r="AG34"/>
      <c r="AH34"/>
      <c r="AI34"/>
      <c r="AJ34"/>
      <c r="AK34"/>
      <c r="AL34"/>
      <c r="AM34"/>
      <c r="AN34"/>
      <c r="AO34"/>
      <c r="AP34"/>
      <c r="AQ34"/>
      <c r="AR34"/>
      <c r="AS34"/>
      <c r="AT34"/>
      <c r="AU34"/>
      <c r="AV34"/>
      <c r="AW34"/>
      <c r="AX34"/>
      <c r="AY34"/>
      <c r="AZ34"/>
      <c r="BA34"/>
      <c r="BB34"/>
      <c r="BC34"/>
      <c r="BD34"/>
      <c r="BE34"/>
      <c r="BF34"/>
      <c r="BG34"/>
      <c r="BH34"/>
      <c r="BI34"/>
      <c r="BJ34"/>
      <c r="BK34"/>
      <c r="BL34"/>
      <c r="BM34"/>
    </row>
    <row r="35" spans="1:65" x14ac:dyDescent="0.25">
      <c r="A35" s="21"/>
      <c r="B35" s="68" t="s">
        <v>176</v>
      </c>
      <c r="C35" s="68"/>
      <c r="D35" s="68"/>
      <c r="E35" s="68"/>
      <c r="F35" s="68"/>
      <c r="G35" s="68"/>
      <c r="H35" s="68"/>
      <c r="I35" s="68"/>
      <c r="J35" s="36"/>
      <c r="K35" s="36"/>
      <c r="L35" s="36"/>
      <c r="M35" s="36"/>
      <c r="N35" s="36"/>
      <c r="O35" s="36"/>
      <c r="P35" s="36"/>
      <c r="Q35" s="36"/>
      <c r="R35" s="36"/>
      <c r="S35" s="36"/>
      <c r="T35" s="36"/>
      <c r="U35" s="36"/>
      <c r="V35" s="36"/>
      <c r="W35" s="36"/>
      <c r="X35" s="36"/>
      <c r="Y35" s="36"/>
      <c r="Z35" s="36"/>
      <c r="AA35" s="36"/>
      <c r="AB35" s="36"/>
      <c r="AC35" s="36"/>
      <c r="AD35" s="36"/>
      <c r="AE35" s="36"/>
      <c r="AF35" s="36"/>
      <c r="AG35"/>
      <c r="AH35"/>
      <c r="AI35"/>
      <c r="AJ35"/>
      <c r="AK35"/>
      <c r="AL35"/>
      <c r="AM35"/>
      <c r="AN35"/>
      <c r="AO35"/>
      <c r="AP35"/>
      <c r="AQ35"/>
      <c r="AR35"/>
      <c r="AS35"/>
      <c r="AT35"/>
      <c r="AU35"/>
      <c r="AV35"/>
      <c r="AW35"/>
      <c r="AX35"/>
      <c r="AY35"/>
      <c r="AZ35"/>
      <c r="BA35"/>
      <c r="BB35"/>
      <c r="BC35"/>
      <c r="BD35"/>
      <c r="BE35"/>
      <c r="BF35"/>
      <c r="BG35"/>
      <c r="BH35"/>
      <c r="BI35"/>
      <c r="BJ35"/>
      <c r="BK35"/>
      <c r="BL35"/>
      <c r="BM35"/>
    </row>
    <row r="36" spans="1:65" x14ac:dyDescent="0.25">
      <c r="B36" s="68" t="s">
        <v>403</v>
      </c>
      <c r="C36" s="67"/>
      <c r="D36" s="67"/>
      <c r="E36" s="67"/>
      <c r="F36" s="67"/>
      <c r="G36" s="67"/>
      <c r="H36" s="67"/>
      <c r="I36" s="67"/>
      <c r="J36" s="35"/>
      <c r="K36" s="35"/>
      <c r="L36" s="35"/>
      <c r="M36" s="35"/>
      <c r="N36" s="35"/>
      <c r="O36" s="35"/>
      <c r="P36" s="35"/>
      <c r="Q36" s="35"/>
      <c r="R36" s="35"/>
      <c r="S36" s="35"/>
      <c r="T36" s="35"/>
      <c r="U36" s="35"/>
      <c r="V36" s="35"/>
      <c r="W36" s="35"/>
      <c r="X36" s="35"/>
      <c r="Y36" s="35"/>
      <c r="Z36" s="35"/>
      <c r="AA36" s="35"/>
      <c r="AB36" s="35"/>
      <c r="AC36" s="35"/>
      <c r="AD36" s="35"/>
      <c r="AE36" s="35"/>
      <c r="AF36" s="35"/>
    </row>
    <row r="37" spans="1:65" x14ac:dyDescent="0.25">
      <c r="B37" s="67"/>
      <c r="C37" s="67"/>
      <c r="D37" s="67"/>
      <c r="E37" s="67"/>
      <c r="F37" s="67"/>
      <c r="G37" s="67"/>
      <c r="H37" s="67"/>
      <c r="I37" s="67"/>
      <c r="J37" s="35"/>
      <c r="K37" s="35"/>
      <c r="L37" s="35"/>
      <c r="M37" s="35"/>
      <c r="N37" s="35"/>
      <c r="O37" s="35"/>
      <c r="P37" s="35"/>
      <c r="Q37" s="35"/>
      <c r="R37" s="35"/>
      <c r="S37" s="35"/>
      <c r="T37" s="35"/>
      <c r="U37" s="35"/>
      <c r="V37" s="35"/>
      <c r="W37" s="35"/>
      <c r="X37" s="35"/>
      <c r="Y37" s="35"/>
      <c r="Z37" s="35"/>
      <c r="AA37" s="35"/>
      <c r="AB37" s="35"/>
      <c r="AC37" s="35"/>
      <c r="AD37" s="35"/>
      <c r="AE37" s="35"/>
      <c r="AF37" s="35"/>
    </row>
    <row r="38" spans="1:65" x14ac:dyDescent="0.25">
      <c r="B38" s="66" t="s">
        <v>398</v>
      </c>
      <c r="C38" s="67"/>
      <c r="D38" s="67"/>
      <c r="E38" s="67"/>
      <c r="F38" s="67"/>
      <c r="G38" s="67"/>
      <c r="H38" s="67"/>
      <c r="I38" s="67"/>
      <c r="J38" s="35"/>
      <c r="K38" s="35"/>
      <c r="L38" s="35"/>
      <c r="M38" s="35"/>
      <c r="N38" s="35"/>
      <c r="O38" s="35"/>
      <c r="P38" s="35"/>
      <c r="Q38" s="35"/>
      <c r="R38" s="35"/>
      <c r="S38" s="35"/>
      <c r="T38" s="35"/>
      <c r="U38" s="35"/>
      <c r="V38" s="35"/>
      <c r="W38" s="35"/>
      <c r="X38" s="35"/>
      <c r="Y38" s="35"/>
      <c r="Z38" s="35"/>
      <c r="AA38" s="35"/>
      <c r="AB38" s="35"/>
      <c r="AC38" s="35"/>
      <c r="AD38" s="35"/>
      <c r="AE38" s="35"/>
      <c r="AF38" s="35"/>
    </row>
    <row r="39" spans="1:65" x14ac:dyDescent="0.2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spans="1:65" x14ac:dyDescent="0.2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spans="1:65" x14ac:dyDescent="0.2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spans="1:65" x14ac:dyDescent="0.2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pans="1:65" x14ac:dyDescent="0.2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spans="1:65" x14ac:dyDescent="0.2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spans="1:65" x14ac:dyDescent="0.2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1:65" x14ac:dyDescent="0.2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spans="1:6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row r="48" spans="1:65" x14ac:dyDescent="0.2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row>
    <row r="49" spans="2:32" x14ac:dyDescent="0.2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row>
    <row r="50" spans="2:32" x14ac:dyDescent="0.2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row>
    <row r="51" spans="2:32" x14ac:dyDescent="0.2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row>
    <row r="52" spans="2:32" x14ac:dyDescent="0.2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row>
    <row r="53" spans="2:32" x14ac:dyDescent="0.2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row>
    <row r="54" spans="2:32" x14ac:dyDescent="0.2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row>
  </sheetData>
  <mergeCells count="18">
    <mergeCell ref="C6:E6"/>
    <mergeCell ref="F6:N6"/>
    <mergeCell ref="O6:W6"/>
    <mergeCell ref="X6:AF6"/>
    <mergeCell ref="B7:B8"/>
    <mergeCell ref="C7:E8"/>
    <mergeCell ref="F7:N7"/>
    <mergeCell ref="O7:W7"/>
    <mergeCell ref="X7:AF7"/>
    <mergeCell ref="F8:H8"/>
    <mergeCell ref="AA8:AC8"/>
    <mergeCell ref="AD8:AF8"/>
    <mergeCell ref="I8:K8"/>
    <mergeCell ref="L8:N8"/>
    <mergeCell ref="O8:Q8"/>
    <mergeCell ref="R8:T8"/>
    <mergeCell ref="U8:W8"/>
    <mergeCell ref="X8:Z8"/>
  </mergeCells>
  <hyperlinks>
    <hyperlink ref="B1" location="Start!A1" display="Back to home page" xr:uid="{ACD9339F-C0E9-4AAA-822A-F6F12CCC0D8E}"/>
  </hyperlinks>
  <pageMargins left="0.11811023622047245" right="0.11811023622047245" top="0.35433070866141736" bottom="0.35433070866141736" header="0.31496062992125984" footer="0.31496062992125984"/>
  <pageSetup paperSize="9" scale="20"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65</vt:i4>
      </vt:variant>
      <vt:variant>
        <vt:lpstr>Named Ranges</vt:lpstr>
      </vt:variant>
      <vt:variant>
        <vt:i4>8</vt:i4>
      </vt:variant>
    </vt:vector>
  </HeadingPairs>
  <TitlesOfParts>
    <vt:vector size="73" baseType="lpstr">
      <vt:lpstr>Start</vt:lpstr>
      <vt:lpstr>Argentina</vt:lpstr>
      <vt:lpstr>Australia</vt:lpstr>
      <vt:lpstr>Austria</vt:lpstr>
      <vt:lpstr>Bangladesh</vt:lpstr>
      <vt:lpstr>Belarus</vt:lpstr>
      <vt:lpstr>Belgium</vt:lpstr>
      <vt:lpstr>Bolivia</vt:lpstr>
      <vt:lpstr>Brazil</vt:lpstr>
      <vt:lpstr>Bulgaria</vt:lpstr>
      <vt:lpstr>Burkina Faso</vt:lpstr>
      <vt:lpstr>Canada</vt:lpstr>
      <vt:lpstr>Chile</vt:lpstr>
      <vt:lpstr>China</vt:lpstr>
      <vt:lpstr>Croatia</vt:lpstr>
      <vt:lpstr>Cyprus</vt:lpstr>
      <vt:lpstr>Czechia</vt:lpstr>
      <vt:lpstr>Denmark</vt:lpstr>
      <vt:lpstr>Egypt</vt:lpstr>
      <vt:lpstr>Estonia</vt:lpstr>
      <vt:lpstr>Finland</vt:lpstr>
      <vt:lpstr>France</vt:lpstr>
      <vt:lpstr>Germany</vt:lpstr>
      <vt:lpstr>Greece</vt:lpstr>
      <vt:lpstr>Hungary</vt:lpstr>
      <vt:lpstr>India</vt:lpstr>
      <vt:lpstr>Indonesia</vt:lpstr>
      <vt:lpstr>Iran</vt:lpstr>
      <vt:lpstr>Ireland</vt:lpstr>
      <vt:lpstr>Italy</vt:lpstr>
      <vt:lpstr>Japan</vt:lpstr>
      <vt:lpstr>Israel</vt:lpstr>
      <vt:lpstr>Latvia</vt:lpstr>
      <vt:lpstr>Lithuania</vt:lpstr>
      <vt:lpstr>Malaysia</vt:lpstr>
      <vt:lpstr>Mali</vt:lpstr>
      <vt:lpstr>Mexico</vt:lpstr>
      <vt:lpstr>Morocco</vt:lpstr>
      <vt:lpstr>Myanmar</vt:lpstr>
      <vt:lpstr>Netherlands</vt:lpstr>
      <vt:lpstr>New Zealand</vt:lpstr>
      <vt:lpstr>Nigeria</vt:lpstr>
      <vt:lpstr>Norway</vt:lpstr>
      <vt:lpstr>Pakistan</vt:lpstr>
      <vt:lpstr>Paraguay</vt:lpstr>
      <vt:lpstr>Peru</vt:lpstr>
      <vt:lpstr>Philippines</vt:lpstr>
      <vt:lpstr>Poland</vt:lpstr>
      <vt:lpstr>Portugal</vt:lpstr>
      <vt:lpstr>Romania</vt:lpstr>
      <vt:lpstr>Russia</vt:lpstr>
      <vt:lpstr>Senegal</vt:lpstr>
      <vt:lpstr>Slovakia</vt:lpstr>
      <vt:lpstr>Slovenia</vt:lpstr>
      <vt:lpstr>South Africa</vt:lpstr>
      <vt:lpstr>Spain</vt:lpstr>
      <vt:lpstr>Sweden</vt:lpstr>
      <vt:lpstr>Tanzania</vt:lpstr>
      <vt:lpstr>Thailand</vt:lpstr>
      <vt:lpstr>Turkey</vt:lpstr>
      <vt:lpstr>UK</vt:lpstr>
      <vt:lpstr>Ukraine</vt:lpstr>
      <vt:lpstr>United States</vt:lpstr>
      <vt:lpstr>Uruguay</vt:lpstr>
      <vt:lpstr>Vietnam</vt:lpstr>
      <vt:lpstr>Brazil!Print_Area</vt:lpstr>
      <vt:lpstr>'Burkina Faso'!Print_Area</vt:lpstr>
      <vt:lpstr>Canada!Print_Area</vt:lpstr>
      <vt:lpstr>Japan!Print_Area</vt:lpstr>
      <vt:lpstr>Mali!Print_Area</vt:lpstr>
      <vt:lpstr>Nigeria!Print_Area</vt:lpstr>
      <vt:lpstr>Start!Print_Area</vt:lpstr>
      <vt:lpstr>Tanzania!Print_Area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LAYMAN</dc:creator>
  <cp:keywords/>
  <dc:description/>
  <cp:lastModifiedBy>Cameron Ludemann</cp:lastModifiedBy>
  <cp:revision/>
  <cp:lastPrinted>2022-03-09T09:00:09Z</cp:lastPrinted>
  <dcterms:created xsi:type="dcterms:W3CDTF">2021-01-06T15:35:53Z</dcterms:created>
  <dcterms:modified xsi:type="dcterms:W3CDTF">2022-08-22T08:16:00Z</dcterms:modified>
  <cp:category/>
  <cp:contentStatus/>
</cp:coreProperties>
</file>